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5" yWindow="-150" windowWidth="12120" windowHeight="9120" tabRatio="475"/>
  </bookViews>
  <sheets>
    <sheet name="1" sheetId="38" r:id="rId1"/>
    <sheet name="2" sheetId="22" r:id="rId2"/>
    <sheet name="3" sheetId="23" r:id="rId3"/>
    <sheet name="4" sheetId="24" r:id="rId4"/>
    <sheet name="5" sheetId="25" r:id="rId5"/>
    <sheet name="6" sheetId="26" r:id="rId6"/>
    <sheet name="7" sheetId="27" r:id="rId7"/>
    <sheet name="8" sheetId="28" r:id="rId8"/>
    <sheet name="9" sheetId="29" r:id="rId9"/>
    <sheet name="10" sheetId="39" r:id="rId10"/>
    <sheet name="11" sheetId="30" r:id="rId11"/>
    <sheet name="12" sheetId="31" r:id="rId12"/>
    <sheet name="13" sheetId="32" r:id="rId13"/>
    <sheet name="14" sheetId="33" r:id="rId14"/>
    <sheet name="15" sheetId="34" r:id="rId15"/>
    <sheet name="16" sheetId="35" r:id="rId16"/>
    <sheet name="17" sheetId="36" r:id="rId17"/>
    <sheet name="18" sheetId="37" r:id="rId18"/>
    <sheet name="19" sheetId="40" r:id="rId19"/>
    <sheet name="Sheet1" sheetId="42" r:id="rId20"/>
  </sheets>
  <definedNames>
    <definedName name="_xlnm.Print_Area" localSheetId="0">'1'!$A$1:$M$42</definedName>
    <definedName name="_xlnm.Print_Area" localSheetId="9">'10'!$A$1:$M$42</definedName>
    <definedName name="_xlnm.Print_Area" localSheetId="10">'11'!$A$1:$M$42</definedName>
    <definedName name="_xlnm.Print_Area" localSheetId="11">'12'!$A$1:$M$41</definedName>
    <definedName name="_xlnm.Print_Area" localSheetId="12">'13'!$A$1:$M$41</definedName>
    <definedName name="_xlnm.Print_Area" localSheetId="13">'14'!$A$1:$M$42</definedName>
    <definedName name="_xlnm.Print_Area" localSheetId="14">'15'!$A$1:$M$41</definedName>
    <definedName name="_xlnm.Print_Area" localSheetId="15">'16'!$A$1:$M$45</definedName>
    <definedName name="_xlnm.Print_Area" localSheetId="16">'17'!$A$1:$M$41</definedName>
    <definedName name="_xlnm.Print_Area" localSheetId="17">'18'!$A$1:$M$42</definedName>
    <definedName name="_xlnm.Print_Area" localSheetId="18">'19'!$A$1:$M$41</definedName>
    <definedName name="_xlnm.Print_Area" localSheetId="1">'2'!$A$1:$M$41</definedName>
    <definedName name="_xlnm.Print_Area" localSheetId="2">'3'!$A$1:$M$41</definedName>
    <definedName name="_xlnm.Print_Area" localSheetId="3">'4'!$A$1:$M$41</definedName>
    <definedName name="_xlnm.Print_Area" localSheetId="4">'5'!$A$1:$M$40</definedName>
    <definedName name="_xlnm.Print_Area" localSheetId="5">'6'!$A$1:$M$41</definedName>
    <definedName name="_xlnm.Print_Area" localSheetId="6">'7'!$A$1:$M$41</definedName>
    <definedName name="_xlnm.Print_Area" localSheetId="7">'8'!$A$1:$M$43</definedName>
    <definedName name="_xlnm.Print_Area" localSheetId="8">'9'!$A$1:$M$42</definedName>
  </definedNames>
  <calcPr calcId="125725"/>
</workbook>
</file>

<file path=xl/calcChain.xml><?xml version="1.0" encoding="utf-8"?>
<calcChain xmlns="http://schemas.openxmlformats.org/spreadsheetml/2006/main">
  <c r="C10" i="31"/>
  <c r="D10"/>
  <c r="E10"/>
  <c r="F10"/>
  <c r="G10"/>
  <c r="H10"/>
  <c r="I10"/>
  <c r="J10"/>
  <c r="K10"/>
  <c r="B10"/>
  <c r="C10" i="39"/>
  <c r="D10"/>
  <c r="E10"/>
  <c r="F10"/>
  <c r="G10"/>
  <c r="H10"/>
  <c r="I10"/>
  <c r="J10"/>
  <c r="K10"/>
  <c r="B10"/>
  <c r="C10" i="29"/>
  <c r="D10"/>
  <c r="E10"/>
  <c r="F10"/>
  <c r="G10"/>
  <c r="H10"/>
  <c r="I10"/>
  <c r="J10"/>
  <c r="K10"/>
  <c r="B10"/>
  <c r="C10" i="38" l="1"/>
  <c r="D10"/>
  <c r="E10"/>
  <c r="F10"/>
  <c r="G10"/>
  <c r="H10"/>
  <c r="I10"/>
  <c r="J10"/>
  <c r="K10"/>
  <c r="M13" i="40" l="1"/>
  <c r="M14"/>
  <c r="M15"/>
  <c r="M16"/>
  <c r="M18"/>
  <c r="M19"/>
  <c r="M20"/>
  <c r="M21"/>
  <c r="M22"/>
  <c r="M24"/>
  <c r="M25"/>
  <c r="M26"/>
  <c r="M27"/>
  <c r="M28"/>
  <c r="M30"/>
  <c r="M31"/>
  <c r="M32"/>
  <c r="M33"/>
  <c r="M34"/>
  <c r="M36"/>
  <c r="M37"/>
  <c r="M38"/>
  <c r="M39"/>
  <c r="M12"/>
  <c r="M13" i="37"/>
  <c r="M14"/>
  <c r="M15"/>
  <c r="M16"/>
  <c r="M18"/>
  <c r="M19"/>
  <c r="M20"/>
  <c r="M21"/>
  <c r="M22"/>
  <c r="M24"/>
  <c r="M25"/>
  <c r="M26"/>
  <c r="M27"/>
  <c r="M28"/>
  <c r="M30"/>
  <c r="M31"/>
  <c r="M32"/>
  <c r="M33"/>
  <c r="M34"/>
  <c r="M36"/>
  <c r="M37"/>
  <c r="M38"/>
  <c r="M39"/>
  <c r="M12"/>
  <c r="M10"/>
  <c r="BP10" i="36"/>
  <c r="BP13"/>
  <c r="BP14"/>
  <c r="BP15"/>
  <c r="BP16"/>
  <c r="BP18"/>
  <c r="BP19"/>
  <c r="BP20"/>
  <c r="BP21"/>
  <c r="BP22"/>
  <c r="BP24"/>
  <c r="BP25"/>
  <c r="BP26"/>
  <c r="BP27"/>
  <c r="BP28"/>
  <c r="BP30"/>
  <c r="BP31"/>
  <c r="BP32"/>
  <c r="BP33"/>
  <c r="BP34"/>
  <c r="BP36"/>
  <c r="BP37"/>
  <c r="BP38"/>
  <c r="BP39"/>
  <c r="BP12"/>
  <c r="BO10"/>
  <c r="M13"/>
  <c r="M14"/>
  <c r="M15"/>
  <c r="M16"/>
  <c r="M18"/>
  <c r="M19"/>
  <c r="M20"/>
  <c r="M21"/>
  <c r="M22"/>
  <c r="M24"/>
  <c r="M25"/>
  <c r="M26"/>
  <c r="M27"/>
  <c r="M28"/>
  <c r="M30"/>
  <c r="M31"/>
  <c r="M32"/>
  <c r="M33"/>
  <c r="M34"/>
  <c r="M36"/>
  <c r="M37"/>
  <c r="M38"/>
  <c r="M39"/>
  <c r="M12"/>
  <c r="F10"/>
  <c r="G10"/>
  <c r="H10"/>
  <c r="I10"/>
  <c r="J10"/>
  <c r="K10"/>
  <c r="M10" s="1"/>
  <c r="DI13" i="35"/>
  <c r="DI14"/>
  <c r="DI15"/>
  <c r="DI16"/>
  <c r="DI18"/>
  <c r="DI19"/>
  <c r="DI20"/>
  <c r="DI21"/>
  <c r="DI22"/>
  <c r="DI24"/>
  <c r="DI25"/>
  <c r="DI26"/>
  <c r="DI27"/>
  <c r="DI28"/>
  <c r="DI30"/>
  <c r="DI31"/>
  <c r="DI32"/>
  <c r="DI33"/>
  <c r="DI34"/>
  <c r="DI36"/>
  <c r="DI37"/>
  <c r="DI38"/>
  <c r="DI39"/>
  <c r="DI12"/>
  <c r="DI10"/>
  <c r="M13"/>
  <c r="M14"/>
  <c r="M15"/>
  <c r="M16"/>
  <c r="M18"/>
  <c r="M19"/>
  <c r="M20"/>
  <c r="M21"/>
  <c r="M22"/>
  <c r="M24"/>
  <c r="M25"/>
  <c r="M26"/>
  <c r="M27"/>
  <c r="M28"/>
  <c r="M30"/>
  <c r="M31"/>
  <c r="M32"/>
  <c r="M33"/>
  <c r="M34"/>
  <c r="M36"/>
  <c r="M37"/>
  <c r="M38"/>
  <c r="M39"/>
  <c r="M12"/>
  <c r="M10"/>
  <c r="M13" i="34"/>
  <c r="M14"/>
  <c r="M15"/>
  <c r="M16"/>
  <c r="M18"/>
  <c r="M19"/>
  <c r="M20"/>
  <c r="M21"/>
  <c r="M22"/>
  <c r="M24"/>
  <c r="M25"/>
  <c r="M26"/>
  <c r="M27"/>
  <c r="M28"/>
  <c r="M30"/>
  <c r="M31"/>
  <c r="M32"/>
  <c r="M33"/>
  <c r="M34"/>
  <c r="M36"/>
  <c r="M37"/>
  <c r="M38"/>
  <c r="M39"/>
  <c r="M12"/>
  <c r="M10"/>
  <c r="CA13" i="33"/>
  <c r="CA14"/>
  <c r="CA15"/>
  <c r="CA16"/>
  <c r="CA18"/>
  <c r="CA19"/>
  <c r="CA20"/>
  <c r="CA21"/>
  <c r="CA22"/>
  <c r="CA24"/>
  <c r="CA25"/>
  <c r="CA26"/>
  <c r="CA27"/>
  <c r="CA28"/>
  <c r="CA30"/>
  <c r="CA31"/>
  <c r="CA32"/>
  <c r="CA33"/>
  <c r="CA34"/>
  <c r="CA36"/>
  <c r="CA37"/>
  <c r="CA38"/>
  <c r="CA39"/>
  <c r="CA12"/>
  <c r="BZ10"/>
  <c r="CA10"/>
  <c r="BY10"/>
  <c r="M13"/>
  <c r="M14"/>
  <c r="M15"/>
  <c r="M16"/>
  <c r="M18"/>
  <c r="M19"/>
  <c r="M20"/>
  <c r="M21"/>
  <c r="M22"/>
  <c r="M24"/>
  <c r="M25"/>
  <c r="M26"/>
  <c r="M27"/>
  <c r="M28"/>
  <c r="M30"/>
  <c r="M31"/>
  <c r="M32"/>
  <c r="M33"/>
  <c r="M34"/>
  <c r="M36"/>
  <c r="M37"/>
  <c r="M38"/>
  <c r="M39"/>
  <c r="M12"/>
  <c r="CA13" i="32" l="1"/>
  <c r="CA14"/>
  <c r="CA15"/>
  <c r="CA16"/>
  <c r="CA18"/>
  <c r="CA19"/>
  <c r="CA20"/>
  <c r="CA21"/>
  <c r="CA22"/>
  <c r="CA24"/>
  <c r="CA25"/>
  <c r="CA26"/>
  <c r="CA27"/>
  <c r="CA28"/>
  <c r="CA30"/>
  <c r="CA31"/>
  <c r="CA32"/>
  <c r="CA33"/>
  <c r="CA34"/>
  <c r="CA36"/>
  <c r="CA37"/>
  <c r="CA38"/>
  <c r="CA39"/>
  <c r="CA12"/>
  <c r="BZ10"/>
  <c r="CA10"/>
  <c r="BY10"/>
  <c r="M24"/>
  <c r="M25"/>
  <c r="M26"/>
  <c r="M27"/>
  <c r="M28"/>
  <c r="M30"/>
  <c r="M31"/>
  <c r="M32"/>
  <c r="M33"/>
  <c r="M34"/>
  <c r="M36"/>
  <c r="M37"/>
  <c r="M38"/>
  <c r="M39"/>
  <c r="M22" l="1"/>
  <c r="M13"/>
  <c r="M14"/>
  <c r="M15"/>
  <c r="M16"/>
  <c r="M18"/>
  <c r="M19"/>
  <c r="M20"/>
  <c r="M21"/>
  <c r="M12"/>
  <c r="CX13" i="31"/>
  <c r="CY13" s="1"/>
  <c r="CX14"/>
  <c r="CY14" s="1"/>
  <c r="CX15"/>
  <c r="CY15" s="1"/>
  <c r="CX16"/>
  <c r="CY16" s="1"/>
  <c r="CX18"/>
  <c r="CY18" s="1"/>
  <c r="CX19"/>
  <c r="CY19" s="1"/>
  <c r="CX20"/>
  <c r="CY20" s="1"/>
  <c r="CX21"/>
  <c r="CY21" s="1"/>
  <c r="CX22"/>
  <c r="CY22" s="1"/>
  <c r="CX24"/>
  <c r="CY24" s="1"/>
  <c r="CX25"/>
  <c r="CY25" s="1"/>
  <c r="CX26"/>
  <c r="CY26" s="1"/>
  <c r="CX27"/>
  <c r="CY27" s="1"/>
  <c r="CX28"/>
  <c r="CY28" s="1"/>
  <c r="CX30"/>
  <c r="CY30" s="1"/>
  <c r="CX31"/>
  <c r="CY31" s="1"/>
  <c r="CX32"/>
  <c r="CY32" s="1"/>
  <c r="CX33"/>
  <c r="CY33" s="1"/>
  <c r="CX34"/>
  <c r="CY34" s="1"/>
  <c r="CX36"/>
  <c r="CY36" s="1"/>
  <c r="CX37"/>
  <c r="CY37" s="1"/>
  <c r="CX38"/>
  <c r="CY38" s="1"/>
  <c r="CX39"/>
  <c r="CY39" s="1"/>
  <c r="CX12"/>
  <c r="CX10" s="1"/>
  <c r="CV10"/>
  <c r="CW10"/>
  <c r="CU10"/>
  <c r="M13"/>
  <c r="M14"/>
  <c r="M15"/>
  <c r="M16"/>
  <c r="M18"/>
  <c r="M19"/>
  <c r="M20"/>
  <c r="M21"/>
  <c r="M22"/>
  <c r="M24"/>
  <c r="M25"/>
  <c r="M26"/>
  <c r="M27"/>
  <c r="M28"/>
  <c r="M30"/>
  <c r="M31"/>
  <c r="M32"/>
  <c r="M33"/>
  <c r="M34"/>
  <c r="M36"/>
  <c r="M37"/>
  <c r="M38"/>
  <c r="M39"/>
  <c r="M12"/>
  <c r="AF10" i="30"/>
  <c r="CY13"/>
  <c r="CZ13" s="1"/>
  <c r="CY14"/>
  <c r="CZ14" s="1"/>
  <c r="CY15"/>
  <c r="CZ15" s="1"/>
  <c r="CY16"/>
  <c r="CZ16" s="1"/>
  <c r="CY18"/>
  <c r="CZ18" s="1"/>
  <c r="CY19"/>
  <c r="CZ19" s="1"/>
  <c r="CY20"/>
  <c r="CZ20" s="1"/>
  <c r="CY21"/>
  <c r="CZ21" s="1"/>
  <c r="CY22"/>
  <c r="CZ22" s="1"/>
  <c r="CY24"/>
  <c r="CZ24" s="1"/>
  <c r="CY25"/>
  <c r="CZ25" s="1"/>
  <c r="CY26"/>
  <c r="CZ26" s="1"/>
  <c r="CY27"/>
  <c r="CZ27" s="1"/>
  <c r="CY28"/>
  <c r="CZ28" s="1"/>
  <c r="CY30"/>
  <c r="CZ30" s="1"/>
  <c r="CY31"/>
  <c r="CZ31" s="1"/>
  <c r="CY32"/>
  <c r="CZ32" s="1"/>
  <c r="CY33"/>
  <c r="CZ33" s="1"/>
  <c r="CY34"/>
  <c r="CZ34" s="1"/>
  <c r="CY36"/>
  <c r="CZ36" s="1"/>
  <c r="CY37"/>
  <c r="CZ37" s="1"/>
  <c r="CY38"/>
  <c r="CZ38" s="1"/>
  <c r="CY39"/>
  <c r="CZ39" s="1"/>
  <c r="CY12"/>
  <c r="CZ12" s="1"/>
  <c r="CZ10" s="1"/>
  <c r="CW10"/>
  <c r="CX10"/>
  <c r="CV10"/>
  <c r="M13"/>
  <c r="M14"/>
  <c r="M15"/>
  <c r="M16"/>
  <c r="M18"/>
  <c r="M19"/>
  <c r="M20"/>
  <c r="M21"/>
  <c r="M22"/>
  <c r="M24"/>
  <c r="M25"/>
  <c r="M26"/>
  <c r="M27"/>
  <c r="M28"/>
  <c r="M30"/>
  <c r="M31"/>
  <c r="M32"/>
  <c r="M33"/>
  <c r="M34"/>
  <c r="M36"/>
  <c r="M37"/>
  <c r="M38"/>
  <c r="M39"/>
  <c r="M12"/>
  <c r="BR13" i="39"/>
  <c r="BR14"/>
  <c r="BR15"/>
  <c r="BR16"/>
  <c r="BR18"/>
  <c r="BR19"/>
  <c r="BR20"/>
  <c r="BR21"/>
  <c r="BR22"/>
  <c r="BR24"/>
  <c r="BR25"/>
  <c r="BR26"/>
  <c r="BR27"/>
  <c r="BR28"/>
  <c r="BR30"/>
  <c r="BR31"/>
  <c r="BR32"/>
  <c r="BR33"/>
  <c r="BR34"/>
  <c r="BR36"/>
  <c r="BR37"/>
  <c r="BR38"/>
  <c r="BR39"/>
  <c r="BR12"/>
  <c r="BQ10"/>
  <c r="BR10" s="1"/>
  <c r="BP10"/>
  <c r="M37"/>
  <c r="M38"/>
  <c r="M39"/>
  <c r="L37"/>
  <c r="L38"/>
  <c r="L39"/>
  <c r="L36"/>
  <c r="L34"/>
  <c r="M13"/>
  <c r="M14"/>
  <c r="M15"/>
  <c r="M16"/>
  <c r="M18"/>
  <c r="M19"/>
  <c r="M20"/>
  <c r="M21"/>
  <c r="M24"/>
  <c r="M25"/>
  <c r="M26"/>
  <c r="M27"/>
  <c r="M28"/>
  <c r="M30"/>
  <c r="M31"/>
  <c r="M32"/>
  <c r="M33"/>
  <c r="M34"/>
  <c r="M12"/>
  <c r="DN13" i="29"/>
  <c r="DO13" s="1"/>
  <c r="DN14"/>
  <c r="DO14" s="1"/>
  <c r="DN15"/>
  <c r="DO15" s="1"/>
  <c r="DN16"/>
  <c r="DO16" s="1"/>
  <c r="DN18"/>
  <c r="DO18" s="1"/>
  <c r="DN19"/>
  <c r="DO19" s="1"/>
  <c r="DN20"/>
  <c r="DO20" s="1"/>
  <c r="DN21"/>
  <c r="DO21" s="1"/>
  <c r="DN22"/>
  <c r="DO22" s="1"/>
  <c r="DN24"/>
  <c r="DO24" s="1"/>
  <c r="DN25"/>
  <c r="DO25" s="1"/>
  <c r="DN26"/>
  <c r="DO26" s="1"/>
  <c r="DN27"/>
  <c r="DO27" s="1"/>
  <c r="DN28"/>
  <c r="DO28" s="1"/>
  <c r="DN30"/>
  <c r="DO30" s="1"/>
  <c r="DN31"/>
  <c r="DO31" s="1"/>
  <c r="DN32"/>
  <c r="DO32" s="1"/>
  <c r="DN33"/>
  <c r="DO33" s="1"/>
  <c r="DN34"/>
  <c r="DO34" s="1"/>
  <c r="DN36"/>
  <c r="DO36" s="1"/>
  <c r="DN37"/>
  <c r="DO37" s="1"/>
  <c r="DN38"/>
  <c r="DO38" s="1"/>
  <c r="DN39"/>
  <c r="DO39" s="1"/>
  <c r="DN12"/>
  <c r="DO12" s="1"/>
  <c r="DN10"/>
  <c r="DM10"/>
  <c r="DL10"/>
  <c r="DK10"/>
  <c r="M13"/>
  <c r="M14"/>
  <c r="M15"/>
  <c r="M16"/>
  <c r="M18"/>
  <c r="M19"/>
  <c r="M20"/>
  <c r="M21"/>
  <c r="M22"/>
  <c r="M24"/>
  <c r="M25"/>
  <c r="M26"/>
  <c r="M27"/>
  <c r="M28"/>
  <c r="M30"/>
  <c r="M31"/>
  <c r="M32"/>
  <c r="M33"/>
  <c r="M34"/>
  <c r="M36"/>
  <c r="M37"/>
  <c r="M38"/>
  <c r="M39"/>
  <c r="M12"/>
  <c r="DJ13" i="28"/>
  <c r="DJ14"/>
  <c r="DJ15"/>
  <c r="DJ16"/>
  <c r="DJ18"/>
  <c r="DJ19"/>
  <c r="DJ20"/>
  <c r="DJ21"/>
  <c r="DJ22"/>
  <c r="DJ24"/>
  <c r="DJ25"/>
  <c r="DJ26"/>
  <c r="DJ27"/>
  <c r="DJ28"/>
  <c r="DJ30"/>
  <c r="DJ31"/>
  <c r="DJ32"/>
  <c r="DJ33"/>
  <c r="DJ34"/>
  <c r="DJ36"/>
  <c r="DJ37"/>
  <c r="DJ38"/>
  <c r="DJ39"/>
  <c r="DJ12"/>
  <c r="DI13"/>
  <c r="DI14"/>
  <c r="DI15"/>
  <c r="DI16"/>
  <c r="DI18"/>
  <c r="DI19"/>
  <c r="DI20"/>
  <c r="DI21"/>
  <c r="DI22"/>
  <c r="DI24"/>
  <c r="DI25"/>
  <c r="DI26"/>
  <c r="DI27"/>
  <c r="DI28"/>
  <c r="DI30"/>
  <c r="DI31"/>
  <c r="DI32"/>
  <c r="DI33"/>
  <c r="DI34"/>
  <c r="DI36"/>
  <c r="DI37"/>
  <c r="DI38"/>
  <c r="DI39"/>
  <c r="DI12"/>
  <c r="DG10"/>
  <c r="DF10"/>
  <c r="DH10"/>
  <c r="DI10"/>
  <c r="DJ10"/>
  <c r="DE10"/>
  <c r="M13"/>
  <c r="M14"/>
  <c r="M15"/>
  <c r="M16"/>
  <c r="M18"/>
  <c r="M19"/>
  <c r="M20"/>
  <c r="M21"/>
  <c r="M22"/>
  <c r="M24"/>
  <c r="M25"/>
  <c r="M26"/>
  <c r="M27"/>
  <c r="M28"/>
  <c r="M30"/>
  <c r="M31"/>
  <c r="M32"/>
  <c r="M33"/>
  <c r="M34"/>
  <c r="M36"/>
  <c r="M37"/>
  <c r="M38"/>
  <c r="M39"/>
  <c r="M12"/>
  <c r="CH18" i="27"/>
  <c r="CH20"/>
  <c r="CH22"/>
  <c r="CH30"/>
  <c r="CH32"/>
  <c r="CH34"/>
  <c r="CG13"/>
  <c r="CH13" s="1"/>
  <c r="CG14"/>
  <c r="CH14" s="1"/>
  <c r="CG15"/>
  <c r="CH15" s="1"/>
  <c r="CG16"/>
  <c r="CH16" s="1"/>
  <c r="CG18"/>
  <c r="CG19"/>
  <c r="CH19" s="1"/>
  <c r="CG20"/>
  <c r="CG21"/>
  <c r="CH21" s="1"/>
  <c r="CG22"/>
  <c r="CG24"/>
  <c r="CH24" s="1"/>
  <c r="CG25"/>
  <c r="CH25" s="1"/>
  <c r="CG26"/>
  <c r="CH26" s="1"/>
  <c r="CG27"/>
  <c r="CH27" s="1"/>
  <c r="CG28"/>
  <c r="CH28" s="1"/>
  <c r="CG30"/>
  <c r="CG31"/>
  <c r="CH31" s="1"/>
  <c r="CG32"/>
  <c r="CG33"/>
  <c r="CH33" s="1"/>
  <c r="CG34"/>
  <c r="CG36"/>
  <c r="CH36" s="1"/>
  <c r="CG37"/>
  <c r="CH37" s="1"/>
  <c r="CG38"/>
  <c r="CH38" s="1"/>
  <c r="CG39"/>
  <c r="CH39" s="1"/>
  <c r="CG12"/>
  <c r="CH12" s="1"/>
  <c r="CH10" s="1"/>
  <c r="CF10"/>
  <c r="CG10"/>
  <c r="CE10"/>
  <c r="M13"/>
  <c r="M14"/>
  <c r="M15"/>
  <c r="M16"/>
  <c r="M18"/>
  <c r="M19"/>
  <c r="M20"/>
  <c r="M21"/>
  <c r="M22"/>
  <c r="M24"/>
  <c r="M25"/>
  <c r="M26"/>
  <c r="M27"/>
  <c r="M28"/>
  <c r="M30"/>
  <c r="M31"/>
  <c r="M32"/>
  <c r="M33"/>
  <c r="M34"/>
  <c r="M36"/>
  <c r="M37"/>
  <c r="M38"/>
  <c r="M39"/>
  <c r="M12"/>
  <c r="BL13" i="26"/>
  <c r="BL14"/>
  <c r="BL15"/>
  <c r="BL16"/>
  <c r="BL18"/>
  <c r="BL19"/>
  <c r="BL20"/>
  <c r="BL21"/>
  <c r="BL22"/>
  <c r="BL24"/>
  <c r="BL25"/>
  <c r="BL26"/>
  <c r="BL27"/>
  <c r="BL28"/>
  <c r="BL30"/>
  <c r="BL31"/>
  <c r="BL32"/>
  <c r="BL33"/>
  <c r="BL34"/>
  <c r="BL36"/>
  <c r="BL37"/>
  <c r="BL38"/>
  <c r="BL39"/>
  <c r="BL12"/>
  <c r="BK10"/>
  <c r="BL10"/>
  <c r="M13"/>
  <c r="M14"/>
  <c r="M15"/>
  <c r="M16"/>
  <c r="M18"/>
  <c r="M19"/>
  <c r="M20"/>
  <c r="M21"/>
  <c r="M22"/>
  <c r="M24"/>
  <c r="M25"/>
  <c r="M26"/>
  <c r="M27"/>
  <c r="M28"/>
  <c r="M30"/>
  <c r="M31"/>
  <c r="M32"/>
  <c r="M33"/>
  <c r="M34"/>
  <c r="M36"/>
  <c r="M37"/>
  <c r="M38"/>
  <c r="M39"/>
  <c r="M12"/>
  <c r="BW13" i="25"/>
  <c r="BW14"/>
  <c r="BW15"/>
  <c r="BW16"/>
  <c r="BW18"/>
  <c r="BW19"/>
  <c r="BW20"/>
  <c r="BW21"/>
  <c r="BW22"/>
  <c r="BW24"/>
  <c r="BW25"/>
  <c r="BW26"/>
  <c r="BW27"/>
  <c r="BW28"/>
  <c r="BW30"/>
  <c r="BW31"/>
  <c r="BW32"/>
  <c r="BW33"/>
  <c r="BW34"/>
  <c r="BW36"/>
  <c r="BW37"/>
  <c r="BW38"/>
  <c r="BW39"/>
  <c r="BW12"/>
  <c r="BT10"/>
  <c r="BU10"/>
  <c r="BV10"/>
  <c r="BW10"/>
  <c r="BV13"/>
  <c r="BV14"/>
  <c r="BV15"/>
  <c r="BV16"/>
  <c r="BV18"/>
  <c r="BV19"/>
  <c r="BV20"/>
  <c r="BV21"/>
  <c r="BV22"/>
  <c r="BV24"/>
  <c r="BV25"/>
  <c r="BV26"/>
  <c r="BV27"/>
  <c r="BV28"/>
  <c r="BV30"/>
  <c r="BV31"/>
  <c r="BV32"/>
  <c r="BV33"/>
  <c r="BV34"/>
  <c r="BV36"/>
  <c r="BV37"/>
  <c r="BV38"/>
  <c r="BV39"/>
  <c r="BV12"/>
  <c r="M13"/>
  <c r="M14"/>
  <c r="M15"/>
  <c r="M16"/>
  <c r="M18"/>
  <c r="M19"/>
  <c r="M20"/>
  <c r="M21"/>
  <c r="M22"/>
  <c r="M24"/>
  <c r="M25"/>
  <c r="M26"/>
  <c r="M27"/>
  <c r="M28"/>
  <c r="M30"/>
  <c r="M31"/>
  <c r="M32"/>
  <c r="M33"/>
  <c r="M34"/>
  <c r="M36"/>
  <c r="M37"/>
  <c r="M38"/>
  <c r="M39"/>
  <c r="M12"/>
  <c r="BM13" i="24"/>
  <c r="BM14"/>
  <c r="BM15"/>
  <c r="BM16"/>
  <c r="BM18"/>
  <c r="BM19"/>
  <c r="BM20"/>
  <c r="BM21"/>
  <c r="BM22"/>
  <c r="BM24"/>
  <c r="BM25"/>
  <c r="BM26"/>
  <c r="BM27"/>
  <c r="BM28"/>
  <c r="BM30"/>
  <c r="BM31"/>
  <c r="BM32"/>
  <c r="BM33"/>
  <c r="BM34"/>
  <c r="BM36"/>
  <c r="BM37"/>
  <c r="BM38"/>
  <c r="BM39"/>
  <c r="BM12"/>
  <c r="BL10"/>
  <c r="BM10"/>
  <c r="M13"/>
  <c r="M14"/>
  <c r="M15"/>
  <c r="M16"/>
  <c r="M18"/>
  <c r="M19"/>
  <c r="M20"/>
  <c r="M21"/>
  <c r="M22"/>
  <c r="M24"/>
  <c r="M25"/>
  <c r="M26"/>
  <c r="M27"/>
  <c r="M28"/>
  <c r="M30"/>
  <c r="M31"/>
  <c r="M32"/>
  <c r="M33"/>
  <c r="M34"/>
  <c r="M36"/>
  <c r="M37"/>
  <c r="M38"/>
  <c r="M39"/>
  <c r="M12"/>
  <c r="BL13" i="23"/>
  <c r="BL14"/>
  <c r="BL15"/>
  <c r="BL16"/>
  <c r="BL18"/>
  <c r="BL19"/>
  <c r="BL20"/>
  <c r="BL21"/>
  <c r="BL22"/>
  <c r="BL24"/>
  <c r="BL25"/>
  <c r="BL26"/>
  <c r="BL27"/>
  <c r="BL28"/>
  <c r="BL30"/>
  <c r="BL31"/>
  <c r="BL32"/>
  <c r="BL33"/>
  <c r="BL34"/>
  <c r="BL36"/>
  <c r="BL37"/>
  <c r="BL38"/>
  <c r="BL39"/>
  <c r="BL12"/>
  <c r="BL10" s="1"/>
  <c r="BK10"/>
  <c r="M13"/>
  <c r="M14"/>
  <c r="M15"/>
  <c r="M16"/>
  <c r="M18"/>
  <c r="M19"/>
  <c r="M20"/>
  <c r="M21"/>
  <c r="M22"/>
  <c r="M24"/>
  <c r="M25"/>
  <c r="M26"/>
  <c r="M27"/>
  <c r="M28"/>
  <c r="M30"/>
  <c r="M31"/>
  <c r="M32"/>
  <c r="M33"/>
  <c r="M34"/>
  <c r="M36"/>
  <c r="M37"/>
  <c r="M38"/>
  <c r="M39"/>
  <c r="M12"/>
  <c r="BN13" i="22"/>
  <c r="BN14"/>
  <c r="BN15"/>
  <c r="BN16"/>
  <c r="BN18"/>
  <c r="BN19"/>
  <c r="BN20"/>
  <c r="BN21"/>
  <c r="BN22"/>
  <c r="BN24"/>
  <c r="BN25"/>
  <c r="BN26"/>
  <c r="BN27"/>
  <c r="BN28"/>
  <c r="BN30"/>
  <c r="BN31"/>
  <c r="BN32"/>
  <c r="BN33"/>
  <c r="BN34"/>
  <c r="BN36"/>
  <c r="BN37"/>
  <c r="BN38"/>
  <c r="BN39"/>
  <c r="BN12"/>
  <c r="BM10"/>
  <c r="BN10"/>
  <c r="M13"/>
  <c r="M14"/>
  <c r="M15"/>
  <c r="M16"/>
  <c r="M18"/>
  <c r="M19"/>
  <c r="M20"/>
  <c r="M21"/>
  <c r="M22"/>
  <c r="M24"/>
  <c r="M25"/>
  <c r="M26"/>
  <c r="M27"/>
  <c r="M28"/>
  <c r="M30"/>
  <c r="M31"/>
  <c r="M32"/>
  <c r="M33"/>
  <c r="M34"/>
  <c r="M36"/>
  <c r="M37"/>
  <c r="M38"/>
  <c r="M39"/>
  <c r="M12"/>
  <c r="M39" i="38"/>
  <c r="M38"/>
  <c r="M37"/>
  <c r="M36"/>
  <c r="M34"/>
  <c r="M33"/>
  <c r="M32"/>
  <c r="M31"/>
  <c r="M30"/>
  <c r="M28"/>
  <c r="M27"/>
  <c r="M26"/>
  <c r="M25"/>
  <c r="M24"/>
  <c r="M22"/>
  <c r="M21"/>
  <c r="M20"/>
  <c r="M19"/>
  <c r="M18"/>
  <c r="M16"/>
  <c r="M15"/>
  <c r="M14"/>
  <c r="M13"/>
  <c r="M12"/>
  <c r="M10"/>
  <c r="BI13"/>
  <c r="BI14"/>
  <c r="BI15"/>
  <c r="BI16"/>
  <c r="BI18"/>
  <c r="BI19"/>
  <c r="BI20"/>
  <c r="BI21"/>
  <c r="BI22"/>
  <c r="BI24"/>
  <c r="BI25"/>
  <c r="BI26"/>
  <c r="BI27"/>
  <c r="BI28"/>
  <c r="BI30"/>
  <c r="BI31"/>
  <c r="BI32"/>
  <c r="BI33"/>
  <c r="BI34"/>
  <c r="BI36"/>
  <c r="BI37"/>
  <c r="BI38"/>
  <c r="BI39"/>
  <c r="BI12"/>
  <c r="BH10"/>
  <c r="BI10"/>
  <c r="CY12" i="31" l="1"/>
  <c r="CY10" s="1"/>
  <c r="CY10" i="30"/>
  <c r="DO10" i="29"/>
  <c r="C10" i="32"/>
  <c r="D10"/>
  <c r="E10"/>
  <c r="F10"/>
  <c r="G10"/>
  <c r="H10"/>
  <c r="I10"/>
  <c r="J10"/>
  <c r="K10"/>
  <c r="M10" s="1"/>
  <c r="B10"/>
  <c r="C10" i="28"/>
  <c r="D10"/>
  <c r="E10"/>
  <c r="F10"/>
  <c r="G10"/>
  <c r="H10"/>
  <c r="I10"/>
  <c r="J10"/>
  <c r="K10"/>
  <c r="M10" s="1"/>
  <c r="B10"/>
  <c r="C10" i="27"/>
  <c r="D10"/>
  <c r="E10"/>
  <c r="F10"/>
  <c r="G10"/>
  <c r="H10"/>
  <c r="I10"/>
  <c r="J10"/>
  <c r="K10"/>
  <c r="M10" s="1"/>
  <c r="B10"/>
  <c r="AF10" i="26"/>
  <c r="AF10" i="25"/>
  <c r="AF10" i="24"/>
  <c r="AF10" i="23"/>
  <c r="AF10" i="22"/>
  <c r="AF10" i="38"/>
  <c r="AF10" i="36"/>
  <c r="BM13"/>
  <c r="BM14"/>
  <c r="BM15"/>
  <c r="BM16"/>
  <c r="BM18"/>
  <c r="BM19"/>
  <c r="BM20"/>
  <c r="BM21"/>
  <c r="BM22"/>
  <c r="BM24"/>
  <c r="BM25"/>
  <c r="BM26"/>
  <c r="BM27"/>
  <c r="BM28"/>
  <c r="BM30"/>
  <c r="BM31"/>
  <c r="BM32"/>
  <c r="BM33"/>
  <c r="BM34"/>
  <c r="BM36"/>
  <c r="BM37"/>
  <c r="BM38"/>
  <c r="BM39"/>
  <c r="BM12"/>
  <c r="AT13" i="35" l="1"/>
  <c r="AT14"/>
  <c r="AT15"/>
  <c r="AT16"/>
  <c r="AT18"/>
  <c r="AT19"/>
  <c r="AT20"/>
  <c r="AT21"/>
  <c r="AT22"/>
  <c r="AT24"/>
  <c r="AT25"/>
  <c r="AT26"/>
  <c r="AT27"/>
  <c r="AT28"/>
  <c r="AT30"/>
  <c r="AT31"/>
  <c r="AT32"/>
  <c r="AT33"/>
  <c r="AT34"/>
  <c r="AT36"/>
  <c r="AT37"/>
  <c r="AT38"/>
  <c r="AT39"/>
  <c r="AT12"/>
  <c r="AT10"/>
  <c r="AM13" i="33" l="1"/>
  <c r="AM14"/>
  <c r="AM15"/>
  <c r="AM16"/>
  <c r="AM18"/>
  <c r="AM19"/>
  <c r="AM20"/>
  <c r="AM21"/>
  <c r="AM22"/>
  <c r="AM24"/>
  <c r="AM25"/>
  <c r="AM26"/>
  <c r="AM27"/>
  <c r="AM28"/>
  <c r="AM30"/>
  <c r="AM31"/>
  <c r="AM32"/>
  <c r="AM33"/>
  <c r="AM34"/>
  <c r="AM36"/>
  <c r="AM37"/>
  <c r="AM38"/>
  <c r="AM39"/>
  <c r="AM12"/>
  <c r="AL10"/>
  <c r="AM10" s="1"/>
  <c r="AK10"/>
  <c r="AI10"/>
  <c r="AF10"/>
  <c r="L16"/>
  <c r="AF10" i="32"/>
  <c r="AM13"/>
  <c r="AM14"/>
  <c r="AM15"/>
  <c r="AM16"/>
  <c r="AM18"/>
  <c r="AM19"/>
  <c r="AM20"/>
  <c r="AM21"/>
  <c r="AM22"/>
  <c r="AM24"/>
  <c r="AM25"/>
  <c r="AM26"/>
  <c r="AM27"/>
  <c r="AM28"/>
  <c r="AM30"/>
  <c r="AM31"/>
  <c r="AM32"/>
  <c r="AM33"/>
  <c r="AM34"/>
  <c r="AM36"/>
  <c r="AM37"/>
  <c r="AM38"/>
  <c r="AM39"/>
  <c r="AM12"/>
  <c r="AM10" s="1"/>
  <c r="AK10"/>
  <c r="AL10"/>
  <c r="AF10" i="31"/>
  <c r="AQ13"/>
  <c r="AQ14"/>
  <c r="AQ15"/>
  <c r="AQ16"/>
  <c r="AQ18"/>
  <c r="AQ19"/>
  <c r="AQ20"/>
  <c r="AQ21"/>
  <c r="AQ22"/>
  <c r="AQ24"/>
  <c r="AQ25"/>
  <c r="AQ26"/>
  <c r="AQ27"/>
  <c r="AQ28"/>
  <c r="AQ30"/>
  <c r="AQ31"/>
  <c r="AQ32"/>
  <c r="AQ33"/>
  <c r="AQ34"/>
  <c r="AQ36"/>
  <c r="AQ37"/>
  <c r="AQ38"/>
  <c r="AQ39"/>
  <c r="AQ12"/>
  <c r="AP13"/>
  <c r="AP14"/>
  <c r="AP15"/>
  <c r="AP16"/>
  <c r="AP18"/>
  <c r="AP19"/>
  <c r="AP20"/>
  <c r="AP21"/>
  <c r="AP22"/>
  <c r="AP24"/>
  <c r="AP25"/>
  <c r="AP26"/>
  <c r="AP27"/>
  <c r="AP28"/>
  <c r="AP30"/>
  <c r="AP31"/>
  <c r="AP32"/>
  <c r="AP33"/>
  <c r="AP34"/>
  <c r="AP36"/>
  <c r="AP37"/>
  <c r="AP38"/>
  <c r="AP39"/>
  <c r="AP12"/>
  <c r="AP10" i="30"/>
  <c r="AQ10"/>
  <c r="AQ13"/>
  <c r="AQ14"/>
  <c r="AQ15"/>
  <c r="AQ16"/>
  <c r="AQ18"/>
  <c r="AQ19"/>
  <c r="AQ20"/>
  <c r="AQ21"/>
  <c r="AQ22"/>
  <c r="AQ24"/>
  <c r="AQ25"/>
  <c r="AQ26"/>
  <c r="AQ27"/>
  <c r="AQ28"/>
  <c r="AQ30"/>
  <c r="AQ31"/>
  <c r="AQ32"/>
  <c r="AQ33"/>
  <c r="AQ34"/>
  <c r="AQ36"/>
  <c r="AQ37"/>
  <c r="AQ38"/>
  <c r="AQ39"/>
  <c r="AQ12"/>
  <c r="AP13"/>
  <c r="AP14"/>
  <c r="AP15"/>
  <c r="AP16"/>
  <c r="AP18"/>
  <c r="AP19"/>
  <c r="AP20"/>
  <c r="AP21"/>
  <c r="AP22"/>
  <c r="AP24"/>
  <c r="AP25"/>
  <c r="AP26"/>
  <c r="AP27"/>
  <c r="AP28"/>
  <c r="AP30"/>
  <c r="AP31"/>
  <c r="AP32"/>
  <c r="AP33"/>
  <c r="AP34"/>
  <c r="AP36"/>
  <c r="AP37"/>
  <c r="AP38"/>
  <c r="AP39"/>
  <c r="AP12"/>
  <c r="AN10"/>
  <c r="AO10"/>
  <c r="AM10"/>
  <c r="AF10" i="39"/>
  <c r="AF10" i="29"/>
  <c r="AQ13"/>
  <c r="AQ14"/>
  <c r="AQ15"/>
  <c r="AQ16"/>
  <c r="AQ18"/>
  <c r="AQ19"/>
  <c r="AQ20"/>
  <c r="AQ21"/>
  <c r="AQ22"/>
  <c r="AQ24"/>
  <c r="AQ25"/>
  <c r="AQ26"/>
  <c r="AQ27"/>
  <c r="AQ28"/>
  <c r="AQ30"/>
  <c r="AQ31"/>
  <c r="AQ32"/>
  <c r="AQ33"/>
  <c r="AQ34"/>
  <c r="AQ36"/>
  <c r="AQ37"/>
  <c r="AQ38"/>
  <c r="AQ39"/>
  <c r="AQ12"/>
  <c r="AP10"/>
  <c r="AQ10"/>
  <c r="AP13"/>
  <c r="AP14"/>
  <c r="AP15"/>
  <c r="AP16"/>
  <c r="AP18"/>
  <c r="AP19"/>
  <c r="AP20"/>
  <c r="AP21"/>
  <c r="AP22"/>
  <c r="AP24"/>
  <c r="AP25"/>
  <c r="AP26"/>
  <c r="AP27"/>
  <c r="AP28"/>
  <c r="AP30"/>
  <c r="AP31"/>
  <c r="AP32"/>
  <c r="AP33"/>
  <c r="AP34"/>
  <c r="AP36"/>
  <c r="AP37"/>
  <c r="AP38"/>
  <c r="AP39"/>
  <c r="AP12"/>
  <c r="AN10"/>
  <c r="AO10"/>
  <c r="AM10"/>
  <c r="AF10" i="28"/>
  <c r="AR10"/>
  <c r="AS10"/>
  <c r="AS13"/>
  <c r="AS14"/>
  <c r="AS15"/>
  <c r="AS16"/>
  <c r="AS18"/>
  <c r="AS19"/>
  <c r="AS20"/>
  <c r="AS21"/>
  <c r="AS22"/>
  <c r="AS24"/>
  <c r="AS25"/>
  <c r="AS26"/>
  <c r="AS27"/>
  <c r="AS28"/>
  <c r="AS30"/>
  <c r="AS31"/>
  <c r="AS32"/>
  <c r="AS33"/>
  <c r="AS34"/>
  <c r="AS36"/>
  <c r="AS37"/>
  <c r="AS38"/>
  <c r="AS39"/>
  <c r="AS12"/>
  <c r="AR13"/>
  <c r="AR14"/>
  <c r="AR15"/>
  <c r="AR16"/>
  <c r="AR18"/>
  <c r="AR19"/>
  <c r="AR20"/>
  <c r="AR21"/>
  <c r="AR22"/>
  <c r="AR24"/>
  <c r="AR25"/>
  <c r="AR26"/>
  <c r="AR27"/>
  <c r="AR28"/>
  <c r="AR30"/>
  <c r="AR31"/>
  <c r="AR32"/>
  <c r="AR33"/>
  <c r="AR34"/>
  <c r="AR36"/>
  <c r="AR37"/>
  <c r="AR38"/>
  <c r="AR39"/>
  <c r="AR12"/>
  <c r="AQ10"/>
  <c r="AP10"/>
  <c r="AO10"/>
  <c r="AN10"/>
  <c r="AF10" i="27" l="1"/>
  <c r="CA10"/>
  <c r="BZ10"/>
  <c r="CB13"/>
  <c r="CC13" s="1"/>
  <c r="CB14"/>
  <c r="CC14" s="1"/>
  <c r="CB15"/>
  <c r="CC15" s="1"/>
  <c r="CB16"/>
  <c r="CC16" s="1"/>
  <c r="CB18"/>
  <c r="CC18" s="1"/>
  <c r="CB19"/>
  <c r="CC19" s="1"/>
  <c r="CB20"/>
  <c r="CC20" s="1"/>
  <c r="CB21"/>
  <c r="CC21" s="1"/>
  <c r="CB22"/>
  <c r="CC22" s="1"/>
  <c r="CB24"/>
  <c r="CC24" s="1"/>
  <c r="CB25"/>
  <c r="CC25" s="1"/>
  <c r="CB26"/>
  <c r="CC26" s="1"/>
  <c r="CB27"/>
  <c r="CC27" s="1"/>
  <c r="CB28"/>
  <c r="CC28" s="1"/>
  <c r="CB30"/>
  <c r="CC30" s="1"/>
  <c r="CB31"/>
  <c r="CC31" s="1"/>
  <c r="CB32"/>
  <c r="CC32" s="1"/>
  <c r="CB33"/>
  <c r="CC33" s="1"/>
  <c r="CB34"/>
  <c r="CC34" s="1"/>
  <c r="CB36"/>
  <c r="CC36" s="1"/>
  <c r="CB37"/>
  <c r="CC37" s="1"/>
  <c r="CB38"/>
  <c r="CC38" s="1"/>
  <c r="CB39"/>
  <c r="CC39" s="1"/>
  <c r="CB12"/>
  <c r="CB10" s="1"/>
  <c r="BI10" i="26"/>
  <c r="BJ13"/>
  <c r="BJ14"/>
  <c r="BJ15"/>
  <c r="BJ16"/>
  <c r="BJ18"/>
  <c r="BJ19"/>
  <c r="BJ20"/>
  <c r="BJ21"/>
  <c r="BJ22"/>
  <c r="BJ24"/>
  <c r="BJ25"/>
  <c r="BJ26"/>
  <c r="BJ27"/>
  <c r="BJ28"/>
  <c r="BJ30"/>
  <c r="BJ31"/>
  <c r="BJ32"/>
  <c r="BJ33"/>
  <c r="BJ34"/>
  <c r="BJ36"/>
  <c r="BJ37"/>
  <c r="BJ38"/>
  <c r="BJ39"/>
  <c r="BJ12"/>
  <c r="K10"/>
  <c r="M10" s="1"/>
  <c r="CC12" i="27" l="1"/>
  <c r="CC10" s="1"/>
  <c r="BJ10" i="26"/>
  <c r="BS10" i="25" l="1"/>
  <c r="BS37"/>
  <c r="BS38"/>
  <c r="BS39"/>
  <c r="BS36"/>
  <c r="BS31"/>
  <c r="BS32"/>
  <c r="BS33"/>
  <c r="BS34"/>
  <c r="BS30"/>
  <c r="BS25"/>
  <c r="BS26"/>
  <c r="BS27"/>
  <c r="BS28"/>
  <c r="BS24"/>
  <c r="BS19"/>
  <c r="BS20"/>
  <c r="BS21"/>
  <c r="BS22"/>
  <c r="BS18"/>
  <c r="BS13"/>
  <c r="BS14"/>
  <c r="BS15"/>
  <c r="BS16"/>
  <c r="BS12"/>
  <c r="BR10"/>
  <c r="BQ10"/>
  <c r="BR37"/>
  <c r="BR38"/>
  <c r="BR39"/>
  <c r="BR36"/>
  <c r="BR31"/>
  <c r="BR32"/>
  <c r="BR33"/>
  <c r="BR34"/>
  <c r="BR30"/>
  <c r="BR25"/>
  <c r="BR26"/>
  <c r="BR27"/>
  <c r="BR28"/>
  <c r="BR24"/>
  <c r="BR19"/>
  <c r="BR20"/>
  <c r="BR21"/>
  <c r="BR22"/>
  <c r="BR18"/>
  <c r="BR13"/>
  <c r="BR14"/>
  <c r="BR15"/>
  <c r="BR16"/>
  <c r="BR12"/>
  <c r="BP10"/>
  <c r="K10"/>
  <c r="M10" s="1"/>
  <c r="BK37" i="24" l="1"/>
  <c r="BK38"/>
  <c r="BK39"/>
  <c r="BK36"/>
  <c r="BK31"/>
  <c r="BK32"/>
  <c r="BK33"/>
  <c r="BK34"/>
  <c r="BK30"/>
  <c r="BK25"/>
  <c r="BK26"/>
  <c r="BK27"/>
  <c r="BK28"/>
  <c r="BK24"/>
  <c r="BK19"/>
  <c r="BK20"/>
  <c r="BK21"/>
  <c r="BK22"/>
  <c r="BK18"/>
  <c r="BK13"/>
  <c r="BK14"/>
  <c r="BK15"/>
  <c r="BK16"/>
  <c r="BK12"/>
  <c r="BK10" s="1"/>
  <c r="BJ10"/>
  <c r="K10"/>
  <c r="M10" s="1"/>
  <c r="BJ37" i="23"/>
  <c r="BJ38"/>
  <c r="BJ39"/>
  <c r="BJ36"/>
  <c r="BJ31"/>
  <c r="BJ32"/>
  <c r="BJ33"/>
  <c r="BJ34"/>
  <c r="BJ30"/>
  <c r="BJ25"/>
  <c r="BJ26"/>
  <c r="BJ27"/>
  <c r="BJ28"/>
  <c r="BJ24"/>
  <c r="BJ22"/>
  <c r="BJ21"/>
  <c r="BJ20"/>
  <c r="BJ19"/>
  <c r="BJ18"/>
  <c r="BJ13"/>
  <c r="BJ14"/>
  <c r="BJ15"/>
  <c r="BJ16"/>
  <c r="BJ10"/>
  <c r="BI10"/>
  <c r="BJ12"/>
  <c r="AE10"/>
  <c r="O10"/>
  <c r="P10"/>
  <c r="Q10"/>
  <c r="R10"/>
  <c r="S10"/>
  <c r="T10"/>
  <c r="U10"/>
  <c r="V10"/>
  <c r="W10"/>
  <c r="X10"/>
  <c r="N10"/>
  <c r="K10"/>
  <c r="M10" s="1"/>
  <c r="BJ10" i="22"/>
  <c r="AS10"/>
  <c r="BL37"/>
  <c r="BL38"/>
  <c r="BL39"/>
  <c r="BL36"/>
  <c r="BL31"/>
  <c r="BL32"/>
  <c r="BL33"/>
  <c r="BL34"/>
  <c r="BL30"/>
  <c r="BL25"/>
  <c r="BL26"/>
  <c r="BL27"/>
  <c r="BL28"/>
  <c r="BL24"/>
  <c r="BL19"/>
  <c r="BL20"/>
  <c r="BL21"/>
  <c r="BL22"/>
  <c r="BL18"/>
  <c r="BL13"/>
  <c r="BL14"/>
  <c r="BL15"/>
  <c r="BL16"/>
  <c r="BL12"/>
  <c r="BK10"/>
  <c r="AE10"/>
  <c r="K10"/>
  <c r="M10" s="1"/>
  <c r="BG37" i="38"/>
  <c r="BG38"/>
  <c r="BG39"/>
  <c r="BG36"/>
  <c r="BG31"/>
  <c r="BG32"/>
  <c r="BG33"/>
  <c r="BG34"/>
  <c r="BG30"/>
  <c r="BG25"/>
  <c r="BG26"/>
  <c r="BG27"/>
  <c r="BG28"/>
  <c r="BG24"/>
  <c r="BG19"/>
  <c r="BG20"/>
  <c r="BG21"/>
  <c r="BG22"/>
  <c r="BG18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AH10"/>
  <c r="AG10"/>
  <c r="B10"/>
  <c r="BG13"/>
  <c r="BG14"/>
  <c r="BG15"/>
  <c r="BG16"/>
  <c r="BG12"/>
  <c r="BG10" s="1"/>
  <c r="BL10" i="22" l="1"/>
  <c r="L10" i="38"/>
  <c r="BM10" i="36"/>
  <c r="BL10"/>
  <c r="DC39" i="35"/>
  <c r="DC38"/>
  <c r="DC37"/>
  <c r="DC36"/>
  <c r="DC34"/>
  <c r="DC33"/>
  <c r="DC32"/>
  <c r="DC31"/>
  <c r="DC30"/>
  <c r="DC28"/>
  <c r="DC27"/>
  <c r="DC26"/>
  <c r="DC25"/>
  <c r="DC24"/>
  <c r="DC22"/>
  <c r="DC21"/>
  <c r="DC20"/>
  <c r="DC19"/>
  <c r="DC18"/>
  <c r="DC16"/>
  <c r="DC15"/>
  <c r="DC14"/>
  <c r="DC13"/>
  <c r="DC12"/>
  <c r="DC10"/>
  <c r="BW39" i="33" l="1"/>
  <c r="BW38"/>
  <c r="BW37"/>
  <c r="BW36"/>
  <c r="BW34"/>
  <c r="BW33"/>
  <c r="BW32"/>
  <c r="BW31"/>
  <c r="BW30"/>
  <c r="BW28"/>
  <c r="BW27"/>
  <c r="BW26"/>
  <c r="BW25"/>
  <c r="BW24"/>
  <c r="BW22"/>
  <c r="BW21"/>
  <c r="BW20"/>
  <c r="BW19"/>
  <c r="BW18"/>
  <c r="BW16"/>
  <c r="BW15"/>
  <c r="BW14"/>
  <c r="BW13"/>
  <c r="BW12"/>
  <c r="BW10" s="1"/>
  <c r="BV10"/>
  <c r="BU10"/>
  <c r="BW39" i="32"/>
  <c r="BW38"/>
  <c r="BW37"/>
  <c r="BW36"/>
  <c r="BW34"/>
  <c r="BW33"/>
  <c r="BW32"/>
  <c r="BW31"/>
  <c r="BW30"/>
  <c r="BW28"/>
  <c r="BW27"/>
  <c r="BW26"/>
  <c r="BW25"/>
  <c r="BW24"/>
  <c r="BW22"/>
  <c r="BW21"/>
  <c r="BW20"/>
  <c r="BW19"/>
  <c r="BW18"/>
  <c r="BW16"/>
  <c r="BW15"/>
  <c r="BW14"/>
  <c r="BW13"/>
  <c r="BW12"/>
  <c r="BW10"/>
  <c r="BV10"/>
  <c r="BU10"/>
  <c r="CR39" i="31"/>
  <c r="CS39" s="1"/>
  <c r="CR38"/>
  <c r="CS38" s="1"/>
  <c r="CR37"/>
  <c r="CS37" s="1"/>
  <c r="CR36"/>
  <c r="CS36" s="1"/>
  <c r="CR34"/>
  <c r="CS34" s="1"/>
  <c r="CR33"/>
  <c r="CS33" s="1"/>
  <c r="CR32"/>
  <c r="CS32" s="1"/>
  <c r="CR31"/>
  <c r="CS31" s="1"/>
  <c r="CR30"/>
  <c r="CS30" s="1"/>
  <c r="CR28"/>
  <c r="CS28" s="1"/>
  <c r="CR27"/>
  <c r="CS27" s="1"/>
  <c r="CR26"/>
  <c r="CS26" s="1"/>
  <c r="CR25"/>
  <c r="CS25" s="1"/>
  <c r="CR24"/>
  <c r="CS24" s="1"/>
  <c r="CR22"/>
  <c r="CS22" s="1"/>
  <c r="CR21"/>
  <c r="CS21" s="1"/>
  <c r="CR20"/>
  <c r="CS20" s="1"/>
  <c r="CR19"/>
  <c r="CS19" s="1"/>
  <c r="CR18"/>
  <c r="CS18" s="1"/>
  <c r="CR16"/>
  <c r="CS16" s="1"/>
  <c r="CR15"/>
  <c r="CS15" s="1"/>
  <c r="CR14"/>
  <c r="CS14" s="1"/>
  <c r="CR13"/>
  <c r="CS13" s="1"/>
  <c r="CR12"/>
  <c r="CS12" s="1"/>
  <c r="CS10" s="1"/>
  <c r="CR10"/>
  <c r="CQ10"/>
  <c r="CP10"/>
  <c r="CO10"/>
  <c r="CS39" i="30"/>
  <c r="CT39" s="1"/>
  <c r="CS38"/>
  <c r="CT38" s="1"/>
  <c r="CS37"/>
  <c r="CT37" s="1"/>
  <c r="CS36"/>
  <c r="CT36" s="1"/>
  <c r="CS34"/>
  <c r="CT34" s="1"/>
  <c r="CS33"/>
  <c r="CT33" s="1"/>
  <c r="CS32"/>
  <c r="CT32" s="1"/>
  <c r="CS31"/>
  <c r="CT31" s="1"/>
  <c r="CS30"/>
  <c r="CT30" s="1"/>
  <c r="CS28"/>
  <c r="CT28" s="1"/>
  <c r="CS27"/>
  <c r="CT27" s="1"/>
  <c r="CS26"/>
  <c r="CT26" s="1"/>
  <c r="CS25"/>
  <c r="CT25" s="1"/>
  <c r="CS24"/>
  <c r="CT24" s="1"/>
  <c r="CS22"/>
  <c r="CT22" s="1"/>
  <c r="CS21"/>
  <c r="CT21" s="1"/>
  <c r="CS20"/>
  <c r="CT20" s="1"/>
  <c r="CS19"/>
  <c r="CT19" s="1"/>
  <c r="CS18"/>
  <c r="CT18" s="1"/>
  <c r="CS16"/>
  <c r="CT16" s="1"/>
  <c r="CS15"/>
  <c r="CT15" s="1"/>
  <c r="CS14"/>
  <c r="CT14" s="1"/>
  <c r="CS13"/>
  <c r="CT13" s="1"/>
  <c r="CS12"/>
  <c r="CT12" s="1"/>
  <c r="CR10"/>
  <c r="CQ10"/>
  <c r="CP10"/>
  <c r="BN39" i="39"/>
  <c r="BN38"/>
  <c r="BN37"/>
  <c r="BN36"/>
  <c r="BN34"/>
  <c r="BN33"/>
  <c r="BN32"/>
  <c r="BN31"/>
  <c r="BN30"/>
  <c r="BN28"/>
  <c r="BN27"/>
  <c r="BN26"/>
  <c r="BN25"/>
  <c r="BN24"/>
  <c r="BN22"/>
  <c r="BN21"/>
  <c r="BN20"/>
  <c r="BN19"/>
  <c r="BN18"/>
  <c r="BN16"/>
  <c r="BN15"/>
  <c r="BN14"/>
  <c r="BN13"/>
  <c r="BN12"/>
  <c r="BN10"/>
  <c r="BM10"/>
  <c r="BL10"/>
  <c r="DB39" i="28"/>
  <c r="DC39" s="1"/>
  <c r="DB38"/>
  <c r="DC38" s="1"/>
  <c r="DB37"/>
  <c r="DC37" s="1"/>
  <c r="DB36"/>
  <c r="DC36" s="1"/>
  <c r="DB34"/>
  <c r="DC34" s="1"/>
  <c r="DB33"/>
  <c r="DC33" s="1"/>
  <c r="DB32"/>
  <c r="DC32" s="1"/>
  <c r="DB31"/>
  <c r="DC31" s="1"/>
  <c r="DB30"/>
  <c r="DC30" s="1"/>
  <c r="DB28"/>
  <c r="DC28" s="1"/>
  <c r="DB27"/>
  <c r="DC27" s="1"/>
  <c r="DB26"/>
  <c r="DC26" s="1"/>
  <c r="DB25"/>
  <c r="DC25" s="1"/>
  <c r="DB24"/>
  <c r="DC24" s="1"/>
  <c r="DB22"/>
  <c r="DC22" s="1"/>
  <c r="DB21"/>
  <c r="DC21" s="1"/>
  <c r="DB20"/>
  <c r="DC20" s="1"/>
  <c r="DB19"/>
  <c r="DC19" s="1"/>
  <c r="DB18"/>
  <c r="DC18" s="1"/>
  <c r="DB16"/>
  <c r="DC16" s="1"/>
  <c r="DB15"/>
  <c r="DC15" s="1"/>
  <c r="DB14"/>
  <c r="DC14" s="1"/>
  <c r="DB13"/>
  <c r="DC13" s="1"/>
  <c r="DB12"/>
  <c r="DC12" s="1"/>
  <c r="DB10"/>
  <c r="DA10"/>
  <c r="CZ10"/>
  <c r="CY10"/>
  <c r="CX10"/>
  <c r="DE10" i="29"/>
  <c r="DH39"/>
  <c r="DI39" s="1"/>
  <c r="DH38"/>
  <c r="DI38" s="1"/>
  <c r="DH37"/>
  <c r="DI37" s="1"/>
  <c r="DH36"/>
  <c r="DI36" s="1"/>
  <c r="DH34"/>
  <c r="DI34" s="1"/>
  <c r="DH33"/>
  <c r="DI33" s="1"/>
  <c r="DH32"/>
  <c r="DI32" s="1"/>
  <c r="DH31"/>
  <c r="DI31" s="1"/>
  <c r="DH30"/>
  <c r="DI30" s="1"/>
  <c r="DH28"/>
  <c r="DI28" s="1"/>
  <c r="DH27"/>
  <c r="DI27" s="1"/>
  <c r="DH26"/>
  <c r="DI26" s="1"/>
  <c r="DH25"/>
  <c r="DI25" s="1"/>
  <c r="DH24"/>
  <c r="DI24" s="1"/>
  <c r="DH22"/>
  <c r="DI22" s="1"/>
  <c r="DH21"/>
  <c r="DI21" s="1"/>
  <c r="DH20"/>
  <c r="DI20" s="1"/>
  <c r="DH19"/>
  <c r="DI19" s="1"/>
  <c r="DH18"/>
  <c r="DI18" s="1"/>
  <c r="DH16"/>
  <c r="DI16" s="1"/>
  <c r="DH15"/>
  <c r="DI15" s="1"/>
  <c r="DH14"/>
  <c r="DI14" s="1"/>
  <c r="DH13"/>
  <c r="DI13" s="1"/>
  <c r="DH12"/>
  <c r="DI12" s="1"/>
  <c r="DG10"/>
  <c r="DF10"/>
  <c r="CT10" i="30" l="1"/>
  <c r="CS10"/>
  <c r="DC10" i="28"/>
  <c r="DH10" i="29"/>
  <c r="DI10"/>
  <c r="J10" i="40" l="1"/>
  <c r="I10"/>
  <c r="H10"/>
  <c r="G10"/>
  <c r="F10"/>
  <c r="E10"/>
  <c r="D10"/>
  <c r="C10"/>
  <c r="B10"/>
  <c r="X10"/>
  <c r="E10" i="36"/>
  <c r="D10"/>
  <c r="C10"/>
  <c r="B10"/>
  <c r="AE10"/>
  <c r="AN39" i="35"/>
  <c r="AN38"/>
  <c r="AN37"/>
  <c r="AN36"/>
  <c r="AN34"/>
  <c r="AN33"/>
  <c r="AN32"/>
  <c r="AN31"/>
  <c r="AN30"/>
  <c r="AN28"/>
  <c r="AN27"/>
  <c r="AN26"/>
  <c r="AN25"/>
  <c r="AN24"/>
  <c r="AN22"/>
  <c r="AN21"/>
  <c r="AN20"/>
  <c r="AN19"/>
  <c r="AN18"/>
  <c r="AN16"/>
  <c r="AN15"/>
  <c r="AN14"/>
  <c r="AN13"/>
  <c r="AN12"/>
  <c r="AN10"/>
  <c r="L32" i="33"/>
  <c r="L28"/>
  <c r="AE10"/>
  <c r="AI39"/>
  <c r="AI38"/>
  <c r="AI37"/>
  <c r="AI36"/>
  <c r="AI34"/>
  <c r="AI33"/>
  <c r="AI32"/>
  <c r="AI31"/>
  <c r="AI30"/>
  <c r="AI28"/>
  <c r="AI27"/>
  <c r="AI26"/>
  <c r="AI25"/>
  <c r="AI24"/>
  <c r="AI22"/>
  <c r="AI21"/>
  <c r="AI20"/>
  <c r="AI19"/>
  <c r="AI18"/>
  <c r="AI16"/>
  <c r="AI15"/>
  <c r="AI14"/>
  <c r="AI13"/>
  <c r="AI12"/>
  <c r="AH10"/>
  <c r="AG10"/>
  <c r="J10"/>
  <c r="I10"/>
  <c r="H10"/>
  <c r="G10"/>
  <c r="F10"/>
  <c r="E10"/>
  <c r="D10"/>
  <c r="C10"/>
  <c r="B10"/>
  <c r="AE10" i="32"/>
  <c r="AI39"/>
  <c r="AI38"/>
  <c r="AI37"/>
  <c r="AI36"/>
  <c r="AI34"/>
  <c r="AI33"/>
  <c r="AI32"/>
  <c r="AI31"/>
  <c r="AI30"/>
  <c r="AI28"/>
  <c r="AI27"/>
  <c r="AI26"/>
  <c r="AI25"/>
  <c r="AI24"/>
  <c r="AI22"/>
  <c r="AI21"/>
  <c r="AI20"/>
  <c r="AI19"/>
  <c r="AI18"/>
  <c r="AI16"/>
  <c r="AI15"/>
  <c r="AI14"/>
  <c r="AI13"/>
  <c r="AI12"/>
  <c r="AI10" s="1"/>
  <c r="AH10"/>
  <c r="AG10"/>
  <c r="AE10" i="31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0" s="1"/>
  <c r="AJ39"/>
  <c r="AJ38"/>
  <c r="AJ37"/>
  <c r="AJ36"/>
  <c r="AJ34"/>
  <c r="AJ33"/>
  <c r="AJ32"/>
  <c r="AJ31"/>
  <c r="AJ30"/>
  <c r="AJ28"/>
  <c r="AJ27"/>
  <c r="AJ26"/>
  <c r="AJ25"/>
  <c r="AJ24"/>
  <c r="AJ22"/>
  <c r="AJ21"/>
  <c r="AJ20"/>
  <c r="AJ19"/>
  <c r="AJ18"/>
  <c r="AJ16"/>
  <c r="AJ15"/>
  <c r="AJ14"/>
  <c r="AJ13"/>
  <c r="AJ12"/>
  <c r="AJ10"/>
  <c r="AI10"/>
  <c r="AH10"/>
  <c r="AG10"/>
  <c r="AE10" i="30"/>
  <c r="AJ39"/>
  <c r="AK39" s="1"/>
  <c r="AJ38"/>
  <c r="AK38" s="1"/>
  <c r="AJ37"/>
  <c r="AK37" s="1"/>
  <c r="AJ36"/>
  <c r="AK36" s="1"/>
  <c r="AJ34"/>
  <c r="AK34" s="1"/>
  <c r="AJ33"/>
  <c r="AK33" s="1"/>
  <c r="AJ32"/>
  <c r="AK32" s="1"/>
  <c r="AJ31"/>
  <c r="AK31" s="1"/>
  <c r="AJ30"/>
  <c r="AK30" s="1"/>
  <c r="AJ28"/>
  <c r="AK28" s="1"/>
  <c r="AJ27"/>
  <c r="AK27" s="1"/>
  <c r="AJ26"/>
  <c r="AK26" s="1"/>
  <c r="AJ25"/>
  <c r="AK25" s="1"/>
  <c r="AJ24"/>
  <c r="AK24" s="1"/>
  <c r="AJ22"/>
  <c r="AK22" s="1"/>
  <c r="AJ21"/>
  <c r="AK21" s="1"/>
  <c r="AJ20"/>
  <c r="AK20" s="1"/>
  <c r="AJ19"/>
  <c r="AK19" s="1"/>
  <c r="AJ18"/>
  <c r="AK18" s="1"/>
  <c r="AJ16"/>
  <c r="AK16" s="1"/>
  <c r="AJ15"/>
  <c r="AK15" s="1"/>
  <c r="AJ14"/>
  <c r="AK14" s="1"/>
  <c r="AJ13"/>
  <c r="AK13" s="1"/>
  <c r="AJ12"/>
  <c r="AK12" s="1"/>
  <c r="AI10"/>
  <c r="AH10"/>
  <c r="AG10"/>
  <c r="J10"/>
  <c r="I10"/>
  <c r="H10"/>
  <c r="G10"/>
  <c r="F10"/>
  <c r="E10"/>
  <c r="D10"/>
  <c r="C10"/>
  <c r="B10"/>
  <c r="AE10" i="39"/>
  <c r="AG10"/>
  <c r="AE10" i="29"/>
  <c r="AJ39"/>
  <c r="AK39" s="1"/>
  <c r="AJ38"/>
  <c r="AK38" s="1"/>
  <c r="AJ37"/>
  <c r="AK37" s="1"/>
  <c r="AJ36"/>
  <c r="AK36" s="1"/>
  <c r="AJ34"/>
  <c r="AK34" s="1"/>
  <c r="AJ33"/>
  <c r="AK33" s="1"/>
  <c r="AJ32"/>
  <c r="AK32" s="1"/>
  <c r="AJ31"/>
  <c r="AK31" s="1"/>
  <c r="AJ30"/>
  <c r="AK30" s="1"/>
  <c r="AJ28"/>
  <c r="AK28" s="1"/>
  <c r="AJ27"/>
  <c r="AK27" s="1"/>
  <c r="AJ26"/>
  <c r="AK26" s="1"/>
  <c r="AJ25"/>
  <c r="AK25" s="1"/>
  <c r="AJ24"/>
  <c r="AK24" s="1"/>
  <c r="AJ22"/>
  <c r="AK22" s="1"/>
  <c r="AJ21"/>
  <c r="AK21" s="1"/>
  <c r="AJ20"/>
  <c r="AK20" s="1"/>
  <c r="AJ19"/>
  <c r="AK19" s="1"/>
  <c r="AK18"/>
  <c r="AJ18"/>
  <c r="AJ16"/>
  <c r="AK16" s="1"/>
  <c r="AJ15"/>
  <c r="AK15" s="1"/>
  <c r="AJ14"/>
  <c r="AK14" s="1"/>
  <c r="AJ13"/>
  <c r="AK13" s="1"/>
  <c r="AJ12"/>
  <c r="AK12" s="1"/>
  <c r="AI10"/>
  <c r="AH10"/>
  <c r="AG10"/>
  <c r="AE10" i="28"/>
  <c r="AK39"/>
  <c r="AL39" s="1"/>
  <c r="AK38"/>
  <c r="AL38" s="1"/>
  <c r="AK37"/>
  <c r="AL37" s="1"/>
  <c r="AK36"/>
  <c r="AL36" s="1"/>
  <c r="AK34"/>
  <c r="AL34" s="1"/>
  <c r="AK33"/>
  <c r="AL33" s="1"/>
  <c r="AK32"/>
  <c r="AL32" s="1"/>
  <c r="AK31"/>
  <c r="AL31" s="1"/>
  <c r="AK30"/>
  <c r="AL30" s="1"/>
  <c r="AK28"/>
  <c r="AL28" s="1"/>
  <c r="AK27"/>
  <c r="AL27" s="1"/>
  <c r="AK26"/>
  <c r="AL26" s="1"/>
  <c r="AK25"/>
  <c r="AL25" s="1"/>
  <c r="AK24"/>
  <c r="AL24" s="1"/>
  <c r="AK22"/>
  <c r="AL22" s="1"/>
  <c r="AK21"/>
  <c r="AL21" s="1"/>
  <c r="AK20"/>
  <c r="AL20" s="1"/>
  <c r="AK19"/>
  <c r="AL19" s="1"/>
  <c r="AK18"/>
  <c r="AL18" s="1"/>
  <c r="AK16"/>
  <c r="AL16" s="1"/>
  <c r="AK15"/>
  <c r="AL15" s="1"/>
  <c r="AK14"/>
  <c r="AL14" s="1"/>
  <c r="AK13"/>
  <c r="AL13" s="1"/>
  <c r="AK12"/>
  <c r="AL12" s="1"/>
  <c r="AJ10"/>
  <c r="AI10"/>
  <c r="AH10"/>
  <c r="AG10"/>
  <c r="AH10" i="27"/>
  <c r="AE10"/>
  <c r="AI39"/>
  <c r="AJ39" s="1"/>
  <c r="AI38"/>
  <c r="AJ38" s="1"/>
  <c r="AI37"/>
  <c r="AJ37" s="1"/>
  <c r="AI36"/>
  <c r="AJ36" s="1"/>
  <c r="AI34"/>
  <c r="AJ34" s="1"/>
  <c r="AI33"/>
  <c r="AJ33" s="1"/>
  <c r="AI32"/>
  <c r="AJ32" s="1"/>
  <c r="AI31"/>
  <c r="AJ31" s="1"/>
  <c r="AI30"/>
  <c r="AJ30" s="1"/>
  <c r="AI28"/>
  <c r="AJ28" s="1"/>
  <c r="AI27"/>
  <c r="AJ27" s="1"/>
  <c r="AI26"/>
  <c r="AJ26" s="1"/>
  <c r="AI25"/>
  <c r="AJ25" s="1"/>
  <c r="AI24"/>
  <c r="AJ24" s="1"/>
  <c r="AI22"/>
  <c r="AJ22" s="1"/>
  <c r="AI21"/>
  <c r="AJ21" s="1"/>
  <c r="AI20"/>
  <c r="AJ20" s="1"/>
  <c r="AI19"/>
  <c r="AJ19" s="1"/>
  <c r="AI18"/>
  <c r="AJ18" s="1"/>
  <c r="AI16"/>
  <c r="AJ16" s="1"/>
  <c r="AI15"/>
  <c r="AJ15" s="1"/>
  <c r="AI14"/>
  <c r="AJ14" s="1"/>
  <c r="AI13"/>
  <c r="AJ13" s="1"/>
  <c r="AI12"/>
  <c r="AJ12" s="1"/>
  <c r="AD10"/>
  <c r="AE10" i="26"/>
  <c r="J10"/>
  <c r="I10"/>
  <c r="H10"/>
  <c r="G10"/>
  <c r="F10"/>
  <c r="E10"/>
  <c r="D10"/>
  <c r="C10"/>
  <c r="B10"/>
  <c r="AE10" i="25"/>
  <c r="J10"/>
  <c r="I10"/>
  <c r="H10"/>
  <c r="G10"/>
  <c r="F10"/>
  <c r="E10"/>
  <c r="D10"/>
  <c r="C10"/>
  <c r="B10"/>
  <c r="AE10" i="24"/>
  <c r="L39"/>
  <c r="L38"/>
  <c r="L37"/>
  <c r="L36"/>
  <c r="L34"/>
  <c r="L33"/>
  <c r="L32"/>
  <c r="L31"/>
  <c r="L30"/>
  <c r="L28"/>
  <c r="L27"/>
  <c r="L26"/>
  <c r="L25"/>
  <c r="L24"/>
  <c r="L22"/>
  <c r="L21"/>
  <c r="L20"/>
  <c r="L19"/>
  <c r="L18"/>
  <c r="L16"/>
  <c r="L15"/>
  <c r="L14"/>
  <c r="L13"/>
  <c r="L12"/>
  <c r="J10"/>
  <c r="I10"/>
  <c r="H10"/>
  <c r="G10"/>
  <c r="F10"/>
  <c r="E10"/>
  <c r="D10"/>
  <c r="C10"/>
  <c r="B10"/>
  <c r="J10" i="23"/>
  <c r="I10"/>
  <c r="H10"/>
  <c r="G10"/>
  <c r="F10"/>
  <c r="E10"/>
  <c r="D10"/>
  <c r="C10"/>
  <c r="B10"/>
  <c r="L39" i="38"/>
  <c r="L38"/>
  <c r="L37"/>
  <c r="L36"/>
  <c r="L34"/>
  <c r="L33"/>
  <c r="L32"/>
  <c r="L31"/>
  <c r="L30"/>
  <c r="L28"/>
  <c r="L27"/>
  <c r="L26"/>
  <c r="L25"/>
  <c r="L24"/>
  <c r="L22"/>
  <c r="L21"/>
  <c r="L20"/>
  <c r="L19"/>
  <c r="L18"/>
  <c r="L16"/>
  <c r="L15"/>
  <c r="L14"/>
  <c r="L13"/>
  <c r="L12"/>
  <c r="J10" i="22"/>
  <c r="I10"/>
  <c r="H10"/>
  <c r="G10"/>
  <c r="F10"/>
  <c r="E10"/>
  <c r="D10"/>
  <c r="C10"/>
  <c r="B10"/>
  <c r="AE10" i="38"/>
  <c r="AD10"/>
  <c r="AC10"/>
  <c r="AB10"/>
  <c r="AA10"/>
  <c r="Z10"/>
  <c r="Y10"/>
  <c r="X10"/>
  <c r="W10"/>
  <c r="V10"/>
  <c r="AK10" i="30" l="1"/>
  <c r="AJ10"/>
  <c r="AK10" i="29"/>
  <c r="AJ10"/>
  <c r="AK10" i="28"/>
  <c r="AL10"/>
  <c r="AI10" i="27"/>
  <c r="AJ10" s="1"/>
  <c r="CW39" i="35"/>
  <c r="CW38"/>
  <c r="CW37"/>
  <c r="CW36"/>
  <c r="CW34"/>
  <c r="CW33"/>
  <c r="CW32"/>
  <c r="CW31"/>
  <c r="CW30"/>
  <c r="CW28"/>
  <c r="CW27"/>
  <c r="CW26"/>
  <c r="CW25"/>
  <c r="CW24"/>
  <c r="CW22"/>
  <c r="CW21"/>
  <c r="CW20"/>
  <c r="CW19"/>
  <c r="CW18"/>
  <c r="CW16"/>
  <c r="CW15"/>
  <c r="CW14"/>
  <c r="CW13"/>
  <c r="CW12"/>
  <c r="BI10" i="22" l="1"/>
  <c r="L34" i="33" l="1"/>
  <c r="AT10" i="40"/>
  <c r="BJ39" i="36"/>
  <c r="BJ38"/>
  <c r="BJ37"/>
  <c r="BJ36"/>
  <c r="BJ34"/>
  <c r="BJ33"/>
  <c r="BJ32"/>
  <c r="BJ31"/>
  <c r="BJ30"/>
  <c r="BJ28"/>
  <c r="BJ27"/>
  <c r="BJ26"/>
  <c r="BJ25"/>
  <c r="BJ24"/>
  <c r="BJ22"/>
  <c r="BJ21"/>
  <c r="BJ20"/>
  <c r="BJ19"/>
  <c r="BJ18"/>
  <c r="BJ16"/>
  <c r="BJ15"/>
  <c r="BJ14"/>
  <c r="BJ13"/>
  <c r="BJ12"/>
  <c r="BJ10"/>
  <c r="BI10"/>
  <c r="AD10" l="1"/>
  <c r="CW10" i="35"/>
  <c r="BS39" i="33" l="1"/>
  <c r="BS38"/>
  <c r="BS37"/>
  <c r="BS36"/>
  <c r="BS34"/>
  <c r="BS33"/>
  <c r="BS32"/>
  <c r="BS31"/>
  <c r="BS30"/>
  <c r="BS28"/>
  <c r="BS27"/>
  <c r="BS26"/>
  <c r="BS25"/>
  <c r="BS24"/>
  <c r="BS22"/>
  <c r="BS21"/>
  <c r="BS20"/>
  <c r="BS19"/>
  <c r="BS18"/>
  <c r="BS16"/>
  <c r="BS15"/>
  <c r="BS14"/>
  <c r="BS13"/>
  <c r="BS12"/>
  <c r="BR10"/>
  <c r="BQ10"/>
  <c r="AD10"/>
  <c r="BS39" i="32"/>
  <c r="BS38"/>
  <c r="BS37"/>
  <c r="BS36"/>
  <c r="BS34"/>
  <c r="BS33"/>
  <c r="BS32"/>
  <c r="BS31"/>
  <c r="BS30"/>
  <c r="BS28"/>
  <c r="BS27"/>
  <c r="BS26"/>
  <c r="BS25"/>
  <c r="BS24"/>
  <c r="BS22"/>
  <c r="BS21"/>
  <c r="BS20"/>
  <c r="BS19"/>
  <c r="BS18"/>
  <c r="BS16"/>
  <c r="BS15"/>
  <c r="BS14"/>
  <c r="BS13"/>
  <c r="BS12"/>
  <c r="BR10"/>
  <c r="BQ10"/>
  <c r="AD10" i="31"/>
  <c r="CL39"/>
  <c r="CM39" s="1"/>
  <c r="CL38"/>
  <c r="CM38" s="1"/>
  <c r="CL37"/>
  <c r="CM37" s="1"/>
  <c r="CL36"/>
  <c r="CM36" s="1"/>
  <c r="CL34"/>
  <c r="CM34" s="1"/>
  <c r="CL33"/>
  <c r="CM33" s="1"/>
  <c r="CL32"/>
  <c r="CM32" s="1"/>
  <c r="CL31"/>
  <c r="CM31" s="1"/>
  <c r="CL30"/>
  <c r="CM30" s="1"/>
  <c r="CL28"/>
  <c r="CM28" s="1"/>
  <c r="CL27"/>
  <c r="CM27" s="1"/>
  <c r="CL26"/>
  <c r="CM26" s="1"/>
  <c r="CL25"/>
  <c r="CM25" s="1"/>
  <c r="CL24"/>
  <c r="CM24" s="1"/>
  <c r="CL22"/>
  <c r="CM22" s="1"/>
  <c r="CL21"/>
  <c r="CM21" s="1"/>
  <c r="CL20"/>
  <c r="CM20" s="1"/>
  <c r="CL19"/>
  <c r="CM19" s="1"/>
  <c r="CL18"/>
  <c r="CM18" s="1"/>
  <c r="CL16"/>
  <c r="CM16" s="1"/>
  <c r="CL15"/>
  <c r="CM15" s="1"/>
  <c r="CL14"/>
  <c r="CM14" s="1"/>
  <c r="CM13"/>
  <c r="CL13"/>
  <c r="CM12"/>
  <c r="CL12"/>
  <c r="CL10"/>
  <c r="CK10"/>
  <c r="CJ10"/>
  <c r="CI10"/>
  <c r="BS10" i="32" l="1"/>
  <c r="BS10" i="33"/>
  <c r="CM10" i="31"/>
  <c r="CM39" i="30"/>
  <c r="CN39" s="1"/>
  <c r="CM38"/>
  <c r="CN38" s="1"/>
  <c r="CM37"/>
  <c r="CN37" s="1"/>
  <c r="CM36"/>
  <c r="CN36" s="1"/>
  <c r="CM34"/>
  <c r="CN34" s="1"/>
  <c r="CM33"/>
  <c r="CN33" s="1"/>
  <c r="CM32"/>
  <c r="CN32" s="1"/>
  <c r="CM31"/>
  <c r="CN31" s="1"/>
  <c r="CM30"/>
  <c r="CN30" s="1"/>
  <c r="CM28"/>
  <c r="CN28" s="1"/>
  <c r="CM27"/>
  <c r="CN27" s="1"/>
  <c r="CM26"/>
  <c r="CN26" s="1"/>
  <c r="CM25"/>
  <c r="CN25" s="1"/>
  <c r="CM24"/>
  <c r="CN24" s="1"/>
  <c r="CM22"/>
  <c r="CN22" s="1"/>
  <c r="CM21"/>
  <c r="CN21" s="1"/>
  <c r="CM20"/>
  <c r="CN20" s="1"/>
  <c r="CM19"/>
  <c r="CN19" s="1"/>
  <c r="CM18"/>
  <c r="CN18" s="1"/>
  <c r="CM16"/>
  <c r="CN16" s="1"/>
  <c r="CM15"/>
  <c r="CN15" s="1"/>
  <c r="CM14"/>
  <c r="CN14" s="1"/>
  <c r="CM13"/>
  <c r="CN13" s="1"/>
  <c r="CM12"/>
  <c r="CN12" s="1"/>
  <c r="CL10"/>
  <c r="CL2" s="1"/>
  <c r="CK10"/>
  <c r="CJ10"/>
  <c r="CJ2" s="1"/>
  <c r="AD10"/>
  <c r="BJ39" i="39"/>
  <c r="BJ38"/>
  <c r="BJ37"/>
  <c r="BJ36"/>
  <c r="BJ34"/>
  <c r="BJ33"/>
  <c r="BJ32"/>
  <c r="BJ31"/>
  <c r="BJ30"/>
  <c r="BJ10" s="1"/>
  <c r="BJ28"/>
  <c r="BJ27"/>
  <c r="BJ26"/>
  <c r="BJ25"/>
  <c r="BJ24"/>
  <c r="BJ22"/>
  <c r="BJ21"/>
  <c r="BJ20"/>
  <c r="BJ19"/>
  <c r="BJ18"/>
  <c r="BJ16"/>
  <c r="BJ15"/>
  <c r="BJ14"/>
  <c r="BJ13"/>
  <c r="BJ12"/>
  <c r="BI10"/>
  <c r="BH10"/>
  <c r="AD10"/>
  <c r="DB39" i="29"/>
  <c r="DC39" s="1"/>
  <c r="DB38"/>
  <c r="DC38" s="1"/>
  <c r="DB37"/>
  <c r="DC37" s="1"/>
  <c r="DB36"/>
  <c r="DC36" s="1"/>
  <c r="DB34"/>
  <c r="DC34" s="1"/>
  <c r="DB33"/>
  <c r="DC33" s="1"/>
  <c r="DB32"/>
  <c r="DC32" s="1"/>
  <c r="DB31"/>
  <c r="DC31" s="1"/>
  <c r="DB30"/>
  <c r="DC30" s="1"/>
  <c r="DB28"/>
  <c r="DC28" s="1"/>
  <c r="DB27"/>
  <c r="DC27" s="1"/>
  <c r="DB26"/>
  <c r="DC26" s="1"/>
  <c r="DB25"/>
  <c r="DC25" s="1"/>
  <c r="DB24"/>
  <c r="DC24" s="1"/>
  <c r="DB22"/>
  <c r="DC22" s="1"/>
  <c r="DB21"/>
  <c r="DC21" s="1"/>
  <c r="DB20"/>
  <c r="DC20" s="1"/>
  <c r="DB19"/>
  <c r="DC19" s="1"/>
  <c r="DB18"/>
  <c r="DC18" s="1"/>
  <c r="DB16"/>
  <c r="DC16" s="1"/>
  <c r="DB15"/>
  <c r="DC15" s="1"/>
  <c r="DB14"/>
  <c r="DC14" s="1"/>
  <c r="DB13"/>
  <c r="DB12"/>
  <c r="DC12" s="1"/>
  <c r="DA10"/>
  <c r="CZ10"/>
  <c r="CY10"/>
  <c r="DB10" l="1"/>
  <c r="DC13"/>
  <c r="DC10" s="1"/>
  <c r="CM10" i="30"/>
  <c r="CN10"/>
  <c r="AD10" i="29" l="1"/>
  <c r="CU39" i="28"/>
  <c r="CV39" s="1"/>
  <c r="CU38"/>
  <c r="CV38" s="1"/>
  <c r="CU37"/>
  <c r="CV37" s="1"/>
  <c r="CU36"/>
  <c r="CV36" s="1"/>
  <c r="CU34"/>
  <c r="CV34" s="1"/>
  <c r="CU33"/>
  <c r="CV33" s="1"/>
  <c r="CU32"/>
  <c r="CV32" s="1"/>
  <c r="CU31"/>
  <c r="CV31" s="1"/>
  <c r="CU30"/>
  <c r="CV30" s="1"/>
  <c r="CU28"/>
  <c r="CV28" s="1"/>
  <c r="CU27"/>
  <c r="CV27" s="1"/>
  <c r="CU26"/>
  <c r="CV26" s="1"/>
  <c r="CU25"/>
  <c r="CV25" s="1"/>
  <c r="CU24"/>
  <c r="CV24" s="1"/>
  <c r="CU22"/>
  <c r="CV22" s="1"/>
  <c r="CU21"/>
  <c r="CV21" s="1"/>
  <c r="CU20"/>
  <c r="CV20" s="1"/>
  <c r="CU19"/>
  <c r="CV19" s="1"/>
  <c r="CU18"/>
  <c r="CV18" s="1"/>
  <c r="CU16"/>
  <c r="CV16" s="1"/>
  <c r="CU15"/>
  <c r="CV15" s="1"/>
  <c r="CU14"/>
  <c r="CV14" s="1"/>
  <c r="CU13"/>
  <c r="CV13" s="1"/>
  <c r="CU12"/>
  <c r="CV12" s="1"/>
  <c r="CU10"/>
  <c r="CT10"/>
  <c r="CS10"/>
  <c r="CR10"/>
  <c r="CQ10"/>
  <c r="AB10"/>
  <c r="AA10"/>
  <c r="Z10"/>
  <c r="BV10" i="27"/>
  <c r="BW39"/>
  <c r="BX39" s="1"/>
  <c r="BW38"/>
  <c r="BX38" s="1"/>
  <c r="BW37"/>
  <c r="BX37" s="1"/>
  <c r="BW36"/>
  <c r="BX36" s="1"/>
  <c r="BW34"/>
  <c r="BX34" s="1"/>
  <c r="BW33"/>
  <c r="BX33" s="1"/>
  <c r="BW32"/>
  <c r="BX32" s="1"/>
  <c r="BW31"/>
  <c r="BX31" s="1"/>
  <c r="BW30"/>
  <c r="BX30" s="1"/>
  <c r="BW28"/>
  <c r="BX28" s="1"/>
  <c r="BW27"/>
  <c r="BX27" s="1"/>
  <c r="BW26"/>
  <c r="BX26" s="1"/>
  <c r="BW25"/>
  <c r="BX25" s="1"/>
  <c r="BW24"/>
  <c r="BX24" s="1"/>
  <c r="BW22"/>
  <c r="BX22" s="1"/>
  <c r="BW21"/>
  <c r="BX21" s="1"/>
  <c r="BW20"/>
  <c r="BX20" s="1"/>
  <c r="BW19"/>
  <c r="BX19" s="1"/>
  <c r="BW18"/>
  <c r="BX18" s="1"/>
  <c r="BW16"/>
  <c r="BX16" s="1"/>
  <c r="BW15"/>
  <c r="BX15" s="1"/>
  <c r="BW14"/>
  <c r="BX14" s="1"/>
  <c r="BW13"/>
  <c r="BX13" s="1"/>
  <c r="BW12"/>
  <c r="BX12" s="1"/>
  <c r="BU10"/>
  <c r="BH39" i="26"/>
  <c r="BH38"/>
  <c r="BH37"/>
  <c r="BH36"/>
  <c r="BH34"/>
  <c r="BH33"/>
  <c r="BH32"/>
  <c r="BH31"/>
  <c r="BH30"/>
  <c r="BH28"/>
  <c r="BH27"/>
  <c r="BH26"/>
  <c r="BH25"/>
  <c r="BH24"/>
  <c r="BH23"/>
  <c r="BH22"/>
  <c r="BH21"/>
  <c r="BH20"/>
  <c r="BH19"/>
  <c r="BH18"/>
  <c r="BH16"/>
  <c r="BH15"/>
  <c r="BH14"/>
  <c r="BH13"/>
  <c r="BH12"/>
  <c r="BG10"/>
  <c r="BH10" s="1"/>
  <c r="AD10"/>
  <c r="L39" i="25"/>
  <c r="BN39"/>
  <c r="BO39" s="1"/>
  <c r="BN38"/>
  <c r="BO38" s="1"/>
  <c r="BN37"/>
  <c r="BO37" s="1"/>
  <c r="BN36"/>
  <c r="BO36" s="1"/>
  <c r="BN34"/>
  <c r="BO34" s="1"/>
  <c r="BN33"/>
  <c r="BO33" s="1"/>
  <c r="BN32"/>
  <c r="BO32" s="1"/>
  <c r="BN31"/>
  <c r="BO31" s="1"/>
  <c r="BN30"/>
  <c r="BO30" s="1"/>
  <c r="BN28"/>
  <c r="BO28" s="1"/>
  <c r="BN27"/>
  <c r="BO27" s="1"/>
  <c r="BN26"/>
  <c r="BO26" s="1"/>
  <c r="BN25"/>
  <c r="BO25" s="1"/>
  <c r="BN24"/>
  <c r="BO24" s="1"/>
  <c r="BN22"/>
  <c r="BO22" s="1"/>
  <c r="BN21"/>
  <c r="BO21" s="1"/>
  <c r="BN20"/>
  <c r="BO20" s="1"/>
  <c r="BN19"/>
  <c r="BO19" s="1"/>
  <c r="BN18"/>
  <c r="BO18" s="1"/>
  <c r="BN16"/>
  <c r="BO16" s="1"/>
  <c r="BN15"/>
  <c r="BO15" s="1"/>
  <c r="BN14"/>
  <c r="BO14" s="1"/>
  <c r="BN13"/>
  <c r="BO13" s="1"/>
  <c r="BN12"/>
  <c r="BO12" s="1"/>
  <c r="BM10"/>
  <c r="BL10"/>
  <c r="L38"/>
  <c r="L37"/>
  <c r="L36"/>
  <c r="L34"/>
  <c r="L33"/>
  <c r="L32"/>
  <c r="L31"/>
  <c r="L30"/>
  <c r="L28"/>
  <c r="L27"/>
  <c r="L26"/>
  <c r="L25"/>
  <c r="L24"/>
  <c r="L22"/>
  <c r="L21"/>
  <c r="L20"/>
  <c r="L19"/>
  <c r="L18"/>
  <c r="L16"/>
  <c r="L15"/>
  <c r="L14"/>
  <c r="L13"/>
  <c r="L12"/>
  <c r="BI39" i="24"/>
  <c r="BI38"/>
  <c r="BI37"/>
  <c r="BI36"/>
  <c r="BI34"/>
  <c r="BI33"/>
  <c r="BI32"/>
  <c r="BI31"/>
  <c r="BI30"/>
  <c r="BI28"/>
  <c r="BI27"/>
  <c r="BI26"/>
  <c r="BI25"/>
  <c r="BI24"/>
  <c r="BI22"/>
  <c r="BI21"/>
  <c r="BI20"/>
  <c r="BI19"/>
  <c r="BI18"/>
  <c r="BI16"/>
  <c r="BI15"/>
  <c r="BI14"/>
  <c r="BI13"/>
  <c r="BI12"/>
  <c r="BI10"/>
  <c r="AD10"/>
  <c r="L39" i="23"/>
  <c r="L38"/>
  <c r="L37"/>
  <c r="L36"/>
  <c r="L34"/>
  <c r="L33"/>
  <c r="L32"/>
  <c r="L31"/>
  <c r="L30"/>
  <c r="L28"/>
  <c r="L27"/>
  <c r="L26"/>
  <c r="L25"/>
  <c r="L24"/>
  <c r="L22"/>
  <c r="L21"/>
  <c r="L20"/>
  <c r="L19"/>
  <c r="L18"/>
  <c r="L16"/>
  <c r="L15"/>
  <c r="L14"/>
  <c r="L13"/>
  <c r="L12"/>
  <c r="BH39"/>
  <c r="BH38"/>
  <c r="BH37"/>
  <c r="BH36"/>
  <c r="BH34"/>
  <c r="BH33"/>
  <c r="BH32"/>
  <c r="BH31"/>
  <c r="BH30"/>
  <c r="BH28"/>
  <c r="BH27"/>
  <c r="BH26"/>
  <c r="BH25"/>
  <c r="BH24"/>
  <c r="BH22"/>
  <c r="BH21"/>
  <c r="BH20"/>
  <c r="BH19"/>
  <c r="BH18"/>
  <c r="BH16"/>
  <c r="BH15"/>
  <c r="BH14"/>
  <c r="BH13"/>
  <c r="BH12"/>
  <c r="BH10"/>
  <c r="AD10"/>
  <c r="BJ39" i="22"/>
  <c r="BJ38"/>
  <c r="BJ37"/>
  <c r="BJ36"/>
  <c r="BJ34"/>
  <c r="BJ33"/>
  <c r="BJ32"/>
  <c r="BJ31"/>
  <c r="BJ30"/>
  <c r="BJ28"/>
  <c r="BJ27"/>
  <c r="BJ26"/>
  <c r="BJ25"/>
  <c r="BJ24"/>
  <c r="BJ22"/>
  <c r="BJ21"/>
  <c r="BJ20"/>
  <c r="BJ19"/>
  <c r="BJ18"/>
  <c r="BJ16"/>
  <c r="BJ15"/>
  <c r="BJ14"/>
  <c r="BJ13"/>
  <c r="BJ12"/>
  <c r="L39"/>
  <c r="L38"/>
  <c r="L37"/>
  <c r="L36"/>
  <c r="L34"/>
  <c r="L33"/>
  <c r="L32"/>
  <c r="L31"/>
  <c r="L30"/>
  <c r="L28"/>
  <c r="L27"/>
  <c r="L26"/>
  <c r="L25"/>
  <c r="L24"/>
  <c r="L22"/>
  <c r="L21"/>
  <c r="L20"/>
  <c r="L19"/>
  <c r="L18"/>
  <c r="L16"/>
  <c r="L15"/>
  <c r="L14"/>
  <c r="L13"/>
  <c r="L12"/>
  <c r="AD10"/>
  <c r="BE39" i="38"/>
  <c r="BE38"/>
  <c r="BE37"/>
  <c r="BE36"/>
  <c r="BE34"/>
  <c r="BE33"/>
  <c r="BE32"/>
  <c r="BE31"/>
  <c r="BE30"/>
  <c r="BE28"/>
  <c r="BE27"/>
  <c r="BE26"/>
  <c r="BE25"/>
  <c r="BE24"/>
  <c r="BE22"/>
  <c r="BE21"/>
  <c r="BE20"/>
  <c r="BE19"/>
  <c r="BE18"/>
  <c r="BE16"/>
  <c r="BE15"/>
  <c r="BE14"/>
  <c r="BE13"/>
  <c r="BE12"/>
  <c r="BP10" i="27"/>
  <c r="BI39" i="25"/>
  <c r="BJ39" s="1"/>
  <c r="BI38"/>
  <c r="BJ38" s="1"/>
  <c r="BI37"/>
  <c r="BJ37" s="1"/>
  <c r="BI36"/>
  <c r="BJ36" s="1"/>
  <c r="BI34"/>
  <c r="BJ34" s="1"/>
  <c r="BI33"/>
  <c r="BJ33" s="1"/>
  <c r="BI32"/>
  <c r="BJ32" s="1"/>
  <c r="BI31"/>
  <c r="BJ31" s="1"/>
  <c r="BI30"/>
  <c r="BJ30" s="1"/>
  <c r="BI28"/>
  <c r="BJ28" s="1"/>
  <c r="BI27"/>
  <c r="BJ27" s="1"/>
  <c r="BI26"/>
  <c r="BJ26" s="1"/>
  <c r="BI25"/>
  <c r="BJ25" s="1"/>
  <c r="BI24"/>
  <c r="BJ24" s="1"/>
  <c r="BI22"/>
  <c r="BJ22" s="1"/>
  <c r="BI21"/>
  <c r="BJ21" s="1"/>
  <c r="BI20"/>
  <c r="BJ20" s="1"/>
  <c r="BI19"/>
  <c r="BJ19" s="1"/>
  <c r="BI18"/>
  <c r="BJ18" s="1"/>
  <c r="BI16"/>
  <c r="BJ16" s="1"/>
  <c r="BI15"/>
  <c r="BJ15" s="1"/>
  <c r="BI14"/>
  <c r="BJ14" s="1"/>
  <c r="BI13"/>
  <c r="BJ13" s="1"/>
  <c r="BI12"/>
  <c r="BJ12" s="1"/>
  <c r="BH10"/>
  <c r="L10" i="22"/>
  <c r="BF10"/>
  <c r="CU10" i="29"/>
  <c r="CS10"/>
  <c r="CT10"/>
  <c r="L39" i="34"/>
  <c r="L38"/>
  <c r="L37"/>
  <c r="L36"/>
  <c r="L34"/>
  <c r="L33"/>
  <c r="L32"/>
  <c r="L31"/>
  <c r="L30"/>
  <c r="L28"/>
  <c r="L27"/>
  <c r="L26"/>
  <c r="L25"/>
  <c r="L24"/>
  <c r="L22"/>
  <c r="L21"/>
  <c r="L20"/>
  <c r="L19"/>
  <c r="L18"/>
  <c r="L16"/>
  <c r="L15"/>
  <c r="L14"/>
  <c r="L13"/>
  <c r="L12"/>
  <c r="L10"/>
  <c r="BE10" i="26"/>
  <c r="AV10" i="23"/>
  <c r="AW12"/>
  <c r="AW13"/>
  <c r="AW14"/>
  <c r="AW15"/>
  <c r="AW16"/>
  <c r="AW18"/>
  <c r="AW19"/>
  <c r="AW20"/>
  <c r="AW21"/>
  <c r="AW22"/>
  <c r="AW24"/>
  <c r="AW25"/>
  <c r="AW26"/>
  <c r="AW27"/>
  <c r="AW28"/>
  <c r="AW30"/>
  <c r="AW31"/>
  <c r="AW32"/>
  <c r="AW33"/>
  <c r="AW34"/>
  <c r="AW36"/>
  <c r="AW37"/>
  <c r="AW38"/>
  <c r="AW39"/>
  <c r="CQ39" i="35"/>
  <c r="CQ38"/>
  <c r="CQ37"/>
  <c r="CQ36"/>
  <c r="CQ34"/>
  <c r="CQ33"/>
  <c r="CQ32"/>
  <c r="CQ31"/>
  <c r="CQ30"/>
  <c r="CQ28"/>
  <c r="CQ27"/>
  <c r="CQ26"/>
  <c r="CQ25"/>
  <c r="CQ24"/>
  <c r="CQ22"/>
  <c r="CQ21"/>
  <c r="CQ20"/>
  <c r="CQ19"/>
  <c r="CQ18"/>
  <c r="CQ16"/>
  <c r="CQ15"/>
  <c r="CQ14"/>
  <c r="CQ13"/>
  <c r="CQ12"/>
  <c r="CQ10"/>
  <c r="K10" i="40"/>
  <c r="M10" s="1"/>
  <c r="V10"/>
  <c r="AR10"/>
  <c r="BO39" i="33"/>
  <c r="BO38"/>
  <c r="BO37"/>
  <c r="BO36"/>
  <c r="BO34"/>
  <c r="BO33"/>
  <c r="BO32"/>
  <c r="BO31"/>
  <c r="BO30"/>
  <c r="BO28"/>
  <c r="BO27"/>
  <c r="BO26"/>
  <c r="BO25"/>
  <c r="BO24"/>
  <c r="BO22"/>
  <c r="BO21"/>
  <c r="BO20"/>
  <c r="BO19"/>
  <c r="BO18"/>
  <c r="BO16"/>
  <c r="BO15"/>
  <c r="BO14"/>
  <c r="BO13"/>
  <c r="BO12"/>
  <c r="BO10"/>
  <c r="BN10"/>
  <c r="BM10"/>
  <c r="AC10"/>
  <c r="AC10" i="32"/>
  <c r="BO39"/>
  <c r="BO38"/>
  <c r="BO37"/>
  <c r="BO36"/>
  <c r="BO34"/>
  <c r="BO33"/>
  <c r="BO32"/>
  <c r="BO31"/>
  <c r="BO30"/>
  <c r="BO28"/>
  <c r="BO27"/>
  <c r="BO26"/>
  <c r="BO25"/>
  <c r="BO24"/>
  <c r="BO22"/>
  <c r="BO21"/>
  <c r="BO20"/>
  <c r="BO19"/>
  <c r="BO18"/>
  <c r="BO16"/>
  <c r="BO15"/>
  <c r="BO14"/>
  <c r="BO13"/>
  <c r="BO12"/>
  <c r="BO10" s="1"/>
  <c r="BN10"/>
  <c r="BM10"/>
  <c r="CF39" i="31"/>
  <c r="CG39"/>
  <c r="CF38"/>
  <c r="CG38"/>
  <c r="CF37"/>
  <c r="CG37"/>
  <c r="CF36"/>
  <c r="CG36"/>
  <c r="CF34"/>
  <c r="CG34"/>
  <c r="CF33"/>
  <c r="CG33"/>
  <c r="CF32"/>
  <c r="CG32"/>
  <c r="CF31"/>
  <c r="CG31"/>
  <c r="CF30"/>
  <c r="CG30"/>
  <c r="CF28"/>
  <c r="CG28"/>
  <c r="CF27"/>
  <c r="CG27"/>
  <c r="CF26"/>
  <c r="CG26"/>
  <c r="CF25"/>
  <c r="CG25"/>
  <c r="CF24"/>
  <c r="CG24"/>
  <c r="CF22"/>
  <c r="CG22"/>
  <c r="CF21"/>
  <c r="CG21"/>
  <c r="CF20"/>
  <c r="CG20"/>
  <c r="CF19"/>
  <c r="CG19"/>
  <c r="CF18"/>
  <c r="CG18"/>
  <c r="CF16"/>
  <c r="CG16"/>
  <c r="CF15"/>
  <c r="CG15"/>
  <c r="CF14"/>
  <c r="CG14"/>
  <c r="CF13"/>
  <c r="CG13"/>
  <c r="CF12"/>
  <c r="CG12"/>
  <c r="CE10"/>
  <c r="CD10"/>
  <c r="CC10"/>
  <c r="AC10"/>
  <c r="CG39" i="30"/>
  <c r="CH39"/>
  <c r="CG38"/>
  <c r="CH38"/>
  <c r="CG37"/>
  <c r="CH37"/>
  <c r="CG36"/>
  <c r="CH36"/>
  <c r="CG34"/>
  <c r="CH34"/>
  <c r="CG33"/>
  <c r="CH33"/>
  <c r="CG32"/>
  <c r="CH32"/>
  <c r="CG31"/>
  <c r="CH31"/>
  <c r="CG30"/>
  <c r="CH30"/>
  <c r="CG28"/>
  <c r="CH28"/>
  <c r="CG27"/>
  <c r="CH27"/>
  <c r="CG26"/>
  <c r="CH26"/>
  <c r="CG25"/>
  <c r="CH25"/>
  <c r="CG24"/>
  <c r="CH24"/>
  <c r="CG22"/>
  <c r="CH22"/>
  <c r="CG21"/>
  <c r="CH21"/>
  <c r="CG20"/>
  <c r="CH20"/>
  <c r="CG19"/>
  <c r="CH19"/>
  <c r="CG18"/>
  <c r="CH18"/>
  <c r="CG16"/>
  <c r="CH16"/>
  <c r="CG15"/>
  <c r="CH15"/>
  <c r="CG14"/>
  <c r="CH14"/>
  <c r="CG13"/>
  <c r="CH13"/>
  <c r="CG12"/>
  <c r="CH12"/>
  <c r="CH10"/>
  <c r="CF10"/>
  <c r="CE10"/>
  <c r="BX10"/>
  <c r="CD10"/>
  <c r="AC10"/>
  <c r="BF39" i="39"/>
  <c r="BF38"/>
  <c r="BF37"/>
  <c r="BF36"/>
  <c r="BF34"/>
  <c r="BF33"/>
  <c r="BF32"/>
  <c r="BF31"/>
  <c r="BF30"/>
  <c r="BF28"/>
  <c r="BF27"/>
  <c r="BF26"/>
  <c r="BF25"/>
  <c r="BF24"/>
  <c r="BF22"/>
  <c r="BF21"/>
  <c r="BF20"/>
  <c r="BF19"/>
  <c r="BF18"/>
  <c r="BF16"/>
  <c r="BF15"/>
  <c r="BF14"/>
  <c r="BF13"/>
  <c r="BF12"/>
  <c r="BE10"/>
  <c r="BD10"/>
  <c r="AC10"/>
  <c r="CV39" i="29"/>
  <c r="CW39"/>
  <c r="CV38"/>
  <c r="CW38"/>
  <c r="CV37"/>
  <c r="CW37"/>
  <c r="CV36"/>
  <c r="CW36"/>
  <c r="CV34"/>
  <c r="CW34"/>
  <c r="CV33"/>
  <c r="CW33" s="1"/>
  <c r="CV32"/>
  <c r="CW32" s="1"/>
  <c r="CV31"/>
  <c r="CW31" s="1"/>
  <c r="CV30"/>
  <c r="CW30" s="1"/>
  <c r="CV28"/>
  <c r="CW28" s="1"/>
  <c r="CV27"/>
  <c r="CW27" s="1"/>
  <c r="CV26"/>
  <c r="CW26" s="1"/>
  <c r="CV25"/>
  <c r="CW25" s="1"/>
  <c r="CV24"/>
  <c r="CW24" s="1"/>
  <c r="CV22"/>
  <c r="CW22" s="1"/>
  <c r="CV21"/>
  <c r="CW21" s="1"/>
  <c r="CV20"/>
  <c r="CW20" s="1"/>
  <c r="CV19"/>
  <c r="CW19" s="1"/>
  <c r="CV18"/>
  <c r="CW18" s="1"/>
  <c r="CV16"/>
  <c r="CW16" s="1"/>
  <c r="CV15"/>
  <c r="CW15" s="1"/>
  <c r="CV14"/>
  <c r="CW14" s="1"/>
  <c r="CV13"/>
  <c r="CW13" s="1"/>
  <c r="CV12"/>
  <c r="CV10" s="1"/>
  <c r="AC10"/>
  <c r="CN39" i="28"/>
  <c r="CO39"/>
  <c r="CN38"/>
  <c r="CO38"/>
  <c r="CN37"/>
  <c r="CO37"/>
  <c r="CN36"/>
  <c r="CO36"/>
  <c r="CN34"/>
  <c r="CO34"/>
  <c r="CN33"/>
  <c r="CO33"/>
  <c r="CN32"/>
  <c r="CO32"/>
  <c r="CN31"/>
  <c r="CO31"/>
  <c r="CN30"/>
  <c r="CO30"/>
  <c r="CN28"/>
  <c r="CO28"/>
  <c r="CN27"/>
  <c r="CO27"/>
  <c r="CN26"/>
  <c r="CO26"/>
  <c r="CN25"/>
  <c r="CO25"/>
  <c r="CN24"/>
  <c r="CO24"/>
  <c r="CN22"/>
  <c r="CO22"/>
  <c r="CN21"/>
  <c r="CO21"/>
  <c r="CN20"/>
  <c r="CO20"/>
  <c r="CN19"/>
  <c r="CO19"/>
  <c r="CN18"/>
  <c r="CO18"/>
  <c r="CN16"/>
  <c r="CO16"/>
  <c r="CN15"/>
  <c r="CO15"/>
  <c r="CN14"/>
  <c r="CO14"/>
  <c r="CN13"/>
  <c r="CO13"/>
  <c r="CN12"/>
  <c r="CO12"/>
  <c r="CM10"/>
  <c r="CL10"/>
  <c r="CK10"/>
  <c r="CJ10"/>
  <c r="AC10" i="27"/>
  <c r="BR39"/>
  <c r="BS39" s="1"/>
  <c r="BR38"/>
  <c r="BS38" s="1"/>
  <c r="BR37"/>
  <c r="BS37" s="1"/>
  <c r="BR36"/>
  <c r="BS36" s="1"/>
  <c r="BR34"/>
  <c r="BS34" s="1"/>
  <c r="BR33"/>
  <c r="BS33" s="1"/>
  <c r="BR32"/>
  <c r="BS32" s="1"/>
  <c r="BR31"/>
  <c r="BS31" s="1"/>
  <c r="BR30"/>
  <c r="BS30" s="1"/>
  <c r="BR28"/>
  <c r="BS28" s="1"/>
  <c r="BR27"/>
  <c r="BS27" s="1"/>
  <c r="BR26"/>
  <c r="BS26" s="1"/>
  <c r="BR25"/>
  <c r="BS25" s="1"/>
  <c r="BR24"/>
  <c r="BS24" s="1"/>
  <c r="BR22"/>
  <c r="BS22" s="1"/>
  <c r="BR21"/>
  <c r="BS21" s="1"/>
  <c r="BR20"/>
  <c r="BS20" s="1"/>
  <c r="BR19"/>
  <c r="BS19" s="1"/>
  <c r="BR18"/>
  <c r="BS18" s="1"/>
  <c r="BR16"/>
  <c r="BS16" s="1"/>
  <c r="BR15"/>
  <c r="BS15" s="1"/>
  <c r="BR14"/>
  <c r="BS14" s="1"/>
  <c r="BR13"/>
  <c r="BS13" s="1"/>
  <c r="BR12"/>
  <c r="BS12" s="1"/>
  <c r="BQ10"/>
  <c r="AC10" i="26"/>
  <c r="BF39"/>
  <c r="BF38"/>
  <c r="BF37"/>
  <c r="BF36"/>
  <c r="BF34"/>
  <c r="BF33"/>
  <c r="BF32"/>
  <c r="BF31"/>
  <c r="BF30"/>
  <c r="BF28"/>
  <c r="BF27"/>
  <c r="BF26"/>
  <c r="BF25"/>
  <c r="BF24"/>
  <c r="BF22"/>
  <c r="BF21"/>
  <c r="BF20"/>
  <c r="BF19"/>
  <c r="BF18"/>
  <c r="BF16"/>
  <c r="BF15"/>
  <c r="BF14"/>
  <c r="BF13"/>
  <c r="BF12"/>
  <c r="BF10" s="1"/>
  <c r="CF10" i="31"/>
  <c r="BF10" i="39"/>
  <c r="L10" i="37"/>
  <c r="L12"/>
  <c r="L13"/>
  <c r="L14"/>
  <c r="L15"/>
  <c r="L16"/>
  <c r="L18"/>
  <c r="L19"/>
  <c r="L20"/>
  <c r="L21"/>
  <c r="L22"/>
  <c r="L24"/>
  <c r="L25"/>
  <c r="L26"/>
  <c r="L27"/>
  <c r="L28"/>
  <c r="L30"/>
  <c r="L31"/>
  <c r="L32"/>
  <c r="L33"/>
  <c r="L34"/>
  <c r="L36"/>
  <c r="L37"/>
  <c r="L38"/>
  <c r="L39"/>
  <c r="AC10" i="36"/>
  <c r="BG39"/>
  <c r="BG38"/>
  <c r="BG37"/>
  <c r="BG36"/>
  <c r="BG34"/>
  <c r="BG33"/>
  <c r="BG32"/>
  <c r="BG31"/>
  <c r="BG30"/>
  <c r="BG28"/>
  <c r="BG27"/>
  <c r="BG26"/>
  <c r="BG25"/>
  <c r="BG24"/>
  <c r="BG22"/>
  <c r="BG21"/>
  <c r="BG20"/>
  <c r="BG19"/>
  <c r="BG18"/>
  <c r="BG16"/>
  <c r="BG15"/>
  <c r="BG14"/>
  <c r="BG13"/>
  <c r="BG12"/>
  <c r="BG10"/>
  <c r="BF10"/>
  <c r="BG10" i="25"/>
  <c r="BI10" s="1"/>
  <c r="BG39" i="24"/>
  <c r="BG38"/>
  <c r="BG37"/>
  <c r="BG36"/>
  <c r="BG34"/>
  <c r="BG33"/>
  <c r="BG32"/>
  <c r="BG31"/>
  <c r="BG30"/>
  <c r="BG28"/>
  <c r="BG27"/>
  <c r="BG26"/>
  <c r="BG25"/>
  <c r="BG24"/>
  <c r="BG22"/>
  <c r="BG21"/>
  <c r="BG20"/>
  <c r="BG19"/>
  <c r="BG18"/>
  <c r="BG16"/>
  <c r="BG15"/>
  <c r="BG13"/>
  <c r="BG12"/>
  <c r="BF14"/>
  <c r="BG14" s="1"/>
  <c r="BG10" s="1"/>
  <c r="BF10"/>
  <c r="AC10"/>
  <c r="L10" i="23"/>
  <c r="BF39"/>
  <c r="BF38"/>
  <c r="BF37"/>
  <c r="BF36"/>
  <c r="BF34"/>
  <c r="BF33"/>
  <c r="BF32"/>
  <c r="BF31"/>
  <c r="BF30"/>
  <c r="BF28"/>
  <c r="BF27"/>
  <c r="BF26"/>
  <c r="BF25"/>
  <c r="BF24"/>
  <c r="BF22"/>
  <c r="BF21"/>
  <c r="BF20"/>
  <c r="BF19"/>
  <c r="BF18"/>
  <c r="BF16"/>
  <c r="BF15"/>
  <c r="BF14"/>
  <c r="BF13"/>
  <c r="BF12"/>
  <c r="BF10" s="1"/>
  <c r="BE10"/>
  <c r="BG39" i="22"/>
  <c r="BG38"/>
  <c r="BG37"/>
  <c r="BG36"/>
  <c r="BG34"/>
  <c r="BG33"/>
  <c r="BG32"/>
  <c r="BG31"/>
  <c r="BG30"/>
  <c r="BG28"/>
  <c r="BG27"/>
  <c r="BG26"/>
  <c r="BG25"/>
  <c r="BG24"/>
  <c r="BG22"/>
  <c r="BG21"/>
  <c r="BG20"/>
  <c r="BG19"/>
  <c r="BG18"/>
  <c r="BG16"/>
  <c r="BG15"/>
  <c r="BG14"/>
  <c r="BG13"/>
  <c r="BG12"/>
  <c r="BG10" s="1"/>
  <c r="AC10"/>
  <c r="BC39" i="38"/>
  <c r="BC38"/>
  <c r="BC37"/>
  <c r="BC36"/>
  <c r="BC34"/>
  <c r="BC33"/>
  <c r="BC32"/>
  <c r="BC31"/>
  <c r="BC30"/>
  <c r="BC28"/>
  <c r="BC27"/>
  <c r="BC26"/>
  <c r="BC25"/>
  <c r="BC24"/>
  <c r="BC22"/>
  <c r="BC21"/>
  <c r="BC20"/>
  <c r="BC19"/>
  <c r="BC18"/>
  <c r="BC16"/>
  <c r="BC15"/>
  <c r="BC14"/>
  <c r="BC13"/>
  <c r="BC12"/>
  <c r="AP10" i="40"/>
  <c r="U10"/>
  <c r="BD40" i="36"/>
  <c r="BD12"/>
  <c r="BD39"/>
  <c r="BD38"/>
  <c r="BD37"/>
  <c r="BD36"/>
  <c r="BD34"/>
  <c r="BD33"/>
  <c r="BD32"/>
  <c r="BD31"/>
  <c r="BD30"/>
  <c r="BD28"/>
  <c r="BD27"/>
  <c r="BD26"/>
  <c r="BD25"/>
  <c r="BD24"/>
  <c r="BD22"/>
  <c r="BD21"/>
  <c r="BD20"/>
  <c r="BD19"/>
  <c r="BD18"/>
  <c r="BD16"/>
  <c r="BD15"/>
  <c r="BD14"/>
  <c r="BD13"/>
  <c r="BD10"/>
  <c r="BC10"/>
  <c r="AB10"/>
  <c r="CK39" i="35"/>
  <c r="CK38"/>
  <c r="CK37"/>
  <c r="CK36"/>
  <c r="CK34"/>
  <c r="CK33"/>
  <c r="CK32"/>
  <c r="CK31"/>
  <c r="CK30"/>
  <c r="CK28"/>
  <c r="CK27"/>
  <c r="CK26"/>
  <c r="CK25"/>
  <c r="CK24"/>
  <c r="CK22"/>
  <c r="CK21"/>
  <c r="CK20"/>
  <c r="CK19"/>
  <c r="CK18"/>
  <c r="CK16"/>
  <c r="CK15"/>
  <c r="CK14"/>
  <c r="CK13"/>
  <c r="CK12"/>
  <c r="CK10"/>
  <c r="AC10" i="34"/>
  <c r="BK39" i="33"/>
  <c r="BK38"/>
  <c r="BK37"/>
  <c r="BK36"/>
  <c r="BK34"/>
  <c r="BK33"/>
  <c r="BK32"/>
  <c r="BK31"/>
  <c r="BK30"/>
  <c r="BK28"/>
  <c r="BK27"/>
  <c r="BK26"/>
  <c r="BK25"/>
  <c r="BK24"/>
  <c r="BK22"/>
  <c r="BK21"/>
  <c r="BK20"/>
  <c r="BK19"/>
  <c r="BK18"/>
  <c r="BK16"/>
  <c r="BK15"/>
  <c r="BK14"/>
  <c r="BK13"/>
  <c r="BK12"/>
  <c r="BK10"/>
  <c r="BJ10"/>
  <c r="BI10"/>
  <c r="AB10"/>
  <c r="BI10" i="32"/>
  <c r="BJ10"/>
  <c r="BK39"/>
  <c r="BK38"/>
  <c r="BK37"/>
  <c r="BK36"/>
  <c r="BK34"/>
  <c r="BK33"/>
  <c r="BK32"/>
  <c r="BK31"/>
  <c r="BK30"/>
  <c r="BK28"/>
  <c r="BK27"/>
  <c r="BK26"/>
  <c r="BK25"/>
  <c r="BK24"/>
  <c r="BK22"/>
  <c r="BK21"/>
  <c r="BK20"/>
  <c r="BK19"/>
  <c r="BK18"/>
  <c r="BK16"/>
  <c r="BK15"/>
  <c r="BK14"/>
  <c r="BK13"/>
  <c r="BK12"/>
  <c r="BK10" s="1"/>
  <c r="AB10"/>
  <c r="BZ39" i="31"/>
  <c r="BZ38"/>
  <c r="BZ37"/>
  <c r="BZ36"/>
  <c r="BZ34"/>
  <c r="BZ33"/>
  <c r="BZ32"/>
  <c r="BZ31"/>
  <c r="BZ30"/>
  <c r="BZ28"/>
  <c r="BZ27"/>
  <c r="BZ26"/>
  <c r="BZ25"/>
  <c r="BZ24"/>
  <c r="BZ22"/>
  <c r="BZ21"/>
  <c r="BZ20"/>
  <c r="BZ19"/>
  <c r="BZ18"/>
  <c r="BZ16"/>
  <c r="BZ15"/>
  <c r="BZ14"/>
  <c r="BZ13"/>
  <c r="CA39"/>
  <c r="CA38"/>
  <c r="CA37"/>
  <c r="CA36"/>
  <c r="CA34"/>
  <c r="CA33"/>
  <c r="CA32"/>
  <c r="CA31"/>
  <c r="CA30"/>
  <c r="CA28"/>
  <c r="CA27"/>
  <c r="CA26"/>
  <c r="CA25"/>
  <c r="CA24"/>
  <c r="CA22"/>
  <c r="CA21"/>
  <c r="CA20"/>
  <c r="CA19"/>
  <c r="CA18"/>
  <c r="CA16"/>
  <c r="CA15"/>
  <c r="CA14"/>
  <c r="CA13"/>
  <c r="BZ12"/>
  <c r="CA12"/>
  <c r="CA10"/>
  <c r="BZ10"/>
  <c r="BY10"/>
  <c r="BX10"/>
  <c r="BW10"/>
  <c r="AB10"/>
  <c r="CA39" i="30"/>
  <c r="CB39"/>
  <c r="CA38"/>
  <c r="CB38"/>
  <c r="CA37"/>
  <c r="CB37"/>
  <c r="CA36"/>
  <c r="CB36"/>
  <c r="CA34"/>
  <c r="CB34"/>
  <c r="CA33"/>
  <c r="CB33"/>
  <c r="CA32"/>
  <c r="CB32"/>
  <c r="CA31"/>
  <c r="CB31"/>
  <c r="CA30"/>
  <c r="CB30"/>
  <c r="CA28"/>
  <c r="CB28"/>
  <c r="CA27"/>
  <c r="CB27"/>
  <c r="CA26"/>
  <c r="CB26"/>
  <c r="CA25"/>
  <c r="CB25"/>
  <c r="CA24"/>
  <c r="CB24"/>
  <c r="CA22"/>
  <c r="CB22"/>
  <c r="CA21"/>
  <c r="CB21"/>
  <c r="CA20"/>
  <c r="CB20"/>
  <c r="CA19"/>
  <c r="CB19"/>
  <c r="CA18"/>
  <c r="CB18"/>
  <c r="CA16"/>
  <c r="CB16"/>
  <c r="CA15"/>
  <c r="CB15"/>
  <c r="CA14"/>
  <c r="CB14"/>
  <c r="CA13"/>
  <c r="CB13"/>
  <c r="CA12"/>
  <c r="CB12"/>
  <c r="CA10"/>
  <c r="BZ10"/>
  <c r="BY10"/>
  <c r="AB10"/>
  <c r="CB10"/>
  <c r="BB39" i="39"/>
  <c r="BB38"/>
  <c r="BB37"/>
  <c r="BB36"/>
  <c r="BB34"/>
  <c r="BB33"/>
  <c r="BB32"/>
  <c r="BB31"/>
  <c r="BB30"/>
  <c r="BB28"/>
  <c r="BB27"/>
  <c r="BB26"/>
  <c r="BB25"/>
  <c r="BB24"/>
  <c r="BB22"/>
  <c r="BB21"/>
  <c r="BB20"/>
  <c r="BB19"/>
  <c r="BB18"/>
  <c r="BB16"/>
  <c r="BB15"/>
  <c r="BB14"/>
  <c r="BB13"/>
  <c r="BB12"/>
  <c r="BA10"/>
  <c r="AZ10"/>
  <c r="AB10"/>
  <c r="CP39" i="29"/>
  <c r="CQ39"/>
  <c r="CP38"/>
  <c r="CQ38"/>
  <c r="CP37"/>
  <c r="CQ37"/>
  <c r="CP36"/>
  <c r="CQ36"/>
  <c r="CP34"/>
  <c r="CQ34"/>
  <c r="CP33"/>
  <c r="CQ33"/>
  <c r="CP32"/>
  <c r="CQ32"/>
  <c r="CP31"/>
  <c r="CQ31"/>
  <c r="CP30"/>
  <c r="CQ30"/>
  <c r="CP28"/>
  <c r="CQ28"/>
  <c r="CP27"/>
  <c r="CQ27"/>
  <c r="CP26"/>
  <c r="CQ26"/>
  <c r="CP25"/>
  <c r="CQ25"/>
  <c r="CP24"/>
  <c r="CQ24"/>
  <c r="CP22"/>
  <c r="CQ22"/>
  <c r="CP21"/>
  <c r="CQ21"/>
  <c r="CP20"/>
  <c r="CQ20"/>
  <c r="CP19"/>
  <c r="CQ19" s="1"/>
  <c r="CP18"/>
  <c r="CQ18" s="1"/>
  <c r="CP16"/>
  <c r="CQ16" s="1"/>
  <c r="CP15"/>
  <c r="CQ15" s="1"/>
  <c r="CP14"/>
  <c r="CQ14" s="1"/>
  <c r="CP13"/>
  <c r="CQ13" s="1"/>
  <c r="CP12"/>
  <c r="CQ12" s="1"/>
  <c r="CQ10" s="1"/>
  <c r="CM10"/>
  <c r="CP10"/>
  <c r="CO10"/>
  <c r="CN10"/>
  <c r="AB10"/>
  <c r="CD10" i="28"/>
  <c r="CG39"/>
  <c r="CH39"/>
  <c r="CG38"/>
  <c r="CH38"/>
  <c r="CG37"/>
  <c r="CH37"/>
  <c r="CG36"/>
  <c r="CH36"/>
  <c r="CG34"/>
  <c r="CH34"/>
  <c r="CG33"/>
  <c r="CH33"/>
  <c r="CG32"/>
  <c r="CH32"/>
  <c r="CG31"/>
  <c r="CH31"/>
  <c r="CG30"/>
  <c r="CH30"/>
  <c r="CG28"/>
  <c r="CH28"/>
  <c r="CG27"/>
  <c r="CH27"/>
  <c r="CG26"/>
  <c r="CH26"/>
  <c r="CG25"/>
  <c r="CH25"/>
  <c r="CG24"/>
  <c r="CH24"/>
  <c r="CG22"/>
  <c r="CH22"/>
  <c r="CG21"/>
  <c r="CH21"/>
  <c r="CG20"/>
  <c r="CH20"/>
  <c r="CG19"/>
  <c r="CH19"/>
  <c r="CG18"/>
  <c r="CH18"/>
  <c r="CG16"/>
  <c r="CH16"/>
  <c r="CG15"/>
  <c r="CH15"/>
  <c r="CG14"/>
  <c r="CH14"/>
  <c r="CG13"/>
  <c r="CH13"/>
  <c r="CG12"/>
  <c r="CH12"/>
  <c r="CH10"/>
  <c r="CF10"/>
  <c r="CE10"/>
  <c r="CC10"/>
  <c r="BM39" i="27"/>
  <c r="BN39" s="1"/>
  <c r="BM38"/>
  <c r="BN38" s="1"/>
  <c r="BM37"/>
  <c r="BN37" s="1"/>
  <c r="BM36"/>
  <c r="BN36" s="1"/>
  <c r="BM34"/>
  <c r="BN34" s="1"/>
  <c r="BM33"/>
  <c r="BN33" s="1"/>
  <c r="BM32"/>
  <c r="BN32" s="1"/>
  <c r="BM31"/>
  <c r="BN31" s="1"/>
  <c r="BM30"/>
  <c r="BN30" s="1"/>
  <c r="BM28"/>
  <c r="BN28" s="1"/>
  <c r="BM27"/>
  <c r="BN27" s="1"/>
  <c r="BM26"/>
  <c r="BN26" s="1"/>
  <c r="BM25"/>
  <c r="BN25" s="1"/>
  <c r="BM24"/>
  <c r="BN24" s="1"/>
  <c r="BM22"/>
  <c r="BN22" s="1"/>
  <c r="BM21"/>
  <c r="BN21" s="1"/>
  <c r="BM20"/>
  <c r="BN20" s="1"/>
  <c r="BM19"/>
  <c r="BN19" s="1"/>
  <c r="BM18"/>
  <c r="BN18" s="1"/>
  <c r="BM16"/>
  <c r="BN16" s="1"/>
  <c r="BM15"/>
  <c r="BN15" s="1"/>
  <c r="BM14"/>
  <c r="BN14" s="1"/>
  <c r="BM13"/>
  <c r="BN13" s="1"/>
  <c r="BM12"/>
  <c r="BN12" s="1"/>
  <c r="BN10" s="1"/>
  <c r="BL10"/>
  <c r="BK10"/>
  <c r="AB10"/>
  <c r="CG10" i="28"/>
  <c r="BC10" i="26"/>
  <c r="BD39"/>
  <c r="BD38"/>
  <c r="BD37"/>
  <c r="BD36"/>
  <c r="BD34"/>
  <c r="BD33"/>
  <c r="BD32"/>
  <c r="BD31"/>
  <c r="BD30"/>
  <c r="BD28"/>
  <c r="BD27"/>
  <c r="BD26"/>
  <c r="BD25"/>
  <c r="BD24"/>
  <c r="BD22"/>
  <c r="BD21"/>
  <c r="BD20"/>
  <c r="BD19"/>
  <c r="BD18"/>
  <c r="BD16"/>
  <c r="BD15"/>
  <c r="BD14"/>
  <c r="BD13"/>
  <c r="BD12"/>
  <c r="BD10" s="1"/>
  <c r="AB10"/>
  <c r="BE39" i="25"/>
  <c r="BE38"/>
  <c r="BE37"/>
  <c r="BE36"/>
  <c r="BE34"/>
  <c r="BE33"/>
  <c r="BE32"/>
  <c r="BE31"/>
  <c r="BE30"/>
  <c r="BE28"/>
  <c r="BE27"/>
  <c r="BE26"/>
  <c r="BE25"/>
  <c r="BE24"/>
  <c r="BE22"/>
  <c r="BE21"/>
  <c r="BE20"/>
  <c r="BE19"/>
  <c r="BE18"/>
  <c r="BE16"/>
  <c r="BE15"/>
  <c r="BE14"/>
  <c r="BE13"/>
  <c r="BE12"/>
  <c r="BE10" s="1"/>
  <c r="BD10"/>
  <c r="BE39" i="24"/>
  <c r="BE38"/>
  <c r="BE37"/>
  <c r="BE36"/>
  <c r="BE34"/>
  <c r="BE33"/>
  <c r="BE32"/>
  <c r="BE31"/>
  <c r="BE30"/>
  <c r="BE28"/>
  <c r="BE27"/>
  <c r="BE26"/>
  <c r="BE25"/>
  <c r="BE24"/>
  <c r="BE22"/>
  <c r="BE21"/>
  <c r="BE20"/>
  <c r="BE19"/>
  <c r="BE18"/>
  <c r="BE16"/>
  <c r="BE15"/>
  <c r="BE14"/>
  <c r="BE13"/>
  <c r="BE12"/>
  <c r="BE10"/>
  <c r="BD10"/>
  <c r="AB10"/>
  <c r="BD39" i="23"/>
  <c r="BD38"/>
  <c r="BD37"/>
  <c r="BD36"/>
  <c r="BD34"/>
  <c r="BD33"/>
  <c r="BD32"/>
  <c r="BD31"/>
  <c r="BD30"/>
  <c r="BD28"/>
  <c r="BD27"/>
  <c r="BD26"/>
  <c r="BD25"/>
  <c r="BD24"/>
  <c r="BD22"/>
  <c r="BD21"/>
  <c r="BD20"/>
  <c r="BD19"/>
  <c r="BD18"/>
  <c r="BD16"/>
  <c r="BD15"/>
  <c r="BD14"/>
  <c r="BD13"/>
  <c r="BD12"/>
  <c r="BC10"/>
  <c r="AC10"/>
  <c r="AB10"/>
  <c r="BD39" i="22"/>
  <c r="BD38"/>
  <c r="BD37"/>
  <c r="BD36"/>
  <c r="BD34"/>
  <c r="BD33"/>
  <c r="BD32"/>
  <c r="BD31"/>
  <c r="BD30"/>
  <c r="BD28"/>
  <c r="BD27"/>
  <c r="BD26"/>
  <c r="BD25"/>
  <c r="BD24"/>
  <c r="BD22"/>
  <c r="BD21"/>
  <c r="BD20"/>
  <c r="BD19"/>
  <c r="BD18"/>
  <c r="BD16"/>
  <c r="BD15"/>
  <c r="BD14"/>
  <c r="BD13"/>
  <c r="BD12"/>
  <c r="BD10" s="1"/>
  <c r="BC10"/>
  <c r="AB10"/>
  <c r="BA39" i="38"/>
  <c r="BA38"/>
  <c r="BA37"/>
  <c r="BA36"/>
  <c r="BA34"/>
  <c r="BA33"/>
  <c r="BA32"/>
  <c r="BA31"/>
  <c r="BA30"/>
  <c r="BA28"/>
  <c r="BA27"/>
  <c r="BA26"/>
  <c r="BA25"/>
  <c r="BA24"/>
  <c r="BA22"/>
  <c r="BA21"/>
  <c r="BA20"/>
  <c r="BA19"/>
  <c r="BA18"/>
  <c r="BA16"/>
  <c r="BA15"/>
  <c r="BA14"/>
  <c r="BA13"/>
  <c r="BA12"/>
  <c r="AG11"/>
  <c r="M10" i="29"/>
  <c r="L39" i="40"/>
  <c r="L38"/>
  <c r="L37"/>
  <c r="L36"/>
  <c r="L34"/>
  <c r="L33"/>
  <c r="L32"/>
  <c r="L31"/>
  <c r="L30"/>
  <c r="L28"/>
  <c r="L27"/>
  <c r="L26"/>
  <c r="L25"/>
  <c r="L24"/>
  <c r="L22"/>
  <c r="L21"/>
  <c r="L20"/>
  <c r="L19"/>
  <c r="L18"/>
  <c r="L16"/>
  <c r="L15"/>
  <c r="L14"/>
  <c r="L13"/>
  <c r="L12"/>
  <c r="T10"/>
  <c r="L10"/>
  <c r="L39" i="36"/>
  <c r="L38"/>
  <c r="L37"/>
  <c r="L36"/>
  <c r="L33"/>
  <c r="L32"/>
  <c r="L31"/>
  <c r="L30"/>
  <c r="L28"/>
  <c r="L27"/>
  <c r="L26"/>
  <c r="L25"/>
  <c r="L24"/>
  <c r="L21"/>
  <c r="L20"/>
  <c r="L19"/>
  <c r="L18"/>
  <c r="L16"/>
  <c r="L15"/>
  <c r="L14"/>
  <c r="L13"/>
  <c r="L12"/>
  <c r="BA39"/>
  <c r="BA38"/>
  <c r="BA37"/>
  <c r="BA36"/>
  <c r="BA34"/>
  <c r="BA33"/>
  <c r="BA32"/>
  <c r="BA31"/>
  <c r="BA30"/>
  <c r="BA28"/>
  <c r="BA27"/>
  <c r="BA26"/>
  <c r="BA25"/>
  <c r="BA24"/>
  <c r="BA22"/>
  <c r="BA21"/>
  <c r="BA20"/>
  <c r="BA19"/>
  <c r="BA18"/>
  <c r="BA16"/>
  <c r="BA15"/>
  <c r="BA14"/>
  <c r="BA13"/>
  <c r="BA12"/>
  <c r="BA10"/>
  <c r="AZ10"/>
  <c r="L39" i="35"/>
  <c r="L38"/>
  <c r="L37"/>
  <c r="L36"/>
  <c r="L34"/>
  <c r="L33"/>
  <c r="L32"/>
  <c r="L31"/>
  <c r="L30"/>
  <c r="L28"/>
  <c r="L27"/>
  <c r="L26"/>
  <c r="L25"/>
  <c r="L24"/>
  <c r="L22"/>
  <c r="L21"/>
  <c r="L20"/>
  <c r="L19"/>
  <c r="L18"/>
  <c r="L16"/>
  <c r="L15"/>
  <c r="L14"/>
  <c r="L13"/>
  <c r="L12"/>
  <c r="L10"/>
  <c r="CE39"/>
  <c r="CE38"/>
  <c r="CE37"/>
  <c r="CE36"/>
  <c r="CE34"/>
  <c r="CE33"/>
  <c r="CE32"/>
  <c r="CE31"/>
  <c r="CE30"/>
  <c r="CE28"/>
  <c r="CE27"/>
  <c r="CE26"/>
  <c r="CE25"/>
  <c r="CE24"/>
  <c r="CE22"/>
  <c r="CE21"/>
  <c r="CE20"/>
  <c r="CE19"/>
  <c r="CE18"/>
  <c r="CE16"/>
  <c r="CE15"/>
  <c r="CE14"/>
  <c r="CE13"/>
  <c r="CE12"/>
  <c r="CE10"/>
  <c r="L39" i="33"/>
  <c r="L38"/>
  <c r="L37"/>
  <c r="L36"/>
  <c r="L33"/>
  <c r="L31"/>
  <c r="L30"/>
  <c r="L27"/>
  <c r="L26"/>
  <c r="L25"/>
  <c r="L24"/>
  <c r="L21"/>
  <c r="L20"/>
  <c r="L19"/>
  <c r="L18"/>
  <c r="L15"/>
  <c r="L14"/>
  <c r="L13"/>
  <c r="L12"/>
  <c r="K10"/>
  <c r="M10" s="1"/>
  <c r="BG39"/>
  <c r="BG38"/>
  <c r="BG37"/>
  <c r="BG36"/>
  <c r="BG34"/>
  <c r="BG33"/>
  <c r="BG32"/>
  <c r="BG31"/>
  <c r="BG30"/>
  <c r="BG28"/>
  <c r="BG27"/>
  <c r="BG26"/>
  <c r="BG25"/>
  <c r="BG24"/>
  <c r="BG22"/>
  <c r="BG21"/>
  <c r="BG20"/>
  <c r="BG19"/>
  <c r="BG18"/>
  <c r="BG16"/>
  <c r="BG15"/>
  <c r="BG14"/>
  <c r="BG13"/>
  <c r="BG12"/>
  <c r="BG10"/>
  <c r="BF10"/>
  <c r="BE10"/>
  <c r="L39" i="32"/>
  <c r="L38"/>
  <c r="L37"/>
  <c r="L36"/>
  <c r="L34"/>
  <c r="L33"/>
  <c r="L32"/>
  <c r="L31"/>
  <c r="L30"/>
  <c r="L28"/>
  <c r="L27"/>
  <c r="L26"/>
  <c r="L25"/>
  <c r="L24"/>
  <c r="L22"/>
  <c r="L21"/>
  <c r="L20"/>
  <c r="L19"/>
  <c r="L18"/>
  <c r="L16"/>
  <c r="L15"/>
  <c r="L14"/>
  <c r="L13"/>
  <c r="L12"/>
  <c r="BG39"/>
  <c r="BG38"/>
  <c r="BG37"/>
  <c r="BG36"/>
  <c r="BG34"/>
  <c r="BG33"/>
  <c r="BG32"/>
  <c r="BG31"/>
  <c r="BG30"/>
  <c r="BG28"/>
  <c r="BG27"/>
  <c r="BG26"/>
  <c r="BG25"/>
  <c r="BG24"/>
  <c r="BG22"/>
  <c r="BG21"/>
  <c r="BG20"/>
  <c r="BG19"/>
  <c r="BG18"/>
  <c r="BG16"/>
  <c r="BG15"/>
  <c r="BG14"/>
  <c r="BG13"/>
  <c r="BG12"/>
  <c r="BG10" s="1"/>
  <c r="BF10"/>
  <c r="BE10"/>
  <c r="AA10" i="31"/>
  <c r="M10"/>
  <c r="L39"/>
  <c r="L38"/>
  <c r="L37"/>
  <c r="L36"/>
  <c r="L34"/>
  <c r="L33"/>
  <c r="L32"/>
  <c r="L31"/>
  <c r="L30"/>
  <c r="L28"/>
  <c r="L27"/>
  <c r="L26"/>
  <c r="L25"/>
  <c r="L24"/>
  <c r="L22"/>
  <c r="L21"/>
  <c r="L20"/>
  <c r="L19"/>
  <c r="L18"/>
  <c r="L16"/>
  <c r="L15"/>
  <c r="L14"/>
  <c r="L13"/>
  <c r="L12"/>
  <c r="BS10"/>
  <c r="BR10"/>
  <c r="K10" i="30"/>
  <c r="M10" s="1"/>
  <c r="L39"/>
  <c r="L38"/>
  <c r="L37"/>
  <c r="L36"/>
  <c r="L34"/>
  <c r="L33"/>
  <c r="L32"/>
  <c r="L31"/>
  <c r="L30"/>
  <c r="L28"/>
  <c r="L27"/>
  <c r="L26"/>
  <c r="L25"/>
  <c r="L24"/>
  <c r="L22"/>
  <c r="L21"/>
  <c r="L20"/>
  <c r="L19"/>
  <c r="L18"/>
  <c r="L16"/>
  <c r="L15"/>
  <c r="L14"/>
  <c r="L13"/>
  <c r="L12"/>
  <c r="BU39"/>
  <c r="BV39"/>
  <c r="BU38"/>
  <c r="BV38"/>
  <c r="BU37"/>
  <c r="BV37"/>
  <c r="BU36"/>
  <c r="BV36"/>
  <c r="BU34"/>
  <c r="BV34"/>
  <c r="BU33"/>
  <c r="BV33"/>
  <c r="BU32"/>
  <c r="BV32"/>
  <c r="BU31"/>
  <c r="BV31"/>
  <c r="BU30"/>
  <c r="BV30"/>
  <c r="BU28"/>
  <c r="BV28"/>
  <c r="BU27"/>
  <c r="BV27"/>
  <c r="BU26"/>
  <c r="BV26"/>
  <c r="BU25"/>
  <c r="BV25"/>
  <c r="BU24"/>
  <c r="BV24"/>
  <c r="BU22"/>
  <c r="BV22"/>
  <c r="BU21"/>
  <c r="BV21"/>
  <c r="BU20"/>
  <c r="BV20"/>
  <c r="BU19"/>
  <c r="BV19"/>
  <c r="BU18"/>
  <c r="BV18"/>
  <c r="BU16"/>
  <c r="BV16"/>
  <c r="BU15"/>
  <c r="BV15"/>
  <c r="BU14"/>
  <c r="BV14"/>
  <c r="BU13"/>
  <c r="BV13"/>
  <c r="BU12"/>
  <c r="BV12"/>
  <c r="BV10"/>
  <c r="BT10"/>
  <c r="BS10"/>
  <c r="BR10"/>
  <c r="L33" i="39"/>
  <c r="L32"/>
  <c r="L31"/>
  <c r="L30"/>
  <c r="L28"/>
  <c r="L27"/>
  <c r="L26"/>
  <c r="L25"/>
  <c r="L24"/>
  <c r="L21"/>
  <c r="L20"/>
  <c r="L19"/>
  <c r="L18"/>
  <c r="L16"/>
  <c r="L15"/>
  <c r="L14"/>
  <c r="L13"/>
  <c r="L12"/>
  <c r="AX39"/>
  <c r="AX38"/>
  <c r="AX37"/>
  <c r="AX36"/>
  <c r="AX34"/>
  <c r="AX33"/>
  <c r="AX32"/>
  <c r="AX31"/>
  <c r="AX30"/>
  <c r="AX28"/>
  <c r="AX27"/>
  <c r="AX26"/>
  <c r="AX25"/>
  <c r="AX24"/>
  <c r="AX22"/>
  <c r="AX21"/>
  <c r="AX20"/>
  <c r="AX19"/>
  <c r="AX18"/>
  <c r="AX16"/>
  <c r="AX15"/>
  <c r="AX14"/>
  <c r="AX13"/>
  <c r="AX12"/>
  <c r="AV10"/>
  <c r="AW10"/>
  <c r="AX10"/>
  <c r="M10"/>
  <c r="L39" i="29"/>
  <c r="L38"/>
  <c r="L37"/>
  <c r="L36"/>
  <c r="L34"/>
  <c r="L33"/>
  <c r="L32"/>
  <c r="L31"/>
  <c r="L30"/>
  <c r="L28"/>
  <c r="L27"/>
  <c r="L26"/>
  <c r="L25"/>
  <c r="L24"/>
  <c r="L22"/>
  <c r="L21"/>
  <c r="L20"/>
  <c r="L19"/>
  <c r="L18"/>
  <c r="L16"/>
  <c r="L15"/>
  <c r="L14"/>
  <c r="L13"/>
  <c r="L12"/>
  <c r="CJ24"/>
  <c r="CK24" s="1"/>
  <c r="CJ39"/>
  <c r="CK39" s="1"/>
  <c r="CJ38"/>
  <c r="CK38" s="1"/>
  <c r="CJ37"/>
  <c r="CK37" s="1"/>
  <c r="CJ36"/>
  <c r="CK36" s="1"/>
  <c r="CJ34"/>
  <c r="CK34" s="1"/>
  <c r="CJ33"/>
  <c r="CK33" s="1"/>
  <c r="CJ32"/>
  <c r="CK32" s="1"/>
  <c r="CJ31"/>
  <c r="CK31" s="1"/>
  <c r="CJ30"/>
  <c r="CK30" s="1"/>
  <c r="CJ28"/>
  <c r="CK28" s="1"/>
  <c r="CJ27"/>
  <c r="CK27" s="1"/>
  <c r="CJ26"/>
  <c r="CK26" s="1"/>
  <c r="CJ25"/>
  <c r="CK25" s="1"/>
  <c r="CJ22"/>
  <c r="CK22" s="1"/>
  <c r="CJ21"/>
  <c r="CK21" s="1"/>
  <c r="CJ20"/>
  <c r="CK20" s="1"/>
  <c r="CJ19"/>
  <c r="CK19" s="1"/>
  <c r="CJ18"/>
  <c r="CK18" s="1"/>
  <c r="CJ16"/>
  <c r="CK16" s="1"/>
  <c r="CJ15"/>
  <c r="CK15" s="1"/>
  <c r="CJ14"/>
  <c r="CK14" s="1"/>
  <c r="CJ13"/>
  <c r="CK13" s="1"/>
  <c r="CJ12"/>
  <c r="CK12" s="1"/>
  <c r="CI10"/>
  <c r="CH10"/>
  <c r="CG10"/>
  <c r="CE12"/>
  <c r="CE13"/>
  <c r="CE14"/>
  <c r="CE15"/>
  <c r="CE10" s="1"/>
  <c r="CE16"/>
  <c r="CE18"/>
  <c r="CE19"/>
  <c r="CE20"/>
  <c r="CE21"/>
  <c r="CE22"/>
  <c r="CE24"/>
  <c r="CE25"/>
  <c r="CE26"/>
  <c r="CE27"/>
  <c r="CE28"/>
  <c r="CE30"/>
  <c r="CE31"/>
  <c r="CE32"/>
  <c r="CE33"/>
  <c r="CE34"/>
  <c r="CE36"/>
  <c r="CE37"/>
  <c r="CE38"/>
  <c r="CE39"/>
  <c r="CD10"/>
  <c r="CC10"/>
  <c r="L39" i="28"/>
  <c r="L38"/>
  <c r="L37"/>
  <c r="L36"/>
  <c r="L34"/>
  <c r="L33"/>
  <c r="L32"/>
  <c r="L31"/>
  <c r="L30"/>
  <c r="L28"/>
  <c r="L27"/>
  <c r="L26"/>
  <c r="L25"/>
  <c r="L24"/>
  <c r="L22"/>
  <c r="L21"/>
  <c r="L20"/>
  <c r="L19"/>
  <c r="L18"/>
  <c r="L16"/>
  <c r="L15"/>
  <c r="L14"/>
  <c r="L13"/>
  <c r="L12"/>
  <c r="BZ39"/>
  <c r="CA39"/>
  <c r="BZ38"/>
  <c r="CA38"/>
  <c r="BZ37"/>
  <c r="CA37"/>
  <c r="BZ36"/>
  <c r="CA36"/>
  <c r="BZ34"/>
  <c r="CA34"/>
  <c r="BZ33"/>
  <c r="CA33"/>
  <c r="BZ32"/>
  <c r="CA32"/>
  <c r="BZ31"/>
  <c r="CA31"/>
  <c r="BZ30"/>
  <c r="CA30"/>
  <c r="BZ28"/>
  <c r="CA28"/>
  <c r="BZ27"/>
  <c r="CA27"/>
  <c r="BZ26"/>
  <c r="CA26"/>
  <c r="BZ25"/>
  <c r="CA25"/>
  <c r="BZ24"/>
  <c r="CA24"/>
  <c r="BZ22"/>
  <c r="CA22"/>
  <c r="BZ21"/>
  <c r="CA21"/>
  <c r="BZ20"/>
  <c r="CA20"/>
  <c r="BZ19"/>
  <c r="CA19"/>
  <c r="BZ18"/>
  <c r="CA18"/>
  <c r="BZ16"/>
  <c r="CA16"/>
  <c r="BZ15"/>
  <c r="CA15"/>
  <c r="BZ14"/>
  <c r="CA14"/>
  <c r="BZ13"/>
  <c r="CA13"/>
  <c r="BZ12"/>
  <c r="CA12"/>
  <c r="CA10"/>
  <c r="BY10"/>
  <c r="BX10"/>
  <c r="BW10"/>
  <c r="BV10"/>
  <c r="L39" i="27"/>
  <c r="L38"/>
  <c r="L37"/>
  <c r="L36"/>
  <c r="L34"/>
  <c r="L33"/>
  <c r="L32"/>
  <c r="L31"/>
  <c r="L30"/>
  <c r="L28"/>
  <c r="L27"/>
  <c r="L26"/>
  <c r="L25"/>
  <c r="L24"/>
  <c r="L22"/>
  <c r="L21"/>
  <c r="L20"/>
  <c r="L19"/>
  <c r="L18"/>
  <c r="L16"/>
  <c r="L15"/>
  <c r="L14"/>
  <c r="L13"/>
  <c r="L12"/>
  <c r="BH39"/>
  <c r="BI39" s="1"/>
  <c r="BH38"/>
  <c r="BI38" s="1"/>
  <c r="BH37"/>
  <c r="BI37" s="1"/>
  <c r="BH36"/>
  <c r="BI36" s="1"/>
  <c r="BH34"/>
  <c r="BI34" s="1"/>
  <c r="BH33"/>
  <c r="BI33" s="1"/>
  <c r="BH32"/>
  <c r="BI32" s="1"/>
  <c r="BH31"/>
  <c r="BI31" s="1"/>
  <c r="BH30"/>
  <c r="BI30" s="1"/>
  <c r="BH28"/>
  <c r="BI28" s="1"/>
  <c r="BH27"/>
  <c r="BI27" s="1"/>
  <c r="BH26"/>
  <c r="BI26" s="1"/>
  <c r="BH25"/>
  <c r="BI25" s="1"/>
  <c r="BH24"/>
  <c r="BI24" s="1"/>
  <c r="BH22"/>
  <c r="BI22" s="1"/>
  <c r="BH21"/>
  <c r="BI21" s="1"/>
  <c r="BH20"/>
  <c r="BI20" s="1"/>
  <c r="BH19"/>
  <c r="BI19" s="1"/>
  <c r="BH18"/>
  <c r="BI18" s="1"/>
  <c r="BH16"/>
  <c r="BI16" s="1"/>
  <c r="BH15"/>
  <c r="BI15" s="1"/>
  <c r="BH14"/>
  <c r="BI14" s="1"/>
  <c r="BH13"/>
  <c r="BI13" s="1"/>
  <c r="BH12"/>
  <c r="BI12" s="1"/>
  <c r="BI10" s="1"/>
  <c r="BG10"/>
  <c r="BF10"/>
  <c r="L39" i="26"/>
  <c r="L38"/>
  <c r="L37"/>
  <c r="L36"/>
  <c r="L34"/>
  <c r="L33"/>
  <c r="L32"/>
  <c r="L31"/>
  <c r="L30"/>
  <c r="L28"/>
  <c r="L27"/>
  <c r="L26"/>
  <c r="L25"/>
  <c r="L24"/>
  <c r="L22"/>
  <c r="L21"/>
  <c r="L20"/>
  <c r="L19"/>
  <c r="L18"/>
  <c r="L16"/>
  <c r="L15"/>
  <c r="L14"/>
  <c r="L13"/>
  <c r="L12"/>
  <c r="BB24"/>
  <c r="BB12"/>
  <c r="BA10"/>
  <c r="BB39"/>
  <c r="BB38"/>
  <c r="BB37"/>
  <c r="BB36"/>
  <c r="BB34"/>
  <c r="BB33"/>
  <c r="BB32"/>
  <c r="BB31"/>
  <c r="BB30"/>
  <c r="BB28"/>
  <c r="BB27"/>
  <c r="BB26"/>
  <c r="BB25"/>
  <c r="BB22"/>
  <c r="BB21"/>
  <c r="BB20"/>
  <c r="BB19"/>
  <c r="BB18"/>
  <c r="BB16"/>
  <c r="BB15"/>
  <c r="BB14"/>
  <c r="BB13"/>
  <c r="BB10" s="1"/>
  <c r="N10" i="24"/>
  <c r="BC12" i="25"/>
  <c r="BC13"/>
  <c r="BC14"/>
  <c r="BC15"/>
  <c r="BC16"/>
  <c r="BC18"/>
  <c r="BC19"/>
  <c r="BC20"/>
  <c r="BC21"/>
  <c r="BC22"/>
  <c r="BC24"/>
  <c r="BC25"/>
  <c r="BC26"/>
  <c r="BC27"/>
  <c r="BC28"/>
  <c r="BC30"/>
  <c r="BC31"/>
  <c r="BC32"/>
  <c r="BC33"/>
  <c r="BC34"/>
  <c r="BC36"/>
  <c r="BC37"/>
  <c r="BC38"/>
  <c r="BC39"/>
  <c r="BB10"/>
  <c r="AA10" i="24"/>
  <c r="BC39"/>
  <c r="BC38"/>
  <c r="BC37"/>
  <c r="BC36"/>
  <c r="BC34"/>
  <c r="BC33"/>
  <c r="BC32"/>
  <c r="BC31"/>
  <c r="BC30"/>
  <c r="BC28"/>
  <c r="BC27"/>
  <c r="BC26"/>
  <c r="BC25"/>
  <c r="BC24"/>
  <c r="BC22"/>
  <c r="BC21"/>
  <c r="BC20"/>
  <c r="BC19"/>
  <c r="BC18"/>
  <c r="BC16"/>
  <c r="BC15"/>
  <c r="BC14"/>
  <c r="BC13"/>
  <c r="BC12"/>
  <c r="BC10" s="1"/>
  <c r="BB10"/>
  <c r="BA12"/>
  <c r="BA13"/>
  <c r="BA10" s="1"/>
  <c r="BA14"/>
  <c r="BA15"/>
  <c r="BA16"/>
  <c r="BA18"/>
  <c r="BA19"/>
  <c r="BA20"/>
  <c r="BA21"/>
  <c r="BA22"/>
  <c r="BA24"/>
  <c r="BA25"/>
  <c r="BA26"/>
  <c r="BA27"/>
  <c r="BA28"/>
  <c r="BA30"/>
  <c r="BA31"/>
  <c r="BA32"/>
  <c r="BA33"/>
  <c r="BA34"/>
  <c r="BA36"/>
  <c r="BA37"/>
  <c r="BA38"/>
  <c r="BA39"/>
  <c r="AZ10"/>
  <c r="AX12"/>
  <c r="AX13"/>
  <c r="AX10" s="1"/>
  <c r="AX14"/>
  <c r="AX15"/>
  <c r="AX16"/>
  <c r="AX18"/>
  <c r="AX19"/>
  <c r="AX20"/>
  <c r="AX21"/>
  <c r="AX22"/>
  <c r="AX24"/>
  <c r="AX25"/>
  <c r="AX26"/>
  <c r="AX27"/>
  <c r="AX28"/>
  <c r="AX30"/>
  <c r="AX31"/>
  <c r="AX32"/>
  <c r="AX33"/>
  <c r="AX34"/>
  <c r="AX36"/>
  <c r="AX37"/>
  <c r="AX38"/>
  <c r="AX39"/>
  <c r="AW10"/>
  <c r="AU12"/>
  <c r="AU13"/>
  <c r="AU10" s="1"/>
  <c r="AU14"/>
  <c r="AU15"/>
  <c r="AU16"/>
  <c r="AU18"/>
  <c r="AU19"/>
  <c r="AU20"/>
  <c r="AU21"/>
  <c r="AU22"/>
  <c r="AU24"/>
  <c r="AU25"/>
  <c r="AU26"/>
  <c r="AU27"/>
  <c r="AU28"/>
  <c r="AU30"/>
  <c r="AU31"/>
  <c r="AU32"/>
  <c r="AU33"/>
  <c r="AU34"/>
  <c r="AU36"/>
  <c r="AU37"/>
  <c r="AU38"/>
  <c r="AU39"/>
  <c r="AT10"/>
  <c r="AR12"/>
  <c r="AR13"/>
  <c r="AR10" s="1"/>
  <c r="AR14"/>
  <c r="AR15"/>
  <c r="AR16"/>
  <c r="AR18"/>
  <c r="AR19"/>
  <c r="AR20"/>
  <c r="AR21"/>
  <c r="AR22"/>
  <c r="AR24"/>
  <c r="AR25"/>
  <c r="AR26"/>
  <c r="AR27"/>
  <c r="AR28"/>
  <c r="AR30"/>
  <c r="AR31"/>
  <c r="AR32"/>
  <c r="AR33"/>
  <c r="AR34"/>
  <c r="AR36"/>
  <c r="AR37"/>
  <c r="AR38"/>
  <c r="AR39"/>
  <c r="AQ10"/>
  <c r="AO12"/>
  <c r="AO13"/>
  <c r="AO10" s="1"/>
  <c r="AO14"/>
  <c r="AO15"/>
  <c r="AO16"/>
  <c r="AO18"/>
  <c r="AO19"/>
  <c r="AO20"/>
  <c r="AO21"/>
  <c r="AO22"/>
  <c r="AO24"/>
  <c r="AO25"/>
  <c r="AO26"/>
  <c r="AO27"/>
  <c r="AO28"/>
  <c r="AO30"/>
  <c r="AO31"/>
  <c r="AO32"/>
  <c r="AO33"/>
  <c r="AO34"/>
  <c r="AO36"/>
  <c r="AO37"/>
  <c r="AO38"/>
  <c r="AO39"/>
  <c r="AN10"/>
  <c r="AL12"/>
  <c r="AL13"/>
  <c r="AL10" s="1"/>
  <c r="AL14"/>
  <c r="AL15"/>
  <c r="AL16"/>
  <c r="AL18"/>
  <c r="AL19"/>
  <c r="AL20"/>
  <c r="AL21"/>
  <c r="AL22"/>
  <c r="AL24"/>
  <c r="AL25"/>
  <c r="AL26"/>
  <c r="AL27"/>
  <c r="AL28"/>
  <c r="AL30"/>
  <c r="AL31"/>
  <c r="AL32"/>
  <c r="AL33"/>
  <c r="AL34"/>
  <c r="AL36"/>
  <c r="AL37"/>
  <c r="AL38"/>
  <c r="AL39"/>
  <c r="AK10"/>
  <c r="AH12"/>
  <c r="AH13"/>
  <c r="AH10" s="1"/>
  <c r="AH14"/>
  <c r="AH15"/>
  <c r="AH16"/>
  <c r="AH18"/>
  <c r="AH19"/>
  <c r="AH20"/>
  <c r="AH21"/>
  <c r="AH22"/>
  <c r="AH24"/>
  <c r="AH25"/>
  <c r="AH26"/>
  <c r="AH27"/>
  <c r="AH28"/>
  <c r="AH30"/>
  <c r="AH31"/>
  <c r="AH32"/>
  <c r="AH33"/>
  <c r="AH34"/>
  <c r="AH36"/>
  <c r="AH37"/>
  <c r="AH38"/>
  <c r="AH39"/>
  <c r="AG10"/>
  <c r="BB39" i="23"/>
  <c r="BB38"/>
  <c r="BB37"/>
  <c r="BB36"/>
  <c r="BB34"/>
  <c r="BB33"/>
  <c r="BB32"/>
  <c r="BB31"/>
  <c r="BB30"/>
  <c r="BB28"/>
  <c r="BB27"/>
  <c r="BB26"/>
  <c r="BB25"/>
  <c r="BB24"/>
  <c r="BB22"/>
  <c r="BB21"/>
  <c r="BB20"/>
  <c r="BB19"/>
  <c r="BB18"/>
  <c r="BB16"/>
  <c r="BB15"/>
  <c r="BB14"/>
  <c r="BB13"/>
  <c r="BB12"/>
  <c r="BA10"/>
  <c r="BB12" i="22"/>
  <c r="BB13"/>
  <c r="BB14"/>
  <c r="BB15"/>
  <c r="BB16"/>
  <c r="BB18"/>
  <c r="BB19"/>
  <c r="BB20"/>
  <c r="BB21"/>
  <c r="BB22"/>
  <c r="BB24"/>
  <c r="BB25"/>
  <c r="BB26"/>
  <c r="BB27"/>
  <c r="BB28"/>
  <c r="BB30"/>
  <c r="BB31"/>
  <c r="BB32"/>
  <c r="BB33"/>
  <c r="BB34"/>
  <c r="BB36"/>
  <c r="BB37"/>
  <c r="BB38"/>
  <c r="BB39"/>
  <c r="BA10"/>
  <c r="AY39" i="38"/>
  <c r="AY38"/>
  <c r="AY37"/>
  <c r="AY36"/>
  <c r="AY34"/>
  <c r="AY33"/>
  <c r="AY32"/>
  <c r="AY31"/>
  <c r="AY30"/>
  <c r="AY28"/>
  <c r="AY27"/>
  <c r="AY26"/>
  <c r="AY25"/>
  <c r="AY24"/>
  <c r="AY22"/>
  <c r="AY21"/>
  <c r="AY20"/>
  <c r="AY19"/>
  <c r="AY18"/>
  <c r="AY16"/>
  <c r="AY15"/>
  <c r="AY14"/>
  <c r="AY13"/>
  <c r="AY12"/>
  <c r="Z10" i="36"/>
  <c r="AA10"/>
  <c r="AX39"/>
  <c r="AX38"/>
  <c r="AX37"/>
  <c r="AX36"/>
  <c r="AX34"/>
  <c r="AX33"/>
  <c r="AX32"/>
  <c r="AX31"/>
  <c r="AX30"/>
  <c r="AX28"/>
  <c r="AX27"/>
  <c r="AX26"/>
  <c r="AX25"/>
  <c r="AX24"/>
  <c r="AX22"/>
  <c r="AX21"/>
  <c r="AX20"/>
  <c r="AX19"/>
  <c r="AX18"/>
  <c r="AX16"/>
  <c r="AX15"/>
  <c r="AX14"/>
  <c r="AX13"/>
  <c r="AX12"/>
  <c r="AX10"/>
  <c r="AW10"/>
  <c r="AJ10" i="40"/>
  <c r="S10"/>
  <c r="AJ39"/>
  <c r="AJ38"/>
  <c r="AJ37"/>
  <c r="AJ36"/>
  <c r="AJ34"/>
  <c r="AJ33"/>
  <c r="AJ32"/>
  <c r="AJ31"/>
  <c r="AJ30"/>
  <c r="AJ28"/>
  <c r="AJ27"/>
  <c r="AJ26"/>
  <c r="AJ25"/>
  <c r="AJ24"/>
  <c r="AJ22"/>
  <c r="AJ21"/>
  <c r="AJ20"/>
  <c r="AJ19"/>
  <c r="AJ18"/>
  <c r="AJ16"/>
  <c r="AJ15"/>
  <c r="AJ14"/>
  <c r="AJ13"/>
  <c r="AJ12"/>
  <c r="BY39" i="35"/>
  <c r="BY38"/>
  <c r="BY37"/>
  <c r="BY36"/>
  <c r="BY34"/>
  <c r="BY33"/>
  <c r="BY32"/>
  <c r="BY31"/>
  <c r="BY30"/>
  <c r="BY28"/>
  <c r="BY27"/>
  <c r="BY26"/>
  <c r="BY25"/>
  <c r="BY24"/>
  <c r="BY22"/>
  <c r="BY21"/>
  <c r="BY20"/>
  <c r="BY19"/>
  <c r="BY18"/>
  <c r="BY16"/>
  <c r="BY15"/>
  <c r="BY14"/>
  <c r="BY13"/>
  <c r="BY12"/>
  <c r="BY10"/>
  <c r="BL39"/>
  <c r="BR39"/>
  <c r="BS39"/>
  <c r="BL38"/>
  <c r="BR38"/>
  <c r="BS38"/>
  <c r="BL37"/>
  <c r="BR37"/>
  <c r="BS37"/>
  <c r="BL36"/>
  <c r="BR36"/>
  <c r="BS36"/>
  <c r="BL34"/>
  <c r="BR34"/>
  <c r="BS34"/>
  <c r="BL33"/>
  <c r="BR33"/>
  <c r="BS33"/>
  <c r="BL32"/>
  <c r="BR32"/>
  <c r="BS32"/>
  <c r="BL31"/>
  <c r="BR31"/>
  <c r="BS31"/>
  <c r="BL30"/>
  <c r="BR30"/>
  <c r="BS30"/>
  <c r="BL28"/>
  <c r="BR28"/>
  <c r="BS28"/>
  <c r="BL27"/>
  <c r="BR27"/>
  <c r="BS27"/>
  <c r="BL26"/>
  <c r="BR26"/>
  <c r="BS26"/>
  <c r="BL25"/>
  <c r="BR25"/>
  <c r="BS25"/>
  <c r="BL24"/>
  <c r="BR24"/>
  <c r="BS24"/>
  <c r="BL22"/>
  <c r="BR22"/>
  <c r="BS22"/>
  <c r="BL21"/>
  <c r="BR21"/>
  <c r="BS21"/>
  <c r="BL20"/>
  <c r="BR20"/>
  <c r="BS20"/>
  <c r="BL19"/>
  <c r="BR19"/>
  <c r="BS19"/>
  <c r="BL18"/>
  <c r="BR18"/>
  <c r="BS18"/>
  <c r="BL16"/>
  <c r="BR16"/>
  <c r="BS16"/>
  <c r="BL15"/>
  <c r="BR15"/>
  <c r="BS15"/>
  <c r="BL14"/>
  <c r="BR14"/>
  <c r="BS14"/>
  <c r="BL13"/>
  <c r="BR13"/>
  <c r="BS13"/>
  <c r="BL12"/>
  <c r="BR12"/>
  <c r="BS12"/>
  <c r="BL10"/>
  <c r="BR10"/>
  <c r="BS10"/>
  <c r="AY39" i="34"/>
  <c r="AY38"/>
  <c r="AY37"/>
  <c r="AY36"/>
  <c r="AY34"/>
  <c r="AY33"/>
  <c r="AY32"/>
  <c r="AY31"/>
  <c r="AY30"/>
  <c r="AY28"/>
  <c r="AY27"/>
  <c r="AY26"/>
  <c r="AY25"/>
  <c r="AY24"/>
  <c r="AY22"/>
  <c r="AY21"/>
  <c r="AY20"/>
  <c r="AY19"/>
  <c r="AY18"/>
  <c r="AY16"/>
  <c r="AY15"/>
  <c r="AY14"/>
  <c r="AY13"/>
  <c r="AY12"/>
  <c r="AY10"/>
  <c r="BC39" i="33"/>
  <c r="BC38"/>
  <c r="BC37"/>
  <c r="BC36"/>
  <c r="BC34"/>
  <c r="BC33"/>
  <c r="BC32"/>
  <c r="BC31"/>
  <c r="BC30"/>
  <c r="BC28"/>
  <c r="BC27"/>
  <c r="BC26"/>
  <c r="BC25"/>
  <c r="BC24"/>
  <c r="BC22"/>
  <c r="BC21"/>
  <c r="BC20"/>
  <c r="BC19"/>
  <c r="BC18"/>
  <c r="BC16"/>
  <c r="BC15"/>
  <c r="BC14"/>
  <c r="BC13"/>
  <c r="BC12"/>
  <c r="BC10"/>
  <c r="BB10"/>
  <c r="BA10"/>
  <c r="Z10"/>
  <c r="AA10"/>
  <c r="BC39" i="32"/>
  <c r="BC38"/>
  <c r="BC37"/>
  <c r="BC36"/>
  <c r="BC34"/>
  <c r="BC33"/>
  <c r="BC32"/>
  <c r="BC31"/>
  <c r="BC30"/>
  <c r="BC28"/>
  <c r="BC27"/>
  <c r="BC26"/>
  <c r="BC25"/>
  <c r="BC24"/>
  <c r="BC22"/>
  <c r="BC21"/>
  <c r="BC20"/>
  <c r="BC19"/>
  <c r="BC18"/>
  <c r="BC16"/>
  <c r="BC15"/>
  <c r="BC14"/>
  <c r="BC13"/>
  <c r="BC12"/>
  <c r="BC10"/>
  <c r="BB10"/>
  <c r="BA10"/>
  <c r="L10"/>
  <c r="Z10"/>
  <c r="AA10"/>
  <c r="AW39" i="38"/>
  <c r="AW38"/>
  <c r="AW37"/>
  <c r="AW36"/>
  <c r="AW34"/>
  <c r="AW33"/>
  <c r="AW32"/>
  <c r="AW31"/>
  <c r="AW30"/>
  <c r="AW28"/>
  <c r="AW27"/>
  <c r="AW26"/>
  <c r="AW25"/>
  <c r="AW24"/>
  <c r="AW22"/>
  <c r="AW21"/>
  <c r="AW20"/>
  <c r="AW19"/>
  <c r="AW18"/>
  <c r="AW16"/>
  <c r="AW15"/>
  <c r="AW14"/>
  <c r="AW13"/>
  <c r="AW12"/>
  <c r="AU39"/>
  <c r="AU38"/>
  <c r="AU37"/>
  <c r="AU36"/>
  <c r="AU34"/>
  <c r="AU33"/>
  <c r="AU32"/>
  <c r="AU31"/>
  <c r="AU30"/>
  <c r="AU28"/>
  <c r="AU27"/>
  <c r="AU26"/>
  <c r="AU25"/>
  <c r="AU24"/>
  <c r="AU22"/>
  <c r="AU21"/>
  <c r="AU20"/>
  <c r="AU19"/>
  <c r="AU18"/>
  <c r="AU16"/>
  <c r="AU15"/>
  <c r="AU14"/>
  <c r="AU13"/>
  <c r="AU12"/>
  <c r="AS39"/>
  <c r="AS38"/>
  <c r="AS37"/>
  <c r="AS36"/>
  <c r="AS34"/>
  <c r="AS33"/>
  <c r="AS32"/>
  <c r="AS31"/>
  <c r="AS30"/>
  <c r="AS28"/>
  <c r="AS27"/>
  <c r="AS26"/>
  <c r="AS25"/>
  <c r="AS24"/>
  <c r="AS22"/>
  <c r="AS21"/>
  <c r="AS20"/>
  <c r="AS19"/>
  <c r="AS18"/>
  <c r="AS16"/>
  <c r="AS15"/>
  <c r="AS14"/>
  <c r="AS13"/>
  <c r="AS12"/>
  <c r="N10"/>
  <c r="O10"/>
  <c r="P10"/>
  <c r="Q10"/>
  <c r="R10"/>
  <c r="S10"/>
  <c r="T10"/>
  <c r="U10"/>
  <c r="AQ12"/>
  <c r="AQ13"/>
  <c r="AQ14"/>
  <c r="AQ15"/>
  <c r="AQ16"/>
  <c r="AQ18"/>
  <c r="AQ19"/>
  <c r="AQ20"/>
  <c r="AQ21"/>
  <c r="AQ22"/>
  <c r="AQ24"/>
  <c r="AQ25"/>
  <c r="AQ26"/>
  <c r="AQ27"/>
  <c r="AQ28"/>
  <c r="AQ30"/>
  <c r="AQ31"/>
  <c r="AQ32"/>
  <c r="AQ33"/>
  <c r="AQ34"/>
  <c r="AQ36"/>
  <c r="AQ37"/>
  <c r="AQ38"/>
  <c r="AQ39"/>
  <c r="AO12"/>
  <c r="AO13"/>
  <c r="AO14"/>
  <c r="AO15"/>
  <c r="AO16"/>
  <c r="AO18"/>
  <c r="AO19"/>
  <c r="AO20"/>
  <c r="AO21"/>
  <c r="AO22"/>
  <c r="AO24"/>
  <c r="AO25"/>
  <c r="AO26"/>
  <c r="AO27"/>
  <c r="AO28"/>
  <c r="AO30"/>
  <c r="AO31"/>
  <c r="AO32"/>
  <c r="AO33"/>
  <c r="AO34"/>
  <c r="AO36"/>
  <c r="AO37"/>
  <c r="AO38"/>
  <c r="AO39"/>
  <c r="AM12"/>
  <c r="AM13"/>
  <c r="AM14"/>
  <c r="AM15"/>
  <c r="AM16"/>
  <c r="AM18"/>
  <c r="AM19"/>
  <c r="AM20"/>
  <c r="AM21"/>
  <c r="AM22"/>
  <c r="AM24"/>
  <c r="AM25"/>
  <c r="AM26"/>
  <c r="AM27"/>
  <c r="AM28"/>
  <c r="AM30"/>
  <c r="AM31"/>
  <c r="AM32"/>
  <c r="AM33"/>
  <c r="AM34"/>
  <c r="AM36"/>
  <c r="AM37"/>
  <c r="AM38"/>
  <c r="AM39"/>
  <c r="AI39"/>
  <c r="AI38"/>
  <c r="AI37"/>
  <c r="AI36"/>
  <c r="AI34"/>
  <c r="AI33"/>
  <c r="AI32"/>
  <c r="AI31"/>
  <c r="AI30"/>
  <c r="AI28"/>
  <c r="AI27"/>
  <c r="AI26"/>
  <c r="AI25"/>
  <c r="AI24"/>
  <c r="AI22"/>
  <c r="AI21"/>
  <c r="AI20"/>
  <c r="AI19"/>
  <c r="AI18"/>
  <c r="AI16"/>
  <c r="AI15"/>
  <c r="AI14"/>
  <c r="AI13"/>
  <c r="AI12"/>
  <c r="AK12"/>
  <c r="AK13"/>
  <c r="AK14"/>
  <c r="AK15"/>
  <c r="AK16"/>
  <c r="AK18"/>
  <c r="AK19"/>
  <c r="AK20"/>
  <c r="AK21"/>
  <c r="AK22"/>
  <c r="AK24"/>
  <c r="AK25"/>
  <c r="AK26"/>
  <c r="AK27"/>
  <c r="AK28"/>
  <c r="AK30"/>
  <c r="AK31"/>
  <c r="AK32"/>
  <c r="AK33"/>
  <c r="AK34"/>
  <c r="AK36"/>
  <c r="AK37"/>
  <c r="AK38"/>
  <c r="AK39"/>
  <c r="AA10" i="39"/>
  <c r="Z10"/>
  <c r="AT39"/>
  <c r="AT38"/>
  <c r="AT37"/>
  <c r="AT36"/>
  <c r="AT34"/>
  <c r="AT33"/>
  <c r="AT32"/>
  <c r="AT31"/>
  <c r="AT30"/>
  <c r="AT28"/>
  <c r="AT27"/>
  <c r="AT26"/>
  <c r="AT25"/>
  <c r="AT24"/>
  <c r="AT22"/>
  <c r="AT21"/>
  <c r="AT20"/>
  <c r="AT19"/>
  <c r="AT18"/>
  <c r="AT16"/>
  <c r="AT15"/>
  <c r="AT14"/>
  <c r="AT13"/>
  <c r="AT12"/>
  <c r="AR10"/>
  <c r="AS10"/>
  <c r="AT10"/>
  <c r="Y10"/>
  <c r="AP12"/>
  <c r="AP13"/>
  <c r="AP14"/>
  <c r="AP15"/>
  <c r="AP16"/>
  <c r="AP18"/>
  <c r="AP19"/>
  <c r="AP20"/>
  <c r="AP21"/>
  <c r="AP22"/>
  <c r="AP24"/>
  <c r="AP25"/>
  <c r="AP26"/>
  <c r="AP27"/>
  <c r="AP28"/>
  <c r="AP30"/>
  <c r="AP31"/>
  <c r="AP32"/>
  <c r="AP33"/>
  <c r="AP34"/>
  <c r="AP36"/>
  <c r="AP37"/>
  <c r="AP38"/>
  <c r="AP39"/>
  <c r="AN10"/>
  <c r="AO10"/>
  <c r="X10"/>
  <c r="W10"/>
  <c r="V10"/>
  <c r="U10"/>
  <c r="T10"/>
  <c r="AL10"/>
  <c r="AL12"/>
  <c r="AL13"/>
  <c r="AL14"/>
  <c r="AL15"/>
  <c r="AL16"/>
  <c r="AL18"/>
  <c r="AL19"/>
  <c r="AL20"/>
  <c r="AL21"/>
  <c r="AL22"/>
  <c r="AL24"/>
  <c r="AL25"/>
  <c r="AL26"/>
  <c r="AL27"/>
  <c r="AL28"/>
  <c r="AL30"/>
  <c r="AL31"/>
  <c r="AL32"/>
  <c r="AL33"/>
  <c r="AL34"/>
  <c r="AL36"/>
  <c r="AL37"/>
  <c r="AL38"/>
  <c r="AL39"/>
  <c r="AH10"/>
  <c r="N10"/>
  <c r="O14"/>
  <c r="O10"/>
  <c r="P14"/>
  <c r="P10"/>
  <c r="S10"/>
  <c r="R15"/>
  <c r="R37"/>
  <c r="R10"/>
  <c r="Q10"/>
  <c r="BO39" i="30"/>
  <c r="BP39"/>
  <c r="BO38"/>
  <c r="BP38"/>
  <c r="BO37"/>
  <c r="BP37"/>
  <c r="BO36"/>
  <c r="BP36"/>
  <c r="BO34"/>
  <c r="BP34"/>
  <c r="BO33"/>
  <c r="BP33"/>
  <c r="BO32"/>
  <c r="BP32"/>
  <c r="BO31"/>
  <c r="BP31"/>
  <c r="BO30"/>
  <c r="BP30"/>
  <c r="BO28"/>
  <c r="BP28"/>
  <c r="BO27"/>
  <c r="BP27"/>
  <c r="BO26"/>
  <c r="BP26"/>
  <c r="BO25"/>
  <c r="BP25"/>
  <c r="BO24"/>
  <c r="BP24"/>
  <c r="BO22"/>
  <c r="BP22"/>
  <c r="BO21"/>
  <c r="BP21"/>
  <c r="BO20"/>
  <c r="BP20"/>
  <c r="BO19"/>
  <c r="BP19"/>
  <c r="BO18"/>
  <c r="BP18"/>
  <c r="BO16"/>
  <c r="BP16"/>
  <c r="BO15"/>
  <c r="BP15"/>
  <c r="BO14"/>
  <c r="BP14"/>
  <c r="BO13"/>
  <c r="BP13"/>
  <c r="BO12"/>
  <c r="BP12"/>
  <c r="BP10"/>
  <c r="BN10"/>
  <c r="BM10"/>
  <c r="BL10"/>
  <c r="L10"/>
  <c r="Z10"/>
  <c r="AA10"/>
  <c r="Y12"/>
  <c r="Y13"/>
  <c r="Y10"/>
  <c r="Y14"/>
  <c r="Y15"/>
  <c r="Y16"/>
  <c r="Y18"/>
  <c r="Y19"/>
  <c r="Y20"/>
  <c r="Y21"/>
  <c r="Y22"/>
  <c r="Y24"/>
  <c r="Y25"/>
  <c r="Y26"/>
  <c r="Y27"/>
  <c r="Y28"/>
  <c r="Y30"/>
  <c r="Y31"/>
  <c r="Y32"/>
  <c r="Y33"/>
  <c r="Y34"/>
  <c r="Y36"/>
  <c r="Y37"/>
  <c r="Y38"/>
  <c r="Y39"/>
  <c r="X12"/>
  <c r="X13"/>
  <c r="X14"/>
  <c r="X15"/>
  <c r="X10"/>
  <c r="X16"/>
  <c r="X18"/>
  <c r="X19"/>
  <c r="X20"/>
  <c r="X21"/>
  <c r="X22"/>
  <c r="X24"/>
  <c r="X25"/>
  <c r="X26"/>
  <c r="X27"/>
  <c r="X28"/>
  <c r="X30"/>
  <c r="X31"/>
  <c r="X32"/>
  <c r="X33"/>
  <c r="X34"/>
  <c r="X36"/>
  <c r="X37"/>
  <c r="X38"/>
  <c r="X39"/>
  <c r="W12"/>
  <c r="W13"/>
  <c r="W10"/>
  <c r="W14"/>
  <c r="W15"/>
  <c r="W16"/>
  <c r="W18"/>
  <c r="W19"/>
  <c r="W20"/>
  <c r="W21"/>
  <c r="W22"/>
  <c r="W24"/>
  <c r="W25"/>
  <c r="W26"/>
  <c r="W27"/>
  <c r="W28"/>
  <c r="W30"/>
  <c r="W31"/>
  <c r="W32"/>
  <c r="W33"/>
  <c r="W34"/>
  <c r="W36"/>
  <c r="W37"/>
  <c r="W38"/>
  <c r="W39"/>
  <c r="V10"/>
  <c r="U10"/>
  <c r="T10"/>
  <c r="S10"/>
  <c r="R10"/>
  <c r="Q10"/>
  <c r="P10"/>
  <c r="O10"/>
  <c r="N10"/>
  <c r="BH10"/>
  <c r="BF10"/>
  <c r="BC12"/>
  <c r="BD12"/>
  <c r="BC13"/>
  <c r="BD13"/>
  <c r="BC14"/>
  <c r="BD14"/>
  <c r="BC15"/>
  <c r="BD15"/>
  <c r="BC16"/>
  <c r="BD16"/>
  <c r="BC18"/>
  <c r="BD18"/>
  <c r="BC19"/>
  <c r="BD19"/>
  <c r="BC20"/>
  <c r="BD20"/>
  <c r="BC21"/>
  <c r="BD21"/>
  <c r="BC22"/>
  <c r="BD22"/>
  <c r="BC24"/>
  <c r="BD24"/>
  <c r="BC25"/>
  <c r="BD25"/>
  <c r="BC26"/>
  <c r="BD26"/>
  <c r="BC27"/>
  <c r="BD27"/>
  <c r="BC28"/>
  <c r="BD28"/>
  <c r="BC30"/>
  <c r="BD30"/>
  <c r="BC31"/>
  <c r="BD31"/>
  <c r="BC32"/>
  <c r="BD32"/>
  <c r="BC33"/>
  <c r="BD33"/>
  <c r="BC34"/>
  <c r="BD34"/>
  <c r="BC36"/>
  <c r="BD36"/>
  <c r="BC37"/>
  <c r="BD37"/>
  <c r="BC38"/>
  <c r="BD38"/>
  <c r="BC39"/>
  <c r="BD39"/>
  <c r="BB10"/>
  <c r="BA10"/>
  <c r="AZ10"/>
  <c r="AV12"/>
  <c r="AW12" s="1"/>
  <c r="AV13"/>
  <c r="AW13" s="1"/>
  <c r="AV14"/>
  <c r="AW14" s="1"/>
  <c r="AV15"/>
  <c r="AW15" s="1"/>
  <c r="AV16"/>
  <c r="AW16" s="1"/>
  <c r="AV18"/>
  <c r="AW18" s="1"/>
  <c r="AV19"/>
  <c r="AW19" s="1"/>
  <c r="AV20"/>
  <c r="AW20" s="1"/>
  <c r="AV21"/>
  <c r="AW21" s="1"/>
  <c r="AV22"/>
  <c r="AW22" s="1"/>
  <c r="AV24"/>
  <c r="AW24" s="1"/>
  <c r="AV25"/>
  <c r="AW25" s="1"/>
  <c r="AV26"/>
  <c r="AW26" s="1"/>
  <c r="AV27"/>
  <c r="AW27" s="1"/>
  <c r="AV28"/>
  <c r="AW28" s="1"/>
  <c r="AV30"/>
  <c r="AW30" s="1"/>
  <c r="AV31"/>
  <c r="AW31" s="1"/>
  <c r="AV32"/>
  <c r="AW32" s="1"/>
  <c r="AV33"/>
  <c r="AW33" s="1"/>
  <c r="AV34"/>
  <c r="AW34" s="1"/>
  <c r="AV36"/>
  <c r="AW36" s="1"/>
  <c r="AV37"/>
  <c r="AW37" s="1"/>
  <c r="AV38"/>
  <c r="AW38" s="1"/>
  <c r="AV39"/>
  <c r="AW39" s="1"/>
  <c r="AU10"/>
  <c r="AT10"/>
  <c r="AS10"/>
  <c r="BI13"/>
  <c r="BJ13"/>
  <c r="BI14"/>
  <c r="BJ14"/>
  <c r="BI15"/>
  <c r="BJ15"/>
  <c r="BI16"/>
  <c r="BJ16"/>
  <c r="BI18"/>
  <c r="BJ18"/>
  <c r="BI19"/>
  <c r="BJ19"/>
  <c r="BI20"/>
  <c r="BJ20"/>
  <c r="BI21"/>
  <c r="BJ21"/>
  <c r="BI22"/>
  <c r="BJ22"/>
  <c r="BI24"/>
  <c r="BJ24"/>
  <c r="BI25"/>
  <c r="BJ25"/>
  <c r="BI26"/>
  <c r="BJ26"/>
  <c r="BI27"/>
  <c r="BJ27"/>
  <c r="BI28"/>
  <c r="BJ28"/>
  <c r="BI30"/>
  <c r="BJ30"/>
  <c r="BI31"/>
  <c r="BJ31"/>
  <c r="BI32"/>
  <c r="BJ32"/>
  <c r="BI33"/>
  <c r="BJ33"/>
  <c r="BI34"/>
  <c r="BJ34"/>
  <c r="BI36"/>
  <c r="BJ36"/>
  <c r="BI37"/>
  <c r="BJ37"/>
  <c r="BI38"/>
  <c r="BJ38"/>
  <c r="BI39"/>
  <c r="BJ39"/>
  <c r="BI12"/>
  <c r="BJ12"/>
  <c r="BJ10"/>
  <c r="BG10"/>
  <c r="Z10" i="31"/>
  <c r="BN39"/>
  <c r="BO39"/>
  <c r="BN38"/>
  <c r="BO38"/>
  <c r="BN37"/>
  <c r="BO37"/>
  <c r="BN36"/>
  <c r="BO36"/>
  <c r="BN34"/>
  <c r="BO34"/>
  <c r="BN33"/>
  <c r="BO33"/>
  <c r="BN32"/>
  <c r="BO32"/>
  <c r="BN31"/>
  <c r="BO31"/>
  <c r="BN30"/>
  <c r="BO30"/>
  <c r="BN28"/>
  <c r="BO28"/>
  <c r="BN27"/>
  <c r="BO27"/>
  <c r="BN26"/>
  <c r="BO26"/>
  <c r="BN25"/>
  <c r="BO25"/>
  <c r="BN24"/>
  <c r="BO24"/>
  <c r="BN22"/>
  <c r="BO22"/>
  <c r="BN21"/>
  <c r="BO21"/>
  <c r="BN20"/>
  <c r="BO20"/>
  <c r="BN19"/>
  <c r="BO19"/>
  <c r="BN18"/>
  <c r="BO18"/>
  <c r="BN16"/>
  <c r="BO16"/>
  <c r="BN15"/>
  <c r="BO15"/>
  <c r="BN14"/>
  <c r="BO14"/>
  <c r="BN13"/>
  <c r="BO13"/>
  <c r="BN12"/>
  <c r="BM10"/>
  <c r="BL10"/>
  <c r="BK10"/>
  <c r="Y12"/>
  <c r="Y13"/>
  <c r="Y14"/>
  <c r="Y15"/>
  <c r="Y16"/>
  <c r="Y18"/>
  <c r="Y19"/>
  <c r="Y20"/>
  <c r="Y21"/>
  <c r="Y22"/>
  <c r="Y24"/>
  <c r="Y25"/>
  <c r="Y26"/>
  <c r="Y27"/>
  <c r="Y28"/>
  <c r="Y30"/>
  <c r="Y31"/>
  <c r="Y32"/>
  <c r="Y33"/>
  <c r="Y34"/>
  <c r="Y36"/>
  <c r="Y37"/>
  <c r="Y38"/>
  <c r="Y39"/>
  <c r="BH39"/>
  <c r="BI39"/>
  <c r="BH38"/>
  <c r="BI38"/>
  <c r="BH37"/>
  <c r="BI37"/>
  <c r="BH36"/>
  <c r="BI36"/>
  <c r="BH34"/>
  <c r="BI34"/>
  <c r="BH33"/>
  <c r="BI33"/>
  <c r="BH32"/>
  <c r="BI32"/>
  <c r="BH31"/>
  <c r="BI31"/>
  <c r="BH30"/>
  <c r="BI30"/>
  <c r="BH28"/>
  <c r="BI28"/>
  <c r="BH27"/>
  <c r="BI27"/>
  <c r="BH26"/>
  <c r="BI26"/>
  <c r="BH25"/>
  <c r="BI25"/>
  <c r="BH24"/>
  <c r="BI24"/>
  <c r="BH22"/>
  <c r="BI22"/>
  <c r="BH21"/>
  <c r="BI21"/>
  <c r="BH20"/>
  <c r="BI20"/>
  <c r="BH19"/>
  <c r="BI19"/>
  <c r="BH18"/>
  <c r="BI18"/>
  <c r="BH16"/>
  <c r="BI16"/>
  <c r="BH15"/>
  <c r="BI15"/>
  <c r="BH14"/>
  <c r="BI14"/>
  <c r="BH13"/>
  <c r="BI13"/>
  <c r="BH12"/>
  <c r="BG10"/>
  <c r="BF10"/>
  <c r="BE10"/>
  <c r="N10"/>
  <c r="O10"/>
  <c r="P10"/>
  <c r="Q10"/>
  <c r="X39"/>
  <c r="X38"/>
  <c r="X37"/>
  <c r="X36"/>
  <c r="X34"/>
  <c r="X33"/>
  <c r="X32"/>
  <c r="X31"/>
  <c r="X30"/>
  <c r="X28"/>
  <c r="X27"/>
  <c r="X26"/>
  <c r="X25"/>
  <c r="X24"/>
  <c r="X22"/>
  <c r="X21"/>
  <c r="X20"/>
  <c r="X19"/>
  <c r="X18"/>
  <c r="X16"/>
  <c r="X15"/>
  <c r="X14"/>
  <c r="X13"/>
  <c r="X12"/>
  <c r="X10"/>
  <c r="BB39"/>
  <c r="BC39"/>
  <c r="BB38"/>
  <c r="BC38"/>
  <c r="BB37"/>
  <c r="BC37"/>
  <c r="BB36"/>
  <c r="BC36"/>
  <c r="BB34"/>
  <c r="BC34"/>
  <c r="BB33"/>
  <c r="BC33"/>
  <c r="BB32"/>
  <c r="BC32"/>
  <c r="BB31"/>
  <c r="BC31"/>
  <c r="BB30"/>
  <c r="BC30"/>
  <c r="BB28"/>
  <c r="BC28"/>
  <c r="BB27"/>
  <c r="BC27"/>
  <c r="BB26"/>
  <c r="BC26"/>
  <c r="BB25"/>
  <c r="BC25"/>
  <c r="BB24"/>
  <c r="BC24"/>
  <c r="BB22"/>
  <c r="BC22"/>
  <c r="BB21"/>
  <c r="BC21"/>
  <c r="BB20"/>
  <c r="BC20"/>
  <c r="BB19"/>
  <c r="BC19"/>
  <c r="BB18"/>
  <c r="BC18"/>
  <c r="BB16"/>
  <c r="BC16"/>
  <c r="BB15"/>
  <c r="BC15"/>
  <c r="BB14"/>
  <c r="BC14"/>
  <c r="BB13"/>
  <c r="BC13"/>
  <c r="BB12"/>
  <c r="BC12"/>
  <c r="BC10"/>
  <c r="BA10"/>
  <c r="AZ10"/>
  <c r="AY10"/>
  <c r="W12"/>
  <c r="W13"/>
  <c r="W10"/>
  <c r="W14"/>
  <c r="W15"/>
  <c r="W16"/>
  <c r="W18"/>
  <c r="W19"/>
  <c r="W20"/>
  <c r="W21"/>
  <c r="W22"/>
  <c r="W24"/>
  <c r="W25"/>
  <c r="W26"/>
  <c r="W27"/>
  <c r="W28"/>
  <c r="W30"/>
  <c r="W31"/>
  <c r="W32"/>
  <c r="W33"/>
  <c r="W34"/>
  <c r="W36"/>
  <c r="W37"/>
  <c r="W38"/>
  <c r="W39"/>
  <c r="V39"/>
  <c r="V38"/>
  <c r="V37"/>
  <c r="V36"/>
  <c r="V34"/>
  <c r="V33"/>
  <c r="V32"/>
  <c r="V31"/>
  <c r="V30"/>
  <c r="V28"/>
  <c r="V27"/>
  <c r="V26"/>
  <c r="V25"/>
  <c r="V24"/>
  <c r="V22"/>
  <c r="V21"/>
  <c r="V20"/>
  <c r="V19"/>
  <c r="V18"/>
  <c r="V16"/>
  <c r="V15"/>
  <c r="V14"/>
  <c r="V13"/>
  <c r="V12"/>
  <c r="AV39"/>
  <c r="AW39" s="1"/>
  <c r="AV38"/>
  <c r="AW38" s="1"/>
  <c r="AV37"/>
  <c r="AW37" s="1"/>
  <c r="AV36"/>
  <c r="AW36" s="1"/>
  <c r="AV34"/>
  <c r="AW34" s="1"/>
  <c r="AV33"/>
  <c r="AW33" s="1"/>
  <c r="AV32"/>
  <c r="AW32" s="1"/>
  <c r="AV31"/>
  <c r="AW31" s="1"/>
  <c r="AV30"/>
  <c r="AW30" s="1"/>
  <c r="AV28"/>
  <c r="AW28" s="1"/>
  <c r="AV27"/>
  <c r="AW27" s="1"/>
  <c r="AV26"/>
  <c r="AW26" s="1"/>
  <c r="AV25"/>
  <c r="AW25" s="1"/>
  <c r="AV24"/>
  <c r="AW24" s="1"/>
  <c r="AV22"/>
  <c r="AW22" s="1"/>
  <c r="AV21"/>
  <c r="AW21" s="1"/>
  <c r="AV20"/>
  <c r="AW20" s="1"/>
  <c r="AV19"/>
  <c r="AW19" s="1"/>
  <c r="AV18"/>
  <c r="AW18" s="1"/>
  <c r="AV16"/>
  <c r="AW16" s="1"/>
  <c r="AV15"/>
  <c r="AW15" s="1"/>
  <c r="AV14"/>
  <c r="AW14" s="1"/>
  <c r="AV13"/>
  <c r="AW13" s="1"/>
  <c r="AV12"/>
  <c r="AW12" s="1"/>
  <c r="AW10" s="1"/>
  <c r="AU10"/>
  <c r="AT10"/>
  <c r="AS10"/>
  <c r="V10"/>
  <c r="U10"/>
  <c r="T10"/>
  <c r="S10"/>
  <c r="R10"/>
  <c r="Y13" i="32"/>
  <c r="Y14"/>
  <c r="Y15"/>
  <c r="Y16"/>
  <c r="Y18"/>
  <c r="Y19"/>
  <c r="Y20"/>
  <c r="Y21"/>
  <c r="Y22"/>
  <c r="Y24"/>
  <c r="Y25"/>
  <c r="Y26"/>
  <c r="Y27"/>
  <c r="Y28"/>
  <c r="Y30"/>
  <c r="Y31"/>
  <c r="Y32"/>
  <c r="Y33"/>
  <c r="Y38"/>
  <c r="Y39"/>
  <c r="AY39"/>
  <c r="AY38"/>
  <c r="AY37"/>
  <c r="AY36"/>
  <c r="AY34"/>
  <c r="AY33"/>
  <c r="AY32"/>
  <c r="AY31"/>
  <c r="AY30"/>
  <c r="AY28"/>
  <c r="AY27"/>
  <c r="AY26"/>
  <c r="AY25"/>
  <c r="AY24"/>
  <c r="AY22"/>
  <c r="AY21"/>
  <c r="AY20"/>
  <c r="AY19"/>
  <c r="AY18"/>
  <c r="AY16"/>
  <c r="AY15"/>
  <c r="AY14"/>
  <c r="AY13"/>
  <c r="AY12"/>
  <c r="AY10" s="1"/>
  <c r="AX10"/>
  <c r="AW10"/>
  <c r="X39"/>
  <c r="X38"/>
  <c r="X33"/>
  <c r="X32"/>
  <c r="X31"/>
  <c r="X30"/>
  <c r="X28"/>
  <c r="X27"/>
  <c r="X26"/>
  <c r="X25"/>
  <c r="X24"/>
  <c r="X22"/>
  <c r="X21"/>
  <c r="X20"/>
  <c r="X19"/>
  <c r="X18"/>
  <c r="X16"/>
  <c r="X15"/>
  <c r="X14"/>
  <c r="X13"/>
  <c r="X10"/>
  <c r="AU39"/>
  <c r="AU38"/>
  <c r="AU37"/>
  <c r="AU36"/>
  <c r="AU34"/>
  <c r="AU33"/>
  <c r="AU32"/>
  <c r="AU31"/>
  <c r="AU30"/>
  <c r="AU28"/>
  <c r="AU27"/>
  <c r="AU26"/>
  <c r="AU25"/>
  <c r="AU24"/>
  <c r="AU22"/>
  <c r="AU21"/>
  <c r="AU20"/>
  <c r="AU19"/>
  <c r="AU18"/>
  <c r="AU16"/>
  <c r="AU15"/>
  <c r="AU14"/>
  <c r="AU13"/>
  <c r="AU12"/>
  <c r="AU10" s="1"/>
  <c r="AT10"/>
  <c r="AS10"/>
  <c r="W39"/>
  <c r="W38"/>
  <c r="W36"/>
  <c r="W33"/>
  <c r="W32"/>
  <c r="W31"/>
  <c r="W30"/>
  <c r="W28"/>
  <c r="W27"/>
  <c r="W26"/>
  <c r="W25"/>
  <c r="W24"/>
  <c r="W22"/>
  <c r="W21"/>
  <c r="W20"/>
  <c r="W19"/>
  <c r="W18"/>
  <c r="W16"/>
  <c r="W15"/>
  <c r="W14"/>
  <c r="W13"/>
  <c r="W10" s="1"/>
  <c r="V39"/>
  <c r="V38"/>
  <c r="V36"/>
  <c r="V33"/>
  <c r="V32"/>
  <c r="V31"/>
  <c r="V30"/>
  <c r="V28"/>
  <c r="V27"/>
  <c r="V26"/>
  <c r="V25"/>
  <c r="V24"/>
  <c r="V22"/>
  <c r="V21"/>
  <c r="V20"/>
  <c r="V19"/>
  <c r="V18"/>
  <c r="V16"/>
  <c r="V15"/>
  <c r="V14"/>
  <c r="V13"/>
  <c r="V10" s="1"/>
  <c r="AQ39"/>
  <c r="AQ38"/>
  <c r="AQ37"/>
  <c r="AQ36"/>
  <c r="AQ34"/>
  <c r="AQ33"/>
  <c r="AQ32"/>
  <c r="AQ31"/>
  <c r="AQ30"/>
  <c r="AQ28"/>
  <c r="AQ27"/>
  <c r="AQ26"/>
  <c r="AQ25"/>
  <c r="AQ24"/>
  <c r="AQ22"/>
  <c r="AQ21"/>
  <c r="AQ20"/>
  <c r="AQ19"/>
  <c r="AQ18"/>
  <c r="AQ16"/>
  <c r="AQ15"/>
  <c r="AQ14"/>
  <c r="AQ13"/>
  <c r="AQ12"/>
  <c r="AQ10"/>
  <c r="U10"/>
  <c r="T10"/>
  <c r="S10"/>
  <c r="R10"/>
  <c r="Q10"/>
  <c r="P10"/>
  <c r="O10"/>
  <c r="N10"/>
  <c r="AP10"/>
  <c r="AO10"/>
  <c r="Y19" i="33"/>
  <c r="Y26"/>
  <c r="Y27"/>
  <c r="Y30"/>
  <c r="Y31"/>
  <c r="Y33"/>
  <c r="Y37"/>
  <c r="Y38"/>
  <c r="Y39"/>
  <c r="AT10"/>
  <c r="AU10"/>
  <c r="AY12"/>
  <c r="AY13"/>
  <c r="AY14"/>
  <c r="AY15"/>
  <c r="AY16"/>
  <c r="AY18"/>
  <c r="AY19"/>
  <c r="AY20"/>
  <c r="AY21"/>
  <c r="AY22"/>
  <c r="AY24"/>
  <c r="AY25"/>
  <c r="AY26"/>
  <c r="AY27"/>
  <c r="AY28"/>
  <c r="AY30"/>
  <c r="AY31"/>
  <c r="AY32"/>
  <c r="AY33"/>
  <c r="AY34"/>
  <c r="AY36"/>
  <c r="AY37"/>
  <c r="AY38"/>
  <c r="AY39"/>
  <c r="AX10"/>
  <c r="AW10"/>
  <c r="X19"/>
  <c r="X22"/>
  <c r="X26"/>
  <c r="X27"/>
  <c r="X30"/>
  <c r="X31"/>
  <c r="X33"/>
  <c r="X37"/>
  <c r="X38"/>
  <c r="X39"/>
  <c r="X10"/>
  <c r="AS10"/>
  <c r="AU39"/>
  <c r="AU38"/>
  <c r="AU37"/>
  <c r="AU36"/>
  <c r="AU34"/>
  <c r="AU33"/>
  <c r="AU32"/>
  <c r="AU31"/>
  <c r="AU30"/>
  <c r="AU28"/>
  <c r="AU27"/>
  <c r="AU26"/>
  <c r="AU25"/>
  <c r="AU24"/>
  <c r="AU22"/>
  <c r="AU21"/>
  <c r="AU20"/>
  <c r="AU19"/>
  <c r="AU18"/>
  <c r="AU16"/>
  <c r="AU15"/>
  <c r="AU14"/>
  <c r="AU13"/>
  <c r="AU12"/>
  <c r="W39"/>
  <c r="W38"/>
  <c r="W34"/>
  <c r="W33"/>
  <c r="W31"/>
  <c r="W30"/>
  <c r="W27"/>
  <c r="W26"/>
  <c r="W21"/>
  <c r="W19"/>
  <c r="W10"/>
  <c r="V39"/>
  <c r="V38"/>
  <c r="V34"/>
  <c r="V33"/>
  <c r="V30"/>
  <c r="V27"/>
  <c r="V26"/>
  <c r="V19"/>
  <c r="V10"/>
  <c r="AP10"/>
  <c r="U10"/>
  <c r="T10"/>
  <c r="S10"/>
  <c r="R10"/>
  <c r="Q10"/>
  <c r="P10"/>
  <c r="O10"/>
  <c r="N10"/>
  <c r="AQ12"/>
  <c r="AQ13"/>
  <c r="AQ14"/>
  <c r="AQ15"/>
  <c r="AQ16"/>
  <c r="AQ18"/>
  <c r="AQ19"/>
  <c r="AQ20"/>
  <c r="AQ21"/>
  <c r="AQ22"/>
  <c r="AQ24"/>
  <c r="AQ25"/>
  <c r="AQ26"/>
  <c r="AQ27"/>
  <c r="AQ28"/>
  <c r="AQ30"/>
  <c r="AQ31"/>
  <c r="AQ32"/>
  <c r="AQ33"/>
  <c r="AQ34"/>
  <c r="AQ36"/>
  <c r="AQ37"/>
  <c r="AQ38"/>
  <c r="AQ39"/>
  <c r="AO10"/>
  <c r="AQ10"/>
  <c r="T11" i="34"/>
  <c r="Y10" i="35"/>
  <c r="Y39"/>
  <c r="Y38"/>
  <c r="Y37"/>
  <c r="Y36"/>
  <c r="Y34"/>
  <c r="Y33"/>
  <c r="Y32"/>
  <c r="Y31"/>
  <c r="Y30"/>
  <c r="Y28"/>
  <c r="Y27"/>
  <c r="Y26"/>
  <c r="Y25"/>
  <c r="Y24"/>
  <c r="Y22"/>
  <c r="Y21"/>
  <c r="Y20"/>
  <c r="Y19"/>
  <c r="Y18"/>
  <c r="Y16"/>
  <c r="Y15"/>
  <c r="Y14"/>
  <c r="Y13"/>
  <c r="Y12"/>
  <c r="BF39"/>
  <c r="BF38"/>
  <c r="BF37"/>
  <c r="BF36"/>
  <c r="BF34"/>
  <c r="BF33"/>
  <c r="BF32"/>
  <c r="BF31"/>
  <c r="BF30"/>
  <c r="BF28"/>
  <c r="BF27"/>
  <c r="BF26"/>
  <c r="BF25"/>
  <c r="BF24"/>
  <c r="BF22"/>
  <c r="BF21"/>
  <c r="BF20"/>
  <c r="BF19"/>
  <c r="BF18"/>
  <c r="BF16"/>
  <c r="BF15"/>
  <c r="BF14"/>
  <c r="BF13"/>
  <c r="BF12"/>
  <c r="BF10"/>
  <c r="AZ10"/>
  <c r="AZ12"/>
  <c r="AZ13"/>
  <c r="AZ14"/>
  <c r="AZ15"/>
  <c r="AZ16"/>
  <c r="AZ18"/>
  <c r="AZ19"/>
  <c r="AZ20"/>
  <c r="AZ21"/>
  <c r="AZ22"/>
  <c r="AZ24"/>
  <c r="AZ25"/>
  <c r="AZ26"/>
  <c r="AZ27"/>
  <c r="AZ28"/>
  <c r="AZ30"/>
  <c r="AZ31"/>
  <c r="AZ32"/>
  <c r="AZ33"/>
  <c r="AZ34"/>
  <c r="AZ36"/>
  <c r="AZ37"/>
  <c r="AZ38"/>
  <c r="AZ39"/>
  <c r="AT10" i="36"/>
  <c r="Y10"/>
  <c r="AR39"/>
  <c r="AR38"/>
  <c r="AR37"/>
  <c r="AR36"/>
  <c r="AR34"/>
  <c r="AR33"/>
  <c r="AR32"/>
  <c r="AR31"/>
  <c r="AR30"/>
  <c r="AR28"/>
  <c r="AR27"/>
  <c r="AR26"/>
  <c r="AR25"/>
  <c r="AR24"/>
  <c r="AR22"/>
  <c r="AR21"/>
  <c r="AR20"/>
  <c r="AR19"/>
  <c r="AR18"/>
  <c r="AR16"/>
  <c r="AR15"/>
  <c r="AR14"/>
  <c r="AR13"/>
  <c r="AR12"/>
  <c r="AR10"/>
  <c r="AQ10"/>
  <c r="AU12"/>
  <c r="AU13"/>
  <c r="AU14"/>
  <c r="AU15"/>
  <c r="AU16"/>
  <c r="AU18"/>
  <c r="AU19"/>
  <c r="AU20"/>
  <c r="AU21"/>
  <c r="AU22"/>
  <c r="AU24"/>
  <c r="AU25"/>
  <c r="AU26"/>
  <c r="AU27"/>
  <c r="AU28"/>
  <c r="AU30"/>
  <c r="AU31"/>
  <c r="AU32"/>
  <c r="AU33"/>
  <c r="AU34"/>
  <c r="AU36"/>
  <c r="AU37"/>
  <c r="AU38"/>
  <c r="AU39"/>
  <c r="AU10"/>
  <c r="X10"/>
  <c r="W10"/>
  <c r="V10"/>
  <c r="AO39"/>
  <c r="AO38"/>
  <c r="AO37"/>
  <c r="AO36"/>
  <c r="AO34"/>
  <c r="AO33"/>
  <c r="AO32"/>
  <c r="AO31"/>
  <c r="AO30"/>
  <c r="AO28"/>
  <c r="AO27"/>
  <c r="AO26"/>
  <c r="AO25"/>
  <c r="AO24"/>
  <c r="AO22"/>
  <c r="AO21"/>
  <c r="AO20"/>
  <c r="AO19"/>
  <c r="AO18"/>
  <c r="AO16"/>
  <c r="AO15"/>
  <c r="AO14"/>
  <c r="AO13"/>
  <c r="AO12"/>
  <c r="AN10"/>
  <c r="AL39"/>
  <c r="AL38"/>
  <c r="AL37"/>
  <c r="AL36"/>
  <c r="AL34"/>
  <c r="AL33"/>
  <c r="AL32"/>
  <c r="AL31"/>
  <c r="AL30"/>
  <c r="AL28"/>
  <c r="AL27"/>
  <c r="AL26"/>
  <c r="AL25"/>
  <c r="AL24"/>
  <c r="AL22"/>
  <c r="AL21"/>
  <c r="AL20"/>
  <c r="AL19"/>
  <c r="AL18"/>
  <c r="AL16"/>
  <c r="AL15"/>
  <c r="AL14"/>
  <c r="AL13"/>
  <c r="AL12"/>
  <c r="AK10"/>
  <c r="U10"/>
  <c r="AI39"/>
  <c r="AI38"/>
  <c r="AI37"/>
  <c r="AI36"/>
  <c r="AI34"/>
  <c r="AI33"/>
  <c r="AI32"/>
  <c r="AI31"/>
  <c r="AI30"/>
  <c r="AI28"/>
  <c r="AI27"/>
  <c r="AI26"/>
  <c r="AI25"/>
  <c r="AI24"/>
  <c r="AI22"/>
  <c r="AI21"/>
  <c r="AI20"/>
  <c r="AI19"/>
  <c r="AI18"/>
  <c r="AI16"/>
  <c r="AI15"/>
  <c r="AI14"/>
  <c r="AI13"/>
  <c r="AI12"/>
  <c r="AH10"/>
  <c r="T10"/>
  <c r="S10"/>
  <c r="R10"/>
  <c r="P10"/>
  <c r="O10"/>
  <c r="Q10"/>
  <c r="N10"/>
  <c r="R10" i="40"/>
  <c r="Q10"/>
  <c r="P10"/>
  <c r="O10"/>
  <c r="N10"/>
  <c r="AZ39" i="22"/>
  <c r="AZ38"/>
  <c r="AZ37"/>
  <c r="AZ36"/>
  <c r="AZ34"/>
  <c r="AZ33"/>
  <c r="AZ32"/>
  <c r="AZ31"/>
  <c r="AZ30"/>
  <c r="AZ28"/>
  <c r="AZ27"/>
  <c r="AZ26"/>
  <c r="AZ25"/>
  <c r="AZ24"/>
  <c r="AZ22"/>
  <c r="AZ21"/>
  <c r="AZ20"/>
  <c r="AZ19"/>
  <c r="AZ18"/>
  <c r="AZ16"/>
  <c r="AZ15"/>
  <c r="AZ14"/>
  <c r="AZ13"/>
  <c r="AZ12"/>
  <c r="AZ10" s="1"/>
  <c r="AY10"/>
  <c r="Z10"/>
  <c r="AA10"/>
  <c r="Y10"/>
  <c r="AV10"/>
  <c r="AW39"/>
  <c r="AW38"/>
  <c r="AW37"/>
  <c r="AW36"/>
  <c r="AW34"/>
  <c r="AW33"/>
  <c r="AW32"/>
  <c r="AW31"/>
  <c r="AW30"/>
  <c r="AW28"/>
  <c r="AW27"/>
  <c r="AW26"/>
  <c r="AW25"/>
  <c r="AW24"/>
  <c r="AW22"/>
  <c r="AW21"/>
  <c r="AW20"/>
  <c r="AW19"/>
  <c r="AW18"/>
  <c r="AW16"/>
  <c r="AW15"/>
  <c r="AW14"/>
  <c r="AW13"/>
  <c r="AW10" s="1"/>
  <c r="AW12"/>
  <c r="X10"/>
  <c r="AT12"/>
  <c r="AT13"/>
  <c r="AT14"/>
  <c r="AT15"/>
  <c r="AT16"/>
  <c r="AT18"/>
  <c r="AT19"/>
  <c r="AT20"/>
  <c r="AT21"/>
  <c r="AT22"/>
  <c r="AT24"/>
  <c r="AT25"/>
  <c r="AT26"/>
  <c r="AT27"/>
  <c r="AT28"/>
  <c r="AT30"/>
  <c r="AT31"/>
  <c r="AT32"/>
  <c r="AT33"/>
  <c r="AT34"/>
  <c r="AT36"/>
  <c r="AT37"/>
  <c r="AT38"/>
  <c r="AT39"/>
  <c r="W10"/>
  <c r="AQ12"/>
  <c r="AQ13"/>
  <c r="AQ14"/>
  <c r="AQ15"/>
  <c r="AQ16"/>
  <c r="AQ18"/>
  <c r="AQ19"/>
  <c r="AQ20"/>
  <c r="AQ21"/>
  <c r="AQ22"/>
  <c r="AQ24"/>
  <c r="AQ25"/>
  <c r="AQ26"/>
  <c r="AQ27"/>
  <c r="AQ28"/>
  <c r="AQ30"/>
  <c r="AQ31"/>
  <c r="AQ32"/>
  <c r="AQ33"/>
  <c r="AQ34"/>
  <c r="AQ36"/>
  <c r="AQ37"/>
  <c r="AQ38"/>
  <c r="AQ39"/>
  <c r="AP10"/>
  <c r="V39"/>
  <c r="V38"/>
  <c r="V37"/>
  <c r="V36"/>
  <c r="V34"/>
  <c r="V33"/>
  <c r="V32"/>
  <c r="V31"/>
  <c r="V30"/>
  <c r="V28"/>
  <c r="V27"/>
  <c r="V26"/>
  <c r="V25"/>
  <c r="V24"/>
  <c r="V22"/>
  <c r="V21"/>
  <c r="V20"/>
  <c r="V19"/>
  <c r="V18"/>
  <c r="V16"/>
  <c r="V15"/>
  <c r="V14"/>
  <c r="V13"/>
  <c r="V12"/>
  <c r="V10" s="1"/>
  <c r="AN12"/>
  <c r="AN13"/>
  <c r="AN14"/>
  <c r="AN15"/>
  <c r="AN16"/>
  <c r="AN18"/>
  <c r="AN19"/>
  <c r="AN20"/>
  <c r="AN21"/>
  <c r="AN22"/>
  <c r="AN24"/>
  <c r="AN25"/>
  <c r="AN26"/>
  <c r="AN27"/>
  <c r="AN28"/>
  <c r="AN30"/>
  <c r="AN31"/>
  <c r="AN32"/>
  <c r="AN33"/>
  <c r="AN34"/>
  <c r="AN36"/>
  <c r="AN37"/>
  <c r="AN38"/>
  <c r="AN39"/>
  <c r="AM10"/>
  <c r="AK12"/>
  <c r="AK13"/>
  <c r="AK14"/>
  <c r="AK15"/>
  <c r="AK16"/>
  <c r="AK18"/>
  <c r="AK19"/>
  <c r="AK20"/>
  <c r="AK21"/>
  <c r="AK22"/>
  <c r="AK24"/>
  <c r="AK25"/>
  <c r="AK26"/>
  <c r="AK27"/>
  <c r="AK28"/>
  <c r="AK30"/>
  <c r="AK31"/>
  <c r="AK32"/>
  <c r="AK33"/>
  <c r="AK34"/>
  <c r="AK36"/>
  <c r="AK37"/>
  <c r="AK38"/>
  <c r="AK39"/>
  <c r="AJ10"/>
  <c r="U10"/>
  <c r="AH12"/>
  <c r="AH10" s="1"/>
  <c r="AH13"/>
  <c r="AH14"/>
  <c r="AH15"/>
  <c r="AH16"/>
  <c r="AH18"/>
  <c r="AH19"/>
  <c r="AH20"/>
  <c r="AH21"/>
  <c r="AH22"/>
  <c r="AH24"/>
  <c r="AH25"/>
  <c r="AH26"/>
  <c r="AH27"/>
  <c r="AH28"/>
  <c r="AH30"/>
  <c r="AH31"/>
  <c r="AH32"/>
  <c r="AH33"/>
  <c r="AH34"/>
  <c r="AH36"/>
  <c r="AH37"/>
  <c r="AH38"/>
  <c r="AH39"/>
  <c r="AG10"/>
  <c r="S10"/>
  <c r="R10"/>
  <c r="Q10"/>
  <c r="P10"/>
  <c r="O10"/>
  <c r="T10"/>
  <c r="N10"/>
  <c r="AZ12" i="23"/>
  <c r="AZ13"/>
  <c r="AZ14"/>
  <c r="AZ15"/>
  <c r="AZ16"/>
  <c r="AZ18"/>
  <c r="AZ19"/>
  <c r="AZ20"/>
  <c r="AZ21"/>
  <c r="AZ22"/>
  <c r="AZ24"/>
  <c r="AZ25"/>
  <c r="AZ26"/>
  <c r="AZ27"/>
  <c r="AZ28"/>
  <c r="AZ30"/>
  <c r="AZ31"/>
  <c r="AZ32"/>
  <c r="AZ33"/>
  <c r="AZ34"/>
  <c r="AZ36"/>
  <c r="AZ37"/>
  <c r="AZ38"/>
  <c r="AZ39"/>
  <c r="AY10"/>
  <c r="Z10"/>
  <c r="AA10"/>
  <c r="Y10"/>
  <c r="AW10"/>
  <c r="AT10"/>
  <c r="AT39"/>
  <c r="AT38"/>
  <c r="AT37"/>
  <c r="AT36"/>
  <c r="AT34"/>
  <c r="AT33"/>
  <c r="AT32"/>
  <c r="AT31"/>
  <c r="AT30"/>
  <c r="AT28"/>
  <c r="AT27"/>
  <c r="AT26"/>
  <c r="AT25"/>
  <c r="AT24"/>
  <c r="AT22"/>
  <c r="AT21"/>
  <c r="AT20"/>
  <c r="AT19"/>
  <c r="AT18"/>
  <c r="AT16"/>
  <c r="AT15"/>
  <c r="AT14"/>
  <c r="AT13"/>
  <c r="AT12"/>
  <c r="AQ39"/>
  <c r="AQ38"/>
  <c r="AQ37"/>
  <c r="AQ36"/>
  <c r="AQ34"/>
  <c r="AQ33"/>
  <c r="AQ32"/>
  <c r="AQ31"/>
  <c r="AQ30"/>
  <c r="AQ28"/>
  <c r="AQ27"/>
  <c r="AQ26"/>
  <c r="AQ25"/>
  <c r="AQ24"/>
  <c r="AQ22"/>
  <c r="AQ21"/>
  <c r="AQ20"/>
  <c r="AQ19"/>
  <c r="AQ18"/>
  <c r="AQ16"/>
  <c r="AQ15"/>
  <c r="AQ14"/>
  <c r="AQ13"/>
  <c r="AQ12"/>
  <c r="AP10"/>
  <c r="AN39"/>
  <c r="AN38"/>
  <c r="AN37"/>
  <c r="AN36"/>
  <c r="AN34"/>
  <c r="AN33"/>
  <c r="AN32"/>
  <c r="AN31"/>
  <c r="AN30"/>
  <c r="AN28"/>
  <c r="AN27"/>
  <c r="AN26"/>
  <c r="AN25"/>
  <c r="AN24"/>
  <c r="AN22"/>
  <c r="AN21"/>
  <c r="AN20"/>
  <c r="AN19"/>
  <c r="AN18"/>
  <c r="AN16"/>
  <c r="AN15"/>
  <c r="AN14"/>
  <c r="AN13"/>
  <c r="AN12"/>
  <c r="AN10" s="1"/>
  <c r="AM10"/>
  <c r="AK12"/>
  <c r="AK13"/>
  <c r="AK14"/>
  <c r="AK15"/>
  <c r="AK16"/>
  <c r="AK18"/>
  <c r="AK19"/>
  <c r="AK20"/>
  <c r="AK21"/>
  <c r="AK22"/>
  <c r="AK24"/>
  <c r="AK25"/>
  <c r="AK26"/>
  <c r="AK27"/>
  <c r="AK28"/>
  <c r="AK30"/>
  <c r="AK31"/>
  <c r="AK32"/>
  <c r="AK33"/>
  <c r="AK34"/>
  <c r="AK36"/>
  <c r="AK37"/>
  <c r="AK38"/>
  <c r="AK39"/>
  <c r="AJ10"/>
  <c r="AH12"/>
  <c r="AH13"/>
  <c r="AH14"/>
  <c r="AH15"/>
  <c r="AH16"/>
  <c r="AH18"/>
  <c r="AH19"/>
  <c r="AH20"/>
  <c r="AH21"/>
  <c r="AH22"/>
  <c r="AH24"/>
  <c r="AH25"/>
  <c r="AH26"/>
  <c r="AH27"/>
  <c r="AH28"/>
  <c r="AH30"/>
  <c r="AH31"/>
  <c r="AH32"/>
  <c r="AH33"/>
  <c r="AH34"/>
  <c r="AH36"/>
  <c r="AH37"/>
  <c r="AH38"/>
  <c r="AH39"/>
  <c r="AG10"/>
  <c r="Z10" i="24"/>
  <c r="Y10"/>
  <c r="X10"/>
  <c r="W10"/>
  <c r="V10"/>
  <c r="U10"/>
  <c r="T10"/>
  <c r="O10"/>
  <c r="P10"/>
  <c r="S10"/>
  <c r="R10"/>
  <c r="Q10"/>
  <c r="AZ39" i="25"/>
  <c r="AZ38"/>
  <c r="AZ37"/>
  <c r="AZ36"/>
  <c r="AZ34"/>
  <c r="AZ33"/>
  <c r="AZ32"/>
  <c r="AZ31"/>
  <c r="AZ30"/>
  <c r="AZ28"/>
  <c r="AZ27"/>
  <c r="AZ26"/>
  <c r="AZ25"/>
  <c r="AZ24"/>
  <c r="AZ22"/>
  <c r="AZ21"/>
  <c r="AZ20"/>
  <c r="AZ19"/>
  <c r="AZ18"/>
  <c r="AZ16"/>
  <c r="AZ15"/>
  <c r="AZ14"/>
  <c r="AZ13"/>
  <c r="AZ12"/>
  <c r="AZ10" s="1"/>
  <c r="AY10"/>
  <c r="AW12"/>
  <c r="AW13"/>
  <c r="AW14"/>
  <c r="AW15"/>
  <c r="AW16"/>
  <c r="AW18"/>
  <c r="AW19"/>
  <c r="AW20"/>
  <c r="AW21"/>
  <c r="AW22"/>
  <c r="AW24"/>
  <c r="AW25"/>
  <c r="AW26"/>
  <c r="AW27"/>
  <c r="AW28"/>
  <c r="AW30"/>
  <c r="AW31"/>
  <c r="AW32"/>
  <c r="AW33"/>
  <c r="AW34"/>
  <c r="AW36"/>
  <c r="AW37"/>
  <c r="AW38"/>
  <c r="AW39"/>
  <c r="AV10"/>
  <c r="AT12"/>
  <c r="AT13"/>
  <c r="AT14"/>
  <c r="AT15"/>
  <c r="AT16"/>
  <c r="AT18"/>
  <c r="AT19"/>
  <c r="AT20"/>
  <c r="AT21"/>
  <c r="AT22"/>
  <c r="AT24"/>
  <c r="AT25"/>
  <c r="AT26"/>
  <c r="AT27"/>
  <c r="AT28"/>
  <c r="AT30"/>
  <c r="AT31"/>
  <c r="AT32"/>
  <c r="AT33"/>
  <c r="AT34"/>
  <c r="AT36"/>
  <c r="AT37"/>
  <c r="AT38"/>
  <c r="AT39"/>
  <c r="AS10"/>
  <c r="AQ39"/>
  <c r="AQ38"/>
  <c r="AQ37"/>
  <c r="AQ36"/>
  <c r="AQ34"/>
  <c r="AQ33"/>
  <c r="AQ32"/>
  <c r="AQ31"/>
  <c r="AQ30"/>
  <c r="AQ28"/>
  <c r="AQ27"/>
  <c r="AQ26"/>
  <c r="AQ25"/>
  <c r="AQ24"/>
  <c r="AQ22"/>
  <c r="AQ21"/>
  <c r="AQ20"/>
  <c r="AQ19"/>
  <c r="AQ18"/>
  <c r="AQ16"/>
  <c r="AQ15"/>
  <c r="AQ14"/>
  <c r="AQ13"/>
  <c r="AQ12"/>
  <c r="V38"/>
  <c r="V37"/>
  <c r="V36"/>
  <c r="V34"/>
  <c r="V33"/>
  <c r="V32"/>
  <c r="V31"/>
  <c r="V30"/>
  <c r="V28"/>
  <c r="V27"/>
  <c r="V26"/>
  <c r="V25"/>
  <c r="V24"/>
  <c r="V22"/>
  <c r="V21"/>
  <c r="V20"/>
  <c r="V19"/>
  <c r="V18"/>
  <c r="V16"/>
  <c r="V15"/>
  <c r="V14"/>
  <c r="V13"/>
  <c r="V12"/>
  <c r="V10" s="1"/>
  <c r="AN12"/>
  <c r="AN13"/>
  <c r="AN14"/>
  <c r="AN15"/>
  <c r="AN16"/>
  <c r="AN18"/>
  <c r="AN19"/>
  <c r="AN20"/>
  <c r="AN21"/>
  <c r="AN22"/>
  <c r="AN24"/>
  <c r="AN25"/>
  <c r="AN26"/>
  <c r="AN27"/>
  <c r="AN28"/>
  <c r="AN30"/>
  <c r="AN31"/>
  <c r="AN32"/>
  <c r="AN33"/>
  <c r="AN34"/>
  <c r="AN36"/>
  <c r="AN37"/>
  <c r="AN38"/>
  <c r="AN39"/>
  <c r="AM10"/>
  <c r="U10"/>
  <c r="AK39"/>
  <c r="AK38"/>
  <c r="AK37"/>
  <c r="AK36"/>
  <c r="AK34"/>
  <c r="AK33"/>
  <c r="AK32"/>
  <c r="AK31"/>
  <c r="AK30"/>
  <c r="AK28"/>
  <c r="AK27"/>
  <c r="AK26"/>
  <c r="AK25"/>
  <c r="AK24"/>
  <c r="AK22"/>
  <c r="AK21"/>
  <c r="AK20"/>
  <c r="AK19"/>
  <c r="AK18"/>
  <c r="AK16"/>
  <c r="AK15"/>
  <c r="AK14"/>
  <c r="AK13"/>
  <c r="AK12"/>
  <c r="AK10" s="1"/>
  <c r="AH12"/>
  <c r="AH13"/>
  <c r="AH14"/>
  <c r="AH15"/>
  <c r="AH16"/>
  <c r="AH18"/>
  <c r="AH19"/>
  <c r="AH20"/>
  <c r="AH21"/>
  <c r="AH22"/>
  <c r="AH24"/>
  <c r="AH25"/>
  <c r="AH26"/>
  <c r="AH27"/>
  <c r="AH28"/>
  <c r="AH30"/>
  <c r="AH31"/>
  <c r="AH32"/>
  <c r="AH33"/>
  <c r="AH34"/>
  <c r="AH36"/>
  <c r="AH37"/>
  <c r="AH38"/>
  <c r="AH39"/>
  <c r="T10"/>
  <c r="AG10"/>
  <c r="S10"/>
  <c r="R10"/>
  <c r="Q10"/>
  <c r="P10"/>
  <c r="O10"/>
  <c r="N10"/>
  <c r="AY39" i="26"/>
  <c r="AY38"/>
  <c r="AY37"/>
  <c r="AY36"/>
  <c r="AY34"/>
  <c r="AY33"/>
  <c r="AY32"/>
  <c r="AY31"/>
  <c r="AY30"/>
  <c r="AY28"/>
  <c r="AY27"/>
  <c r="AY26"/>
  <c r="AY25"/>
  <c r="AY24"/>
  <c r="AY22"/>
  <c r="AY21"/>
  <c r="AY20"/>
  <c r="AY19"/>
  <c r="AY18"/>
  <c r="AY16"/>
  <c r="AY15"/>
  <c r="AY14"/>
  <c r="AY13"/>
  <c r="AY12"/>
  <c r="AY10"/>
  <c r="AX10"/>
  <c r="L10"/>
  <c r="AA10"/>
  <c r="Y10"/>
  <c r="AU10"/>
  <c r="AV39"/>
  <c r="AV38"/>
  <c r="AV37"/>
  <c r="AV36"/>
  <c r="AV34"/>
  <c r="AV33"/>
  <c r="AV32"/>
  <c r="AV31"/>
  <c r="AV30"/>
  <c r="AV28"/>
  <c r="AV27"/>
  <c r="AV26"/>
  <c r="AV25"/>
  <c r="AV24"/>
  <c r="AV22"/>
  <c r="AV21"/>
  <c r="AV20"/>
  <c r="AV19"/>
  <c r="AV18"/>
  <c r="AV16"/>
  <c r="AV15"/>
  <c r="AV14"/>
  <c r="AV13"/>
  <c r="AV12"/>
  <c r="AV10" s="1"/>
  <c r="X10"/>
  <c r="AS39"/>
  <c r="AS38"/>
  <c r="AS37"/>
  <c r="AS36"/>
  <c r="AS34"/>
  <c r="AS33"/>
  <c r="AS32"/>
  <c r="AS31"/>
  <c r="AS30"/>
  <c r="AS28"/>
  <c r="AS27"/>
  <c r="AS26"/>
  <c r="AS25"/>
  <c r="AS24"/>
  <c r="AS22"/>
  <c r="AS21"/>
  <c r="AS20"/>
  <c r="AS19"/>
  <c r="AS18"/>
  <c r="AS16"/>
  <c r="AS15"/>
  <c r="AS14"/>
  <c r="AS13"/>
  <c r="AS12"/>
  <c r="AP12"/>
  <c r="AP13"/>
  <c r="AP14"/>
  <c r="AP15"/>
  <c r="AP16"/>
  <c r="AP18"/>
  <c r="AP19"/>
  <c r="AP20"/>
  <c r="AP21"/>
  <c r="AP22"/>
  <c r="AP24"/>
  <c r="AP25"/>
  <c r="AP26"/>
  <c r="AP27"/>
  <c r="AP28"/>
  <c r="AP30"/>
  <c r="AP31"/>
  <c r="AP32"/>
  <c r="AP33"/>
  <c r="AP34"/>
  <c r="AP36"/>
  <c r="AP37"/>
  <c r="AP38"/>
  <c r="AP39"/>
  <c r="AO10"/>
  <c r="W10"/>
  <c r="V39"/>
  <c r="V38"/>
  <c r="V37"/>
  <c r="V36"/>
  <c r="V34"/>
  <c r="V33"/>
  <c r="V32"/>
  <c r="V31"/>
  <c r="V30"/>
  <c r="V28"/>
  <c r="V27"/>
  <c r="V26"/>
  <c r="V25"/>
  <c r="V24"/>
  <c r="V22"/>
  <c r="V21"/>
  <c r="V20"/>
  <c r="V19"/>
  <c r="V18"/>
  <c r="V16"/>
  <c r="V15"/>
  <c r="V14"/>
  <c r="V13"/>
  <c r="V12"/>
  <c r="V10" s="1"/>
  <c r="AN39"/>
  <c r="AN38"/>
  <c r="AN37"/>
  <c r="AN36"/>
  <c r="AN34"/>
  <c r="AN33"/>
  <c r="AN32"/>
  <c r="AN31"/>
  <c r="AN30"/>
  <c r="AN28"/>
  <c r="AN27"/>
  <c r="AN26"/>
  <c r="AN25"/>
  <c r="AN24"/>
  <c r="AN22"/>
  <c r="AN21"/>
  <c r="AN20"/>
  <c r="AN19"/>
  <c r="AN18"/>
  <c r="AN16"/>
  <c r="AN15"/>
  <c r="AN14"/>
  <c r="AN13"/>
  <c r="AN12"/>
  <c r="AM10"/>
  <c r="AK39"/>
  <c r="AK38"/>
  <c r="AK37"/>
  <c r="AK36"/>
  <c r="AK34"/>
  <c r="AK33"/>
  <c r="AK32"/>
  <c r="AK31"/>
  <c r="AK30"/>
  <c r="AK28"/>
  <c r="AK27"/>
  <c r="AK26"/>
  <c r="AK25"/>
  <c r="AK24"/>
  <c r="AK22"/>
  <c r="AK21"/>
  <c r="AK20"/>
  <c r="AK19"/>
  <c r="AK18"/>
  <c r="AK16"/>
  <c r="AK15"/>
  <c r="AK14"/>
  <c r="AK13"/>
  <c r="AK12"/>
  <c r="AK10" s="1"/>
  <c r="AJ10"/>
  <c r="U10"/>
  <c r="T10"/>
  <c r="AH39"/>
  <c r="AH38"/>
  <c r="AH37"/>
  <c r="AH36"/>
  <c r="AH34"/>
  <c r="AH33"/>
  <c r="AH32"/>
  <c r="AH31"/>
  <c r="AH30"/>
  <c r="AH28"/>
  <c r="AH27"/>
  <c r="AH26"/>
  <c r="AH25"/>
  <c r="AH24"/>
  <c r="AH22"/>
  <c r="AH21"/>
  <c r="AH20"/>
  <c r="AH19"/>
  <c r="AH18"/>
  <c r="AH16"/>
  <c r="AH15"/>
  <c r="AH14"/>
  <c r="AH13"/>
  <c r="AH12"/>
  <c r="AH10" s="1"/>
  <c r="AG10"/>
  <c r="S10"/>
  <c r="R10"/>
  <c r="BC39" i="27"/>
  <c r="BD39" s="1"/>
  <c r="BC38"/>
  <c r="BD38" s="1"/>
  <c r="BC37"/>
  <c r="BD37" s="1"/>
  <c r="BC36"/>
  <c r="BD36" s="1"/>
  <c r="BC34"/>
  <c r="BD34" s="1"/>
  <c r="BC33"/>
  <c r="BD33" s="1"/>
  <c r="BC32"/>
  <c r="BD32" s="1"/>
  <c r="BC31"/>
  <c r="BD31" s="1"/>
  <c r="BC30"/>
  <c r="BD30" s="1"/>
  <c r="BC28"/>
  <c r="BD28" s="1"/>
  <c r="BC27"/>
  <c r="BD27" s="1"/>
  <c r="BC26"/>
  <c r="BD26" s="1"/>
  <c r="BC25"/>
  <c r="BD25" s="1"/>
  <c r="BC24"/>
  <c r="BD24" s="1"/>
  <c r="BC22"/>
  <c r="BD22" s="1"/>
  <c r="BC21"/>
  <c r="BD21" s="1"/>
  <c r="BC20"/>
  <c r="BD20" s="1"/>
  <c r="BC19"/>
  <c r="BD19" s="1"/>
  <c r="BC18"/>
  <c r="BD18" s="1"/>
  <c r="BC16"/>
  <c r="BD16" s="1"/>
  <c r="BC15"/>
  <c r="BD15" s="1"/>
  <c r="BC14"/>
  <c r="BD14" s="1"/>
  <c r="BC13"/>
  <c r="BD13" s="1"/>
  <c r="BC12"/>
  <c r="BB10"/>
  <c r="BA10"/>
  <c r="L10"/>
  <c r="Z10"/>
  <c r="AA10"/>
  <c r="AX12"/>
  <c r="AY12" s="1"/>
  <c r="AX13"/>
  <c r="AY13" s="1"/>
  <c r="AX14"/>
  <c r="AY14" s="1"/>
  <c r="AX15"/>
  <c r="AY15" s="1"/>
  <c r="AX16"/>
  <c r="AY16" s="1"/>
  <c r="AX18"/>
  <c r="AY18" s="1"/>
  <c r="AX19"/>
  <c r="AY19" s="1"/>
  <c r="AX20"/>
  <c r="AY20" s="1"/>
  <c r="AX21"/>
  <c r="AY21" s="1"/>
  <c r="AX22"/>
  <c r="AY22" s="1"/>
  <c r="AX24"/>
  <c r="AY24" s="1"/>
  <c r="AX25"/>
  <c r="AY25" s="1"/>
  <c r="AX26"/>
  <c r="AY26" s="1"/>
  <c r="AX27"/>
  <c r="AY27" s="1"/>
  <c r="AX28"/>
  <c r="AY28" s="1"/>
  <c r="AX30"/>
  <c r="AY30" s="1"/>
  <c r="AX31"/>
  <c r="AY31" s="1"/>
  <c r="AX32"/>
  <c r="AY32" s="1"/>
  <c r="AX33"/>
  <c r="AY33" s="1"/>
  <c r="AX34"/>
  <c r="AY34" s="1"/>
  <c r="AX36"/>
  <c r="AY36" s="1"/>
  <c r="AX37"/>
  <c r="AY37" s="1"/>
  <c r="AX38"/>
  <c r="AY38" s="1"/>
  <c r="AX39"/>
  <c r="AY39" s="1"/>
  <c r="AW10"/>
  <c r="AV10"/>
  <c r="Y12"/>
  <c r="Y13"/>
  <c r="Y14"/>
  <c r="Y15"/>
  <c r="Y16"/>
  <c r="Y18"/>
  <c r="Y19"/>
  <c r="Y20"/>
  <c r="Y21"/>
  <c r="Y22"/>
  <c r="Y24"/>
  <c r="Y25"/>
  <c r="Y26"/>
  <c r="Y27"/>
  <c r="Y28"/>
  <c r="Y30"/>
  <c r="Y31"/>
  <c r="Y32"/>
  <c r="Y33"/>
  <c r="Y34"/>
  <c r="Y36"/>
  <c r="Y37"/>
  <c r="Y38"/>
  <c r="Y39"/>
  <c r="Y10" s="1"/>
  <c r="AS39"/>
  <c r="AT39"/>
  <c r="AS38"/>
  <c r="AT38"/>
  <c r="AS37"/>
  <c r="AT37"/>
  <c r="AS36"/>
  <c r="AT36"/>
  <c r="AS34"/>
  <c r="AT34"/>
  <c r="AS33"/>
  <c r="AT33" s="1"/>
  <c r="AS32"/>
  <c r="AT32" s="1"/>
  <c r="AS31"/>
  <c r="AT31" s="1"/>
  <c r="AS30"/>
  <c r="AT30" s="1"/>
  <c r="AS28"/>
  <c r="AT28" s="1"/>
  <c r="AS27"/>
  <c r="AT27" s="1"/>
  <c r="AS26"/>
  <c r="AT26" s="1"/>
  <c r="AS25"/>
  <c r="AT25" s="1"/>
  <c r="AS24"/>
  <c r="AT24" s="1"/>
  <c r="AS22"/>
  <c r="AT22" s="1"/>
  <c r="AS21"/>
  <c r="AT21" s="1"/>
  <c r="AS20"/>
  <c r="AT20" s="1"/>
  <c r="AS19"/>
  <c r="AT19" s="1"/>
  <c r="AS18"/>
  <c r="AT18" s="1"/>
  <c r="AS16"/>
  <c r="AT16" s="1"/>
  <c r="AS15"/>
  <c r="AT15" s="1"/>
  <c r="AS14"/>
  <c r="AT14" s="1"/>
  <c r="AS13"/>
  <c r="AT13" s="1"/>
  <c r="AS12"/>
  <c r="AT12" s="1"/>
  <c r="AR10"/>
  <c r="AQ10"/>
  <c r="X10"/>
  <c r="W10"/>
  <c r="V39"/>
  <c r="V38"/>
  <c r="V37"/>
  <c r="V36"/>
  <c r="V34"/>
  <c r="V33"/>
  <c r="V32"/>
  <c r="V31"/>
  <c r="V30"/>
  <c r="V28"/>
  <c r="V27"/>
  <c r="V26"/>
  <c r="V25"/>
  <c r="V24"/>
  <c r="V22"/>
  <c r="V21"/>
  <c r="V20"/>
  <c r="V19"/>
  <c r="V18"/>
  <c r="V16"/>
  <c r="V15"/>
  <c r="V14"/>
  <c r="V13"/>
  <c r="V12"/>
  <c r="U10"/>
  <c r="AM10"/>
  <c r="AL10"/>
  <c r="T39"/>
  <c r="T38"/>
  <c r="T37"/>
  <c r="T36"/>
  <c r="T34"/>
  <c r="T33"/>
  <c r="T32"/>
  <c r="T31"/>
  <c r="T30"/>
  <c r="T28"/>
  <c r="T27"/>
  <c r="T26"/>
  <c r="T25"/>
  <c r="T24"/>
  <c r="T22"/>
  <c r="T21"/>
  <c r="T20"/>
  <c r="T19"/>
  <c r="T18"/>
  <c r="T16"/>
  <c r="T15"/>
  <c r="T14"/>
  <c r="T13"/>
  <c r="T12"/>
  <c r="T10" s="1"/>
  <c r="AN39"/>
  <c r="AO39" s="1"/>
  <c r="AN38"/>
  <c r="AO38" s="1"/>
  <c r="AN37"/>
  <c r="AO37" s="1"/>
  <c r="AN36"/>
  <c r="AO36" s="1"/>
  <c r="AN34"/>
  <c r="AO34" s="1"/>
  <c r="AN33"/>
  <c r="AO33" s="1"/>
  <c r="AN32"/>
  <c r="AO32" s="1"/>
  <c r="AN31"/>
  <c r="AO31" s="1"/>
  <c r="AN30"/>
  <c r="AO30" s="1"/>
  <c r="AN28"/>
  <c r="AO28" s="1"/>
  <c r="AN27"/>
  <c r="AO27" s="1"/>
  <c r="AN26"/>
  <c r="AO26" s="1"/>
  <c r="AN25"/>
  <c r="AO25" s="1"/>
  <c r="AN24"/>
  <c r="AO24" s="1"/>
  <c r="AN22"/>
  <c r="AO22" s="1"/>
  <c r="AN21"/>
  <c r="AO21" s="1"/>
  <c r="AN20"/>
  <c r="AO20" s="1"/>
  <c r="AN19"/>
  <c r="AO19" s="1"/>
  <c r="AN18"/>
  <c r="AO18" s="1"/>
  <c r="AN16"/>
  <c r="AO16" s="1"/>
  <c r="AN15"/>
  <c r="AO15" s="1"/>
  <c r="AN14"/>
  <c r="AO14" s="1"/>
  <c r="AN13"/>
  <c r="AO13" s="1"/>
  <c r="AN12"/>
  <c r="AO12" s="1"/>
  <c r="S12"/>
  <c r="S13"/>
  <c r="S14"/>
  <c r="S15"/>
  <c r="S16"/>
  <c r="S18"/>
  <c r="S19"/>
  <c r="S20"/>
  <c r="S21"/>
  <c r="S22"/>
  <c r="S24"/>
  <c r="S25"/>
  <c r="S26"/>
  <c r="S27"/>
  <c r="S28"/>
  <c r="S30"/>
  <c r="S31"/>
  <c r="S32"/>
  <c r="S33"/>
  <c r="S34"/>
  <c r="S36"/>
  <c r="S37"/>
  <c r="S38"/>
  <c r="S39"/>
  <c r="R13"/>
  <c r="R14"/>
  <c r="R15"/>
  <c r="R16"/>
  <c r="R18"/>
  <c r="R19"/>
  <c r="R20"/>
  <c r="R21"/>
  <c r="R22"/>
  <c r="R24"/>
  <c r="R25"/>
  <c r="R26"/>
  <c r="R27"/>
  <c r="R28"/>
  <c r="R30"/>
  <c r="R31"/>
  <c r="R10"/>
  <c r="L10" i="28"/>
  <c r="BS39"/>
  <c r="BT39"/>
  <c r="BS38"/>
  <c r="BT38"/>
  <c r="BS37"/>
  <c r="BT37"/>
  <c r="BS36"/>
  <c r="BT36"/>
  <c r="BS34"/>
  <c r="BT34"/>
  <c r="BS33"/>
  <c r="BT33"/>
  <c r="BS32"/>
  <c r="BT32"/>
  <c r="BS31"/>
  <c r="BT31"/>
  <c r="BS30"/>
  <c r="BT30"/>
  <c r="BS28"/>
  <c r="BT28"/>
  <c r="BS27"/>
  <c r="BT27"/>
  <c r="BS26"/>
  <c r="BT26"/>
  <c r="BS25"/>
  <c r="BT25"/>
  <c r="BS24"/>
  <c r="BT24"/>
  <c r="BS22"/>
  <c r="BT22"/>
  <c r="BS21"/>
  <c r="BT21"/>
  <c r="BS20"/>
  <c r="BT20"/>
  <c r="BS19"/>
  <c r="BT19"/>
  <c r="BS18"/>
  <c r="BT18"/>
  <c r="BS16"/>
  <c r="BT16"/>
  <c r="BS15"/>
  <c r="BT15"/>
  <c r="BS14"/>
  <c r="BT14"/>
  <c r="BS13"/>
  <c r="BT13"/>
  <c r="BS12"/>
  <c r="BT12"/>
  <c r="BT10"/>
  <c r="BR10"/>
  <c r="BQ10"/>
  <c r="BP10"/>
  <c r="BO10"/>
  <c r="BC10"/>
  <c r="Y10"/>
  <c r="BL12"/>
  <c r="BM12"/>
  <c r="BL13"/>
  <c r="BM13"/>
  <c r="BL14"/>
  <c r="BM14"/>
  <c r="BL15"/>
  <c r="BM15"/>
  <c r="BL16"/>
  <c r="BM16"/>
  <c r="BL18"/>
  <c r="BM18"/>
  <c r="BL19"/>
  <c r="BM19"/>
  <c r="BL20"/>
  <c r="BM20"/>
  <c r="BL21"/>
  <c r="BM21"/>
  <c r="BL22"/>
  <c r="BM22"/>
  <c r="BL24"/>
  <c r="BM24"/>
  <c r="BL25"/>
  <c r="BM25"/>
  <c r="BL26"/>
  <c r="BM26"/>
  <c r="BL27"/>
  <c r="BM27"/>
  <c r="BL28"/>
  <c r="BM28"/>
  <c r="BL30"/>
  <c r="BM30"/>
  <c r="BL31"/>
  <c r="BM31"/>
  <c r="BL32"/>
  <c r="BM32"/>
  <c r="BL33"/>
  <c r="BM33"/>
  <c r="BL34"/>
  <c r="BM34"/>
  <c r="BL36"/>
  <c r="BM36"/>
  <c r="BL37"/>
  <c r="BM37"/>
  <c r="BL38"/>
  <c r="BM38"/>
  <c r="BL39"/>
  <c r="BM39"/>
  <c r="BK10"/>
  <c r="BJ10"/>
  <c r="BI10"/>
  <c r="BH10"/>
  <c r="X39"/>
  <c r="X38"/>
  <c r="X37"/>
  <c r="X36"/>
  <c r="X34"/>
  <c r="X33"/>
  <c r="X32"/>
  <c r="X31"/>
  <c r="X30"/>
  <c r="X28"/>
  <c r="X27"/>
  <c r="X26"/>
  <c r="X25"/>
  <c r="X24"/>
  <c r="X22"/>
  <c r="X21"/>
  <c r="X20"/>
  <c r="X19"/>
  <c r="X18"/>
  <c r="X16"/>
  <c r="X15"/>
  <c r="X14"/>
  <c r="X13"/>
  <c r="X12"/>
  <c r="X10"/>
  <c r="BE39"/>
  <c r="BE38"/>
  <c r="BE37"/>
  <c r="BE36"/>
  <c r="BE34"/>
  <c r="BE33"/>
  <c r="BE32"/>
  <c r="BE31"/>
  <c r="BE30"/>
  <c r="BE28"/>
  <c r="BE27"/>
  <c r="BE26"/>
  <c r="BE25"/>
  <c r="BE24"/>
  <c r="BE22"/>
  <c r="BE21"/>
  <c r="BE20"/>
  <c r="BE19"/>
  <c r="BE18"/>
  <c r="BE16"/>
  <c r="BE15"/>
  <c r="BE14"/>
  <c r="BE13"/>
  <c r="BE12"/>
  <c r="AX39"/>
  <c r="AX38"/>
  <c r="AX37"/>
  <c r="AX36"/>
  <c r="AX34"/>
  <c r="AX33"/>
  <c r="AX32"/>
  <c r="AX31"/>
  <c r="AX30"/>
  <c r="AX28"/>
  <c r="AX27"/>
  <c r="AX26"/>
  <c r="AX25"/>
  <c r="AX24"/>
  <c r="AX22"/>
  <c r="AX21"/>
  <c r="AX20"/>
  <c r="AX19"/>
  <c r="AX18"/>
  <c r="AX16"/>
  <c r="AX15"/>
  <c r="AX14"/>
  <c r="AX13"/>
  <c r="AX12"/>
  <c r="BF39"/>
  <c r="BF38"/>
  <c r="BF37"/>
  <c r="BF36"/>
  <c r="BF34"/>
  <c r="BF33"/>
  <c r="BF32"/>
  <c r="BF31"/>
  <c r="BF30"/>
  <c r="BF28"/>
  <c r="BF27"/>
  <c r="BF26"/>
  <c r="BF25"/>
  <c r="BF24"/>
  <c r="BF22"/>
  <c r="BF21"/>
  <c r="BF20"/>
  <c r="BF19"/>
  <c r="BF18"/>
  <c r="BF16"/>
  <c r="BF15"/>
  <c r="BF14"/>
  <c r="BF13"/>
  <c r="BF12"/>
  <c r="BF10"/>
  <c r="BE10"/>
  <c r="BD10"/>
  <c r="BB10"/>
  <c r="BA10"/>
  <c r="W10"/>
  <c r="V10"/>
  <c r="AY12"/>
  <c r="AY13"/>
  <c r="AY14"/>
  <c r="AY15"/>
  <c r="AY16"/>
  <c r="AY18"/>
  <c r="AY19"/>
  <c r="AY20"/>
  <c r="AY21"/>
  <c r="AY22"/>
  <c r="AY24"/>
  <c r="AY25"/>
  <c r="AY26"/>
  <c r="AY27"/>
  <c r="AY28"/>
  <c r="AY30"/>
  <c r="AY31"/>
  <c r="AY32"/>
  <c r="AY33"/>
  <c r="AY34"/>
  <c r="AY36"/>
  <c r="AY37"/>
  <c r="AY38"/>
  <c r="AY39"/>
  <c r="AY10"/>
  <c r="AV10"/>
  <c r="AU10"/>
  <c r="AT10"/>
  <c r="U10"/>
  <c r="T10"/>
  <c r="AX10"/>
  <c r="AW10"/>
  <c r="S10"/>
  <c r="N10"/>
  <c r="O10"/>
  <c r="P10"/>
  <c r="R10"/>
  <c r="Q10"/>
  <c r="CA39" i="29"/>
  <c r="BU39" s="1"/>
  <c r="BV39" s="1"/>
  <c r="BW39" s="1"/>
  <c r="CA38"/>
  <c r="BU38" s="1"/>
  <c r="BV38" s="1"/>
  <c r="BW38" s="1"/>
  <c r="CA37"/>
  <c r="BU37" s="1"/>
  <c r="BV37" s="1"/>
  <c r="BW37" s="1"/>
  <c r="CA36"/>
  <c r="BU36" s="1"/>
  <c r="BV36" s="1"/>
  <c r="BW36" s="1"/>
  <c r="CA34"/>
  <c r="BU34" s="1"/>
  <c r="BV34" s="1"/>
  <c r="BW34" s="1"/>
  <c r="CA33"/>
  <c r="BU33" s="1"/>
  <c r="BV33" s="1"/>
  <c r="BW33" s="1"/>
  <c r="CA32"/>
  <c r="BU32" s="1"/>
  <c r="BV32" s="1"/>
  <c r="BW32" s="1"/>
  <c r="CA31"/>
  <c r="BU31" s="1"/>
  <c r="BV31" s="1"/>
  <c r="BW31" s="1"/>
  <c r="CA30"/>
  <c r="BU30" s="1"/>
  <c r="BV30" s="1"/>
  <c r="BW30" s="1"/>
  <c r="CA28"/>
  <c r="BU28" s="1"/>
  <c r="BV28" s="1"/>
  <c r="BW28" s="1"/>
  <c r="CA27"/>
  <c r="BU27" s="1"/>
  <c r="BV27" s="1"/>
  <c r="BW27" s="1"/>
  <c r="CA26"/>
  <c r="BU26" s="1"/>
  <c r="BV26" s="1"/>
  <c r="BW26" s="1"/>
  <c r="CA25"/>
  <c r="BU25" s="1"/>
  <c r="BV25" s="1"/>
  <c r="BW25" s="1"/>
  <c r="CA24"/>
  <c r="BU24" s="1"/>
  <c r="BV24" s="1"/>
  <c r="BW24" s="1"/>
  <c r="CA22"/>
  <c r="BU22" s="1"/>
  <c r="BV22" s="1"/>
  <c r="BW22" s="1"/>
  <c r="CA21"/>
  <c r="BU21" s="1"/>
  <c r="BV21" s="1"/>
  <c r="BW21" s="1"/>
  <c r="CA20"/>
  <c r="BU20" s="1"/>
  <c r="BV20" s="1"/>
  <c r="BW20" s="1"/>
  <c r="CA19"/>
  <c r="BU19" s="1"/>
  <c r="BV19" s="1"/>
  <c r="BW19" s="1"/>
  <c r="CA18"/>
  <c r="BU18" s="1"/>
  <c r="BV18" s="1"/>
  <c r="BW18" s="1"/>
  <c r="CA16"/>
  <c r="BU16" s="1"/>
  <c r="BV16" s="1"/>
  <c r="BW16" s="1"/>
  <c r="CA15"/>
  <c r="BU15" s="1"/>
  <c r="BV15" s="1"/>
  <c r="BW15" s="1"/>
  <c r="CA14"/>
  <c r="BU14" s="1"/>
  <c r="BV14" s="1"/>
  <c r="BW14" s="1"/>
  <c r="CA13"/>
  <c r="BU13" s="1"/>
  <c r="BV13" s="1"/>
  <c r="BW13" s="1"/>
  <c r="CA12"/>
  <c r="BU12" s="1"/>
  <c r="CA10"/>
  <c r="BZ10"/>
  <c r="BY10"/>
  <c r="BT10"/>
  <c r="BS10"/>
  <c r="Z10"/>
  <c r="AA10"/>
  <c r="Y10"/>
  <c r="BP10"/>
  <c r="BO10"/>
  <c r="BQ39"/>
  <c r="BL39"/>
  <c r="BM39"/>
  <c r="BQ38"/>
  <c r="BL38"/>
  <c r="BM38" s="1"/>
  <c r="BQ37"/>
  <c r="BL37"/>
  <c r="BM37"/>
  <c r="BQ36"/>
  <c r="BL36"/>
  <c r="BM36" s="1"/>
  <c r="BQ34"/>
  <c r="BL34"/>
  <c r="BM34"/>
  <c r="BQ33"/>
  <c r="BL33"/>
  <c r="BM33" s="1"/>
  <c r="BQ32"/>
  <c r="BL32"/>
  <c r="BM32"/>
  <c r="BQ31"/>
  <c r="BL31"/>
  <c r="BM31" s="1"/>
  <c r="BQ30"/>
  <c r="BL30"/>
  <c r="BM30"/>
  <c r="BQ28"/>
  <c r="BL28"/>
  <c r="BM28" s="1"/>
  <c r="BQ27"/>
  <c r="BL27"/>
  <c r="BM27"/>
  <c r="BQ26"/>
  <c r="BL26"/>
  <c r="BM26" s="1"/>
  <c r="BQ25"/>
  <c r="BL25"/>
  <c r="BM25"/>
  <c r="BQ24"/>
  <c r="BL24"/>
  <c r="BM24" s="1"/>
  <c r="BQ22"/>
  <c r="BL22"/>
  <c r="BM22"/>
  <c r="BQ21"/>
  <c r="BL21"/>
  <c r="BM21" s="1"/>
  <c r="BQ20"/>
  <c r="BL20"/>
  <c r="BM20"/>
  <c r="BQ19"/>
  <c r="BL19"/>
  <c r="BM19" s="1"/>
  <c r="BQ18"/>
  <c r="BL18"/>
  <c r="BM18"/>
  <c r="BQ16"/>
  <c r="BL16"/>
  <c r="BM16" s="1"/>
  <c r="BQ15"/>
  <c r="BL15"/>
  <c r="BM15"/>
  <c r="BQ14"/>
  <c r="BL14"/>
  <c r="BM14" s="1"/>
  <c r="BQ13"/>
  <c r="BL13"/>
  <c r="BM13" s="1"/>
  <c r="BQ12"/>
  <c r="BQ10" s="1"/>
  <c r="BL12"/>
  <c r="BM12"/>
  <c r="BL10"/>
  <c r="BK10"/>
  <c r="BJ10"/>
  <c r="BI10"/>
  <c r="BG12"/>
  <c r="BG13"/>
  <c r="BG14"/>
  <c r="BG15"/>
  <c r="BG16"/>
  <c r="BG18"/>
  <c r="BG19"/>
  <c r="BG20"/>
  <c r="BG21"/>
  <c r="BG22"/>
  <c r="BG24"/>
  <c r="BG25"/>
  <c r="BG26"/>
  <c r="BG27"/>
  <c r="BG28"/>
  <c r="BG30"/>
  <c r="BG31"/>
  <c r="BG32"/>
  <c r="BG33"/>
  <c r="BG34"/>
  <c r="BG36"/>
  <c r="BG37"/>
  <c r="BG38"/>
  <c r="BG39"/>
  <c r="BG10"/>
  <c r="BB39"/>
  <c r="BC39"/>
  <c r="BB38"/>
  <c r="BC38"/>
  <c r="BB37"/>
  <c r="BC37"/>
  <c r="BB36"/>
  <c r="BC36"/>
  <c r="BB34"/>
  <c r="BC34"/>
  <c r="BB33"/>
  <c r="BC33"/>
  <c r="BB32"/>
  <c r="BC32"/>
  <c r="BB31"/>
  <c r="BC31"/>
  <c r="BB30"/>
  <c r="BC30"/>
  <c r="BB28"/>
  <c r="BC28"/>
  <c r="BB27"/>
  <c r="BC27"/>
  <c r="BB26"/>
  <c r="BC26"/>
  <c r="BB25"/>
  <c r="BC25"/>
  <c r="BB24"/>
  <c r="BC24"/>
  <c r="BB22"/>
  <c r="BC22"/>
  <c r="BB21"/>
  <c r="BC21"/>
  <c r="BB20"/>
  <c r="BC20"/>
  <c r="BB19"/>
  <c r="BC19"/>
  <c r="BB18"/>
  <c r="BC18"/>
  <c r="BB16"/>
  <c r="BC16"/>
  <c r="BB15"/>
  <c r="BC15"/>
  <c r="BB14"/>
  <c r="BC14"/>
  <c r="BB13"/>
  <c r="BC13"/>
  <c r="BB12"/>
  <c r="BC12"/>
  <c r="BA10"/>
  <c r="AZ10"/>
  <c r="AY10"/>
  <c r="AV12"/>
  <c r="AW12" s="1"/>
  <c r="AV13"/>
  <c r="AW13" s="1"/>
  <c r="AV14"/>
  <c r="AW14" s="1"/>
  <c r="AV15"/>
  <c r="AW15" s="1"/>
  <c r="AV16"/>
  <c r="AW16" s="1"/>
  <c r="AV18"/>
  <c r="AW18" s="1"/>
  <c r="AV19"/>
  <c r="AW19" s="1"/>
  <c r="AV20"/>
  <c r="AW20" s="1"/>
  <c r="AV21"/>
  <c r="AW21" s="1"/>
  <c r="AV22"/>
  <c r="AW22" s="1"/>
  <c r="AV24"/>
  <c r="AW24" s="1"/>
  <c r="AV25"/>
  <c r="AW25" s="1"/>
  <c r="AV26"/>
  <c r="AW26" s="1"/>
  <c r="AV27"/>
  <c r="AW27" s="1"/>
  <c r="AV28"/>
  <c r="AW28" s="1"/>
  <c r="AV30"/>
  <c r="AW30" s="1"/>
  <c r="AV31"/>
  <c r="AW31" s="1"/>
  <c r="AV32"/>
  <c r="AW32" s="1"/>
  <c r="AV33"/>
  <c r="AW33" s="1"/>
  <c r="AV34"/>
  <c r="AW34" s="1"/>
  <c r="AV36"/>
  <c r="AW36" s="1"/>
  <c r="AV37"/>
  <c r="AW37" s="1"/>
  <c r="AV38"/>
  <c r="AW38" s="1"/>
  <c r="AV39"/>
  <c r="AW39" s="1"/>
  <c r="AU10"/>
  <c r="AT10"/>
  <c r="AS10"/>
  <c r="U10"/>
  <c r="T10"/>
  <c r="S10"/>
  <c r="R10"/>
  <c r="Q10"/>
  <c r="P10"/>
  <c r="O10"/>
  <c r="N10"/>
  <c r="BT39" i="31"/>
  <c r="BU39"/>
  <c r="BT38"/>
  <c r="BU38"/>
  <c r="BT37"/>
  <c r="BU37"/>
  <c r="BT36"/>
  <c r="BU36"/>
  <c r="BT34"/>
  <c r="BU34"/>
  <c r="BT33"/>
  <c r="BU33"/>
  <c r="BT32"/>
  <c r="BU32"/>
  <c r="BT31"/>
  <c r="BU31"/>
  <c r="BT30"/>
  <c r="BU30"/>
  <c r="BT28"/>
  <c r="BU28"/>
  <c r="BT27"/>
  <c r="BU27"/>
  <c r="BT26"/>
  <c r="BU26"/>
  <c r="BT25"/>
  <c r="BU25"/>
  <c r="BT24"/>
  <c r="BU24"/>
  <c r="BT22"/>
  <c r="BU22"/>
  <c r="BT21"/>
  <c r="BU21"/>
  <c r="BT20"/>
  <c r="BU20"/>
  <c r="BT19"/>
  <c r="BU19"/>
  <c r="BT18"/>
  <c r="BU18"/>
  <c r="BT16"/>
  <c r="BU16"/>
  <c r="BT15"/>
  <c r="BU15"/>
  <c r="BT14"/>
  <c r="BU14"/>
  <c r="BT13"/>
  <c r="BU13"/>
  <c r="BT12"/>
  <c r="BU12"/>
  <c r="BU10"/>
  <c r="BQ10"/>
  <c r="BC10" i="29"/>
  <c r="AV10"/>
  <c r="BD10" i="30"/>
  <c r="BT10" i="31"/>
  <c r="BB10" i="29"/>
  <c r="AS10" i="27"/>
  <c r="AX10"/>
  <c r="BB10" i="31"/>
  <c r="BI10" i="30"/>
  <c r="BC10"/>
  <c r="BO10"/>
  <c r="BZ10" i="28"/>
  <c r="BU10" i="30"/>
  <c r="AT10" i="25"/>
  <c r="AK10" i="22"/>
  <c r="AY10" i="33"/>
  <c r="Y10" i="32"/>
  <c r="BD12" i="27"/>
  <c r="BD10" s="1"/>
  <c r="BC10"/>
  <c r="BI12" i="31"/>
  <c r="BI10"/>
  <c r="BH10"/>
  <c r="BO12"/>
  <c r="BO10"/>
  <c r="BN10"/>
  <c r="BS10" i="28"/>
  <c r="BL10"/>
  <c r="AP10" i="26"/>
  <c r="AW10" i="25"/>
  <c r="Y10" i="33"/>
  <c r="Y10" i="31"/>
  <c r="AV10" i="30"/>
  <c r="CJ10" i="29"/>
  <c r="L10"/>
  <c r="BD10" i="23"/>
  <c r="BB10"/>
  <c r="AZ10"/>
  <c r="AK10"/>
  <c r="AQ10"/>
  <c r="AT10" i="22"/>
  <c r="AQ10"/>
  <c r="BB10"/>
  <c r="L10" i="33"/>
  <c r="AP10" i="39"/>
  <c r="BB10"/>
  <c r="L10"/>
  <c r="L10" i="36"/>
  <c r="L22"/>
  <c r="L34"/>
  <c r="BM10" i="28"/>
  <c r="CN10"/>
  <c r="AS10" i="26"/>
  <c r="CG10" i="31"/>
  <c r="CG10" i="30"/>
  <c r="CO10" i="28"/>
  <c r="BR10" i="27"/>
  <c r="AN10" i="26" l="1"/>
  <c r="AV10" i="31"/>
  <c r="L10"/>
  <c r="AW10" i="30"/>
  <c r="BU10" i="29"/>
  <c r="BV12"/>
  <c r="BM10"/>
  <c r="CK10"/>
  <c r="AW10"/>
  <c r="CW12"/>
  <c r="CW10" s="1"/>
  <c r="S10" i="27"/>
  <c r="AN10"/>
  <c r="V10"/>
  <c r="BW10"/>
  <c r="BX10"/>
  <c r="AH10" i="23"/>
  <c r="CV10" i="28"/>
  <c r="BS10" i="27"/>
  <c r="AY10"/>
  <c r="BH10"/>
  <c r="BM10"/>
  <c r="AH10" i="25"/>
  <c r="AN10"/>
  <c r="BC10"/>
  <c r="AQ10"/>
  <c r="L10"/>
  <c r="BO10"/>
  <c r="BN10"/>
  <c r="BJ10"/>
  <c r="L10" i="24"/>
  <c r="AN10" i="22"/>
  <c r="BW12" i="29" l="1"/>
  <c r="BW10" s="1"/>
  <c r="BV10"/>
</calcChain>
</file>

<file path=xl/comments1.xml><?xml version="1.0" encoding="utf-8"?>
<comments xmlns="http://schemas.openxmlformats.org/spreadsheetml/2006/main">
  <authors>
    <author>SOVAROUN</author>
  </authors>
  <commentList>
    <comment ref="AS10" authorId="0">
      <text>
        <r>
          <rPr>
            <b/>
            <sz val="9"/>
            <color indexed="81"/>
            <rFont val="Tahoma"/>
            <family val="2"/>
          </rPr>
          <t>SOVAROUN: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rieng</author>
  </authors>
  <commentList>
    <comment ref="BV12" authorId="0">
      <text>
        <r>
          <rPr>
            <b/>
            <sz val="8"/>
            <color indexed="81"/>
            <rFont val="Tahoma"/>
            <family val="2"/>
          </rPr>
          <t>rieng:</t>
        </r>
        <r>
          <rPr>
            <sz val="8"/>
            <color indexed="81"/>
            <rFont val="Tahoma"/>
            <family val="2"/>
          </rPr>
          <t xml:space="preserve">
Revised to include $1,487,492.83 of Guidance Salaries omitted in earlier version.
</t>
        </r>
      </text>
    </comment>
  </commentList>
</comments>
</file>

<file path=xl/comments3.xml><?xml version="1.0" encoding="utf-8"?>
<comments xmlns="http://schemas.openxmlformats.org/spreadsheetml/2006/main">
  <authors>
    <author>rieng</author>
  </authors>
  <commentList>
    <comment ref="BR12" authorId="0">
      <text>
        <r>
          <rPr>
            <b/>
            <sz val="8"/>
            <color indexed="81"/>
            <rFont val="Tahoma"/>
            <family val="2"/>
          </rPr>
          <t>rieng:</t>
        </r>
        <r>
          <rPr>
            <sz val="8"/>
            <color indexed="81"/>
            <rFont val="Tahoma"/>
            <family val="2"/>
          </rPr>
          <t xml:space="preserve">
Included $1,487,492.83 for guidance salaries omitted in the earlier version</t>
        </r>
      </text>
    </comment>
  </commentList>
</comments>
</file>

<file path=xl/comments4.xml><?xml version="1.0" encoding="utf-8"?>
<comments xmlns="http://schemas.openxmlformats.org/spreadsheetml/2006/main">
  <authors>
    <author>rieng</author>
  </authors>
  <commentList>
    <comment ref="CA12" authorId="0">
      <text>
        <r>
          <rPr>
            <b/>
            <sz val="8"/>
            <color indexed="81"/>
            <rFont val="Tahoma"/>
            <family val="2"/>
          </rPr>
          <t>rieng:</t>
        </r>
        <r>
          <rPr>
            <sz val="8"/>
            <color indexed="81"/>
            <rFont val="Tahoma"/>
            <family val="2"/>
          </rPr>
          <t xml:space="preserve">
revised 1-20-2010</t>
        </r>
      </text>
    </comment>
  </commentList>
</comments>
</file>

<file path=xl/sharedStrings.xml><?xml version="1.0" encoding="utf-8"?>
<sst xmlns="http://schemas.openxmlformats.org/spreadsheetml/2006/main" count="2947" uniqueCount="369">
  <si>
    <t>Expenditures for Elementary/Secondary Instructional Salaries* in Thousands of Dollars</t>
  </si>
  <si>
    <t>Local Unit</t>
  </si>
  <si>
    <t xml:space="preserve">   1984-85</t>
  </si>
  <si>
    <t xml:space="preserve">   1990-91</t>
  </si>
  <si>
    <t xml:space="preserve"> 1991-92</t>
  </si>
  <si>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</si>
  <si>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</si>
  <si>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</si>
  <si>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</si>
  <si>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</si>
  <si>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</si>
  <si>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</si>
  <si>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</si>
  <si>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</si>
  <si>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</si>
  <si>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</si>
  <si>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</si>
  <si>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</si>
  <si>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</si>
  <si>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</si>
  <si>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</si>
  <si>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</si>
  <si>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</si>
  <si>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</si>
  <si>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</si>
  <si>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</si>
  <si>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</si>
  <si>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</si>
  <si>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</si>
  <si>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</si>
  <si>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/>
  </si>
  <si>
    <t xml:space="preserve">    1986-87</t>
  </si>
  <si>
    <t xml:space="preserve">    1988-89</t>
  </si>
  <si>
    <t xml:space="preserve">   1992-93</t>
  </si>
  <si>
    <t>Percent Change</t>
  </si>
  <si>
    <t xml:space="preserve"> 1985-86</t>
  </si>
  <si>
    <t xml:space="preserve"> 1986-87</t>
  </si>
  <si>
    <t xml:space="preserve"> 1987-88</t>
  </si>
  <si>
    <t xml:space="preserve"> 1988-89</t>
  </si>
  <si>
    <t xml:space="preserve"> 1989-90</t>
  </si>
  <si>
    <t xml:space="preserve"> 1990-91</t>
  </si>
  <si>
    <t xml:space="preserve"> 1992-93</t>
  </si>
  <si>
    <t xml:space="preserve">  1984-85</t>
  </si>
  <si>
    <t xml:space="preserve">    1984-85</t>
  </si>
  <si>
    <t>Local Appropriations for Current Expenses in Thousands of Dollars</t>
  </si>
  <si>
    <t xml:space="preserve">   1989-90</t>
  </si>
  <si>
    <t xml:space="preserve">  1991-92</t>
  </si>
  <si>
    <t>1992-93</t>
  </si>
  <si>
    <t>Total Current Expenditures* in Thousands of Dollars</t>
  </si>
  <si>
    <t>Expenditures for Special Education* in Thousands of Dollars</t>
  </si>
  <si>
    <t xml:space="preserve">   1991-92</t>
  </si>
  <si>
    <t xml:space="preserve">     1984-85</t>
  </si>
  <si>
    <t>Expenditures for Elementary/Secondary Materials of Instruction* in Thousands of Dollars</t>
  </si>
  <si>
    <t xml:space="preserve">     1985-86</t>
  </si>
  <si>
    <t xml:space="preserve">    1992-93</t>
  </si>
  <si>
    <t xml:space="preserve">      1984-85</t>
  </si>
  <si>
    <t>Expenditures for Elementary/Secondary Textbooks*</t>
  </si>
  <si>
    <t xml:space="preserve">  1985-86</t>
  </si>
  <si>
    <t xml:space="preserve">  1986-87</t>
  </si>
  <si>
    <t xml:space="preserve">  1987-88</t>
  </si>
  <si>
    <t xml:space="preserve">  1988-89</t>
  </si>
  <si>
    <t xml:space="preserve">  1989-90</t>
  </si>
  <si>
    <t xml:space="preserve">  1990-91</t>
  </si>
  <si>
    <t>1991-92</t>
  </si>
  <si>
    <t xml:space="preserve">    1987-88</t>
  </si>
  <si>
    <t xml:space="preserve">     1991-92</t>
  </si>
  <si>
    <t xml:space="preserve">     1992-93</t>
  </si>
  <si>
    <t xml:space="preserve">    1990-91</t>
  </si>
  <si>
    <t xml:space="preserve">       1991-92</t>
  </si>
  <si>
    <t xml:space="preserve">       1992-93</t>
  </si>
  <si>
    <t xml:space="preserve">      1992-93</t>
  </si>
  <si>
    <t xml:space="preserve">      1991-92</t>
  </si>
  <si>
    <t xml:space="preserve">    1989-90</t>
  </si>
  <si>
    <t xml:space="preserve">      1986-87</t>
  </si>
  <si>
    <t xml:space="preserve">      1987-88</t>
  </si>
  <si>
    <t xml:space="preserve">      1988-89</t>
  </si>
  <si>
    <t xml:space="preserve">      1989-90</t>
  </si>
  <si>
    <t xml:space="preserve">      1990-91</t>
  </si>
  <si>
    <t xml:space="preserve">  1992-93</t>
  </si>
  <si>
    <t>Table 8</t>
  </si>
  <si>
    <t>Table 16</t>
  </si>
  <si>
    <t>Table 2</t>
  </si>
  <si>
    <t>Table 3</t>
  </si>
  <si>
    <t>Table 4</t>
  </si>
  <si>
    <t>Year</t>
  </si>
  <si>
    <t>One</t>
  </si>
  <si>
    <t>Ten</t>
  </si>
  <si>
    <t xml:space="preserve">Expenditures for Special Education Nonpublic Placements* </t>
  </si>
  <si>
    <t>Table 12</t>
  </si>
  <si>
    <t>Table 11</t>
  </si>
  <si>
    <t>Table 10</t>
  </si>
  <si>
    <t>Table 9</t>
  </si>
  <si>
    <t>Table 7</t>
  </si>
  <si>
    <t>Table 6</t>
  </si>
  <si>
    <t>Table 5</t>
  </si>
  <si>
    <t>Table 1</t>
  </si>
  <si>
    <t>Table 13</t>
  </si>
  <si>
    <t>Table 14</t>
  </si>
  <si>
    <t>Table 15</t>
  </si>
  <si>
    <t>Table 17</t>
  </si>
  <si>
    <t>Table 18</t>
  </si>
  <si>
    <t xml:space="preserve">NOTE:  Beginning July 1, 1997, Instructional expenditures were redefined to exclude expenditures for the Office of the Principal and to include expenditures for </t>
  </si>
  <si>
    <t xml:space="preserve">            instructional staff development.</t>
  </si>
  <si>
    <t>Note:  1997-98 amounts corrected from prior year presentation to exclude equipment costs.</t>
  </si>
  <si>
    <t>1999-2000</t>
  </si>
  <si>
    <t>2000-2001</t>
  </si>
  <si>
    <t>Retirement</t>
  </si>
  <si>
    <t>Less State</t>
  </si>
  <si>
    <t xml:space="preserve">Instruction </t>
  </si>
  <si>
    <t>Adult Ed</t>
  </si>
  <si>
    <t>Equipment</t>
  </si>
  <si>
    <t>Instuction</t>
  </si>
  <si>
    <t>Total</t>
  </si>
  <si>
    <t>Prek -12</t>
  </si>
  <si>
    <t xml:space="preserve">Special Ed </t>
  </si>
  <si>
    <t>Other Transfer</t>
  </si>
  <si>
    <t>Part 4</t>
  </si>
  <si>
    <t>Part 2</t>
  </si>
  <si>
    <t>**</t>
  </si>
  <si>
    <t xml:space="preserve">Part 1 </t>
  </si>
  <si>
    <t>Column 1</t>
  </si>
  <si>
    <t>Part 1</t>
  </si>
  <si>
    <t>Col. 3</t>
  </si>
  <si>
    <t>Instructional</t>
  </si>
  <si>
    <t>Salaries</t>
  </si>
  <si>
    <t>and Wages</t>
  </si>
  <si>
    <t>Textbooks and</t>
  </si>
  <si>
    <t>Supplies</t>
  </si>
  <si>
    <t>Other</t>
  </si>
  <si>
    <t>Costs</t>
  </si>
  <si>
    <t>Special</t>
  </si>
  <si>
    <t>Education</t>
  </si>
  <si>
    <t>Including State</t>
  </si>
  <si>
    <t>Share of Teachers'</t>
  </si>
  <si>
    <t>Cost</t>
  </si>
  <si>
    <t>Rank</t>
  </si>
  <si>
    <t>Library</t>
  </si>
  <si>
    <t>Media and</t>
  </si>
  <si>
    <t xml:space="preserve"> Books</t>
  </si>
  <si>
    <t>Books</t>
  </si>
  <si>
    <t>Textbooks</t>
  </si>
  <si>
    <t>Instruction</t>
  </si>
  <si>
    <t>Special Ed</t>
  </si>
  <si>
    <t xml:space="preserve">Textbooks </t>
  </si>
  <si>
    <t>and Supplies</t>
  </si>
  <si>
    <t>Supplies and</t>
  </si>
  <si>
    <t xml:space="preserve">  Materials</t>
  </si>
  <si>
    <t>Adult Ed.</t>
  </si>
  <si>
    <t>Materials</t>
  </si>
  <si>
    <t>Special Ed.</t>
  </si>
  <si>
    <t>Less Adult Ed.</t>
  </si>
  <si>
    <t>PlusSpecial Ed.</t>
  </si>
  <si>
    <t xml:space="preserve"> Salaries and Wages</t>
  </si>
  <si>
    <t>Adult Educ.</t>
  </si>
  <si>
    <t>Special Education</t>
  </si>
  <si>
    <t>From Part 2 Tables 4,4A,and 5</t>
  </si>
  <si>
    <t>Adjusted Total</t>
  </si>
  <si>
    <t>for Part 4 Table 11</t>
  </si>
  <si>
    <t>Part 2 Table 5</t>
  </si>
  <si>
    <t>Column N</t>
  </si>
  <si>
    <t>Other Transfers</t>
  </si>
  <si>
    <t>2001-2002</t>
  </si>
  <si>
    <t>Table 19</t>
  </si>
  <si>
    <t>Special Educ.</t>
  </si>
  <si>
    <t xml:space="preserve">Part 4 </t>
  </si>
  <si>
    <t>ADM</t>
  </si>
  <si>
    <t>FY 2002</t>
  </si>
  <si>
    <t>SFD Part 3</t>
  </si>
  <si>
    <t>2002-2003</t>
  </si>
  <si>
    <t>Total Pt2 Table 1 CE</t>
  </si>
  <si>
    <t>SFD Pt2 Tbl 4</t>
  </si>
  <si>
    <t>Col B</t>
  </si>
  <si>
    <t>Col R</t>
  </si>
  <si>
    <t>SFD Pt2 Tbl 4A</t>
  </si>
  <si>
    <t>Col D</t>
  </si>
  <si>
    <t>Col L</t>
  </si>
  <si>
    <t>Total Per Thousand</t>
  </si>
  <si>
    <t>FY 2003</t>
  </si>
  <si>
    <t xml:space="preserve">     1993-1994</t>
  </si>
  <si>
    <t xml:space="preserve">     1994-1995</t>
  </si>
  <si>
    <t xml:space="preserve">     1995-1996</t>
  </si>
  <si>
    <t xml:space="preserve">     1996-1997</t>
  </si>
  <si>
    <t xml:space="preserve">     1997-1998</t>
  </si>
  <si>
    <t>1998-1999</t>
  </si>
  <si>
    <t>2003-2004</t>
  </si>
  <si>
    <t>FY 2004 Part 3- Table 2 Col. 1</t>
  </si>
  <si>
    <t>In Thousands</t>
  </si>
  <si>
    <t>Expenditures for Current Expenses, Food Service, School Construction and Debt Service in Thousands of Dollars</t>
  </si>
  <si>
    <t>FY 2003- 2004</t>
  </si>
  <si>
    <t>Selected Financial Data FY 2004</t>
  </si>
  <si>
    <t>in Thousands</t>
  </si>
  <si>
    <t>FY2004</t>
  </si>
  <si>
    <t>SFD 2004 Part 3 : Table 3  Cost Per Pupil Belonging</t>
  </si>
  <si>
    <t>FY 2004</t>
  </si>
  <si>
    <t>2004-2005</t>
  </si>
  <si>
    <t>FY 2004- 2005</t>
  </si>
  <si>
    <t>Selected Financial Data FY 2005</t>
  </si>
  <si>
    <t>Part 2 Special Ed</t>
  </si>
  <si>
    <t>Nonpublic &amp; Other Transfer</t>
  </si>
  <si>
    <t>Nonpublic</t>
  </si>
  <si>
    <t>Schools</t>
  </si>
  <si>
    <t>SFD Part 2 FY 2004</t>
  </si>
  <si>
    <t>SFD Part 2 FY 2005</t>
  </si>
  <si>
    <t>SFD Part 2  FY 2004</t>
  </si>
  <si>
    <t>SFD Part 2  FY 2005</t>
  </si>
  <si>
    <t>FY 2005 Part 3- Table 2 Col. 1</t>
  </si>
  <si>
    <t>SFD 2005 Part 3 : Table 3  Cost Per Pupil Belonging</t>
  </si>
  <si>
    <t>FY 2005</t>
  </si>
  <si>
    <t>2005-2006</t>
  </si>
  <si>
    <t>in Thousand</t>
  </si>
  <si>
    <t>In thousand</t>
  </si>
  <si>
    <t xml:space="preserve">FY 2006 </t>
  </si>
  <si>
    <t>Net Amount</t>
  </si>
  <si>
    <t>In Net Thousands</t>
  </si>
  <si>
    <t>FY 2005- 2006</t>
  </si>
  <si>
    <t>Col O</t>
  </si>
  <si>
    <t>Selected Financial Data FY 2006</t>
  </si>
  <si>
    <t>SFD Part 2 FY 2006</t>
  </si>
  <si>
    <t>FY2005</t>
  </si>
  <si>
    <t>FY2006</t>
  </si>
  <si>
    <t>FY 2006 Part 3- Table 2 Col. 1</t>
  </si>
  <si>
    <t>SFD 2006 Part 3 : Table 3  Cost Per Pupil Belonging</t>
  </si>
  <si>
    <t>FY 2006</t>
  </si>
  <si>
    <t>Expenditures for Elementary/Secondary Library Books*</t>
  </si>
  <si>
    <t xml:space="preserve">Revenue from All Sources for Current Expenses in Thousands of Dollars </t>
  </si>
  <si>
    <t>Revenue from All Sources for Current Expenses, School Construction and Debt Service in Thousands of Dollars</t>
  </si>
  <si>
    <t>Revenue from the State for Current Expenses in Thousands of Dollars</t>
  </si>
  <si>
    <t>Revenue from the Federal Government for Current Expenses in Thousands of Dollars</t>
  </si>
  <si>
    <t>Source: Selected Financial Data Part 2, Table 1.</t>
  </si>
  <si>
    <t>Expenditures for Prekindergarten to Grade 12 Instruction* in Thousands of Dollars</t>
  </si>
  <si>
    <t>Col U</t>
  </si>
  <si>
    <t>* Outgoing transfers and equipment are not included.</t>
  </si>
  <si>
    <t>* Included Transfers to institutions and other out-of-state placements</t>
  </si>
  <si>
    <t>** Percent change cannot be calculated.</t>
  </si>
  <si>
    <t xml:space="preserve">   charges. Excludes adult education, food services, community services, equipment, school construction and debt.</t>
  </si>
  <si>
    <t>NOTE:  Beginning July 1, 1997, Instructional expenditures were redefined to exclude expenditures for the Office of the Principal and to include expenditures for instructional staff development.</t>
  </si>
  <si>
    <t>Assessed Valuation Taxable at Full Rate for Local Purposes in Millions of Dollars</t>
  </si>
  <si>
    <t>Source: Selected Financial Data -  Part 1, Table 11 Column 1.</t>
  </si>
  <si>
    <t>Assessed Property Valuation per Pupil in Prekindergarten to Grade 12*</t>
  </si>
  <si>
    <t>Source: Selected Financial Data -  Part 1, Table 11 Column 3.</t>
  </si>
  <si>
    <t>Full-Time Equivalent Average Daily Membership*</t>
  </si>
  <si>
    <t>Col C</t>
  </si>
  <si>
    <t>SFD Part 2  FY 2006</t>
  </si>
  <si>
    <t>2006-2007</t>
  </si>
  <si>
    <t xml:space="preserve">FY 2007 </t>
  </si>
  <si>
    <t>FY 2007</t>
  </si>
  <si>
    <t>Selected Financial Data FY 2007</t>
  </si>
  <si>
    <t xml:space="preserve">FY 2007 Part 2 Special ED  </t>
  </si>
  <si>
    <t>Col. P</t>
  </si>
  <si>
    <t>Col. Q</t>
  </si>
  <si>
    <t>SFD Part 2 FY 2007</t>
  </si>
  <si>
    <t>SFD Part 2  FY 2007</t>
  </si>
  <si>
    <t>FY 2007 Part 3- Table 2 Col. 1</t>
  </si>
  <si>
    <t>Revised 11-10-2008</t>
  </si>
  <si>
    <t>SFD 2007 Part 3 : Table 3  Cost Per Pupil Belonging</t>
  </si>
  <si>
    <t>Difference</t>
  </si>
  <si>
    <t>2007-2008</t>
  </si>
  <si>
    <t>Revised 10/9/2009</t>
  </si>
  <si>
    <t>FY 2006- 2007</t>
  </si>
  <si>
    <t>FY 2007- 2008</t>
  </si>
  <si>
    <t xml:space="preserve">FY 2008 Part 2 Special ED  </t>
  </si>
  <si>
    <t>Selected Financial Data FY 2008</t>
  </si>
  <si>
    <t>SFD Part 2 FY 2008</t>
  </si>
  <si>
    <t>FY2008</t>
  </si>
  <si>
    <t>SFD Part 2  FY 2008</t>
  </si>
  <si>
    <t>Ranking</t>
  </si>
  <si>
    <t>SFD 2008 Part 3 : Table 3  Cost Per Pupil Belonging</t>
  </si>
  <si>
    <t>FY 2008</t>
  </si>
  <si>
    <t>FY 2008 Part 3- Table 2 Col. 1</t>
  </si>
  <si>
    <t>2008-2009</t>
  </si>
  <si>
    <t xml:space="preserve">Revised 9-14-2010 to update School Construction Data in Baltimore County </t>
  </si>
  <si>
    <t>FY 2008- 2009</t>
  </si>
  <si>
    <t>Selected Financial Data FY 2009</t>
  </si>
  <si>
    <t>From Part 2 Tables 4,4A,and 5 FY 2008</t>
  </si>
  <si>
    <t>From Part 2 Tables 4,4A,and 5 FY 2009</t>
  </si>
  <si>
    <t>FY 2009</t>
  </si>
  <si>
    <t>SFD Part 2 FY 2009</t>
  </si>
  <si>
    <t>FY2009</t>
  </si>
  <si>
    <t>SFD Part 2  FY 2009</t>
  </si>
  <si>
    <t>FY 2009 Part 3- Table 2 Col. 1</t>
  </si>
  <si>
    <t>Cost per Pupil Belonging for Prekindergarten to Grade 12: Instruction*</t>
  </si>
  <si>
    <t>Cost per Pupil Belonging for Prekindergarten to Grade 12:  Current Expenses*</t>
  </si>
  <si>
    <t>SFD 2009 Part 3 : Table 3  Cost Per Pupil Belonging</t>
  </si>
  <si>
    <t>2009-2010</t>
  </si>
  <si>
    <t>FY 2010</t>
  </si>
  <si>
    <t>FY 2009- 2010</t>
  </si>
  <si>
    <t>Selected Financial Data FY 2010</t>
  </si>
  <si>
    <t>From Part 2 Tables 4,4A,and 5 FY 2010</t>
  </si>
  <si>
    <t>SFD Part 2 FY 2010</t>
  </si>
  <si>
    <t>FY2010</t>
  </si>
  <si>
    <t>SFD Part 2  FY 2010</t>
  </si>
  <si>
    <t>SFD 2010 Part 3 : Table 3  Cost Per Pupil Belonging</t>
  </si>
  <si>
    <t>FY 2010Part 3- Table 2 Col. 1</t>
  </si>
  <si>
    <t>* Excluded expenditures for adult education and equipment.</t>
  </si>
  <si>
    <t>* Included salaries for regular and special education teachers, aides, principals, guidance counselors, school psychologists, and others providing instructional services. Excludes Adult Education.</t>
  </si>
  <si>
    <t>* Included regular and special education for prekindergarten to grade 12. Excludes expenditures for Adult Education and instructional equipment.</t>
  </si>
  <si>
    <t xml:space="preserve">* Included expenditures for administration, instruction, student personnel services, health services, transportation services, operation and maintenance of plant, and fixed </t>
  </si>
  <si>
    <t>* Included local special education costs.</t>
  </si>
  <si>
    <t>NOTE:  Included State-Paid Teachers' Retirement.</t>
  </si>
  <si>
    <t>NOTE:  Excluded value of U.S.D.A. commodities.</t>
  </si>
  <si>
    <t>Total Table 1</t>
  </si>
  <si>
    <t>USDA Commodity</t>
  </si>
  <si>
    <t>Adjusted Amount</t>
  </si>
  <si>
    <t>2010-2011</t>
  </si>
  <si>
    <t>Revenue and</t>
  </si>
  <si>
    <t>Nonrevenue</t>
  </si>
  <si>
    <t>Revenue</t>
  </si>
  <si>
    <t>Local</t>
  </si>
  <si>
    <t>Appropriation**</t>
  </si>
  <si>
    <t>Full Amount</t>
  </si>
  <si>
    <t>SFD Part 2 Table 1</t>
  </si>
  <si>
    <t>FY 2010- 2011</t>
  </si>
  <si>
    <t>Selected Financial Data FY 2011</t>
  </si>
  <si>
    <t>From Part 2 Tables 4,4A,and 5 FY 2011</t>
  </si>
  <si>
    <t>FY 2011</t>
  </si>
  <si>
    <t>SFD Part 2 FY 2011</t>
  </si>
  <si>
    <t>FY2011</t>
  </si>
  <si>
    <t>SFD Part 2  FY 2011</t>
  </si>
  <si>
    <t>FY 2011Part 3- Table 2 Col. 1</t>
  </si>
  <si>
    <t>SFD 2011 Part 3 : Table 3  Cost Per Pupil Belonging</t>
  </si>
  <si>
    <t>20010-2011</t>
  </si>
  <si>
    <t xml:space="preserve">*Half-day Prekindergarten pupils have been equated to full-time equivalent counts. </t>
  </si>
  <si>
    <t>* Half-time Prekindergarten pupils are expressed in full-time equivalents in arriving at per pupil costs.</t>
  </si>
  <si>
    <t>* Included regular and special education from prekindergarten to grade 12.</t>
  </si>
  <si>
    <t>* Included regular and special education from prekindergarten to grade 12</t>
  </si>
  <si>
    <t>*Included all local expenditures except tuition payments by one Maryland LEA to another, but excluded State-Paid Teachers' Retirement.</t>
  </si>
  <si>
    <t>State Revenue</t>
  </si>
  <si>
    <t>SFD Part 1</t>
  </si>
  <si>
    <t xml:space="preserve">Table 2 </t>
  </si>
  <si>
    <t>Amount</t>
  </si>
  <si>
    <t>2011-2012</t>
  </si>
  <si>
    <t>In thousands</t>
  </si>
  <si>
    <t>FY 2001- 2002</t>
  </si>
  <si>
    <t>Col T</t>
  </si>
  <si>
    <t>Col I</t>
  </si>
  <si>
    <t>Selected Financial Data FY 2002</t>
  </si>
  <si>
    <t>From Part 2 Tables 4,4A,and 5    FY 2002</t>
  </si>
  <si>
    <t>From Part 2 Tables 4,4A,and 5  FY 2004</t>
  </si>
  <si>
    <t>SFD Part 2 FY 2002</t>
  </si>
  <si>
    <t>FY2002</t>
  </si>
  <si>
    <t>SFD Part 2  FY 2002</t>
  </si>
  <si>
    <t>FY 2002 Part 3- Table 2 Col. 1</t>
  </si>
  <si>
    <t>SFD 2002 Part 3 : Table 3  Cost Per Pupil Belonging</t>
  </si>
  <si>
    <t>Selected Financial Data FY 2012</t>
  </si>
  <si>
    <t>FY 2011- 2012</t>
  </si>
  <si>
    <t>FY 2012</t>
  </si>
  <si>
    <t>SFD Part 2 FY 2012</t>
  </si>
  <si>
    <t>FY2012</t>
  </si>
  <si>
    <t>**Unable to calculate</t>
  </si>
  <si>
    <t>SFD Part 2  FY 2012</t>
  </si>
  <si>
    <t>FY 2012Part 3- Table 2 Col. 1</t>
  </si>
  <si>
    <t>SFD 2012 Part 3 : Table 3  Cost Per Pupil Belonging</t>
  </si>
  <si>
    <t>FY 2002- 2003</t>
  </si>
  <si>
    <t>Selected Financial Data FY 2003</t>
  </si>
  <si>
    <t>From Part 2 Tables 4,4A,and 5 FY 2012</t>
  </si>
  <si>
    <t>From Part 2 Tables 4,4A,and 5  FY 2003</t>
  </si>
  <si>
    <t>SFD Part 2 FY 2003</t>
  </si>
  <si>
    <t>SFD Part 2  FY 2003</t>
  </si>
  <si>
    <t>FY 2003 Part 3- Table 2 Col. 1</t>
  </si>
  <si>
    <t>SFD 2003 Part 3 : Table 3  Cost Per Pupil Belonging</t>
  </si>
  <si>
    <t>2012-2013</t>
  </si>
  <si>
    <t>FY 2012- 2013</t>
  </si>
  <si>
    <t>FY 2013</t>
  </si>
  <si>
    <t>SFD Part 2 FY 2013</t>
  </si>
  <si>
    <t>SFD Part 2  FY 2013</t>
  </si>
  <si>
    <t>FY 2013 Part 3- Table 2 Col. 1</t>
  </si>
  <si>
    <t>SFD 2013 Part 3 : Table 3  Cost Per Pupil Belonging</t>
  </si>
  <si>
    <t>Maryland Public Schools:  2003-2004 to 2012-2013</t>
  </si>
  <si>
    <t>Selected Financial Data FY 2013</t>
  </si>
</sst>
</file>

<file path=xl/styles.xml><?xml version="1.0" encoding="utf-8"?>
<styleSheet xmlns="http://schemas.openxmlformats.org/spreadsheetml/2006/main">
  <numFmts count="1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.00\ ;\(&quot;$&quot;#,##0.00\)"/>
    <numFmt numFmtId="166" formatCode="0.0"/>
    <numFmt numFmtId="167" formatCode="#,##0.0"/>
    <numFmt numFmtId="168" formatCode="0.0%"/>
    <numFmt numFmtId="169" formatCode="&quot;$&quot;#,##0"/>
    <numFmt numFmtId="170" formatCode="_(&quot;$&quot;* #,##0_);_(&quot;$&quot;* \(#,##0\);_(&quot;$&quot;* &quot;-&quot;??_);_(@_)"/>
    <numFmt numFmtId="171" formatCode="_(* #,##0_);_(* \(#,##0\);_(* &quot;-&quot;??_);_(@_)"/>
    <numFmt numFmtId="172" formatCode="&quot;$&quot;#,##0.00"/>
    <numFmt numFmtId="173" formatCode="_(* #,##0.0_);_(* \(#,##0.0\);_(* &quot;-&quot;????_);_(@_)"/>
    <numFmt numFmtId="174" formatCode="_(* #,##0.0_);_(* \(#,##0.0\);_(* &quot;-&quot;??_);_(@_)"/>
    <numFmt numFmtId="175" formatCode="#,##0.0_);\(#,##0.0\)"/>
    <numFmt numFmtId="176" formatCode="_(* #,##0.0_);_(* \(#,##0.0\);_(* &quot;-&quot;?_);_(@_)"/>
  </numFmts>
  <fonts count="27">
    <font>
      <sz val="12"/>
      <name val="Times New Roman"/>
    </font>
    <font>
      <sz val="1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sz val="10"/>
      <color theme="3"/>
      <name val="MS Sans Serif"/>
      <family val="2"/>
    </font>
    <font>
      <sz val="10"/>
      <color rgb="FFC00000"/>
      <name val="Arial"/>
      <family val="2"/>
    </font>
    <font>
      <sz val="10"/>
      <color rgb="FFC00000"/>
      <name val="MS Sans Serif"/>
      <family val="2"/>
    </font>
    <font>
      <sz val="10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3" fontId="0" fillId="0" borderId="0"/>
    <xf numFmtId="4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10" fontId="16" fillId="0" borderId="0" applyFont="0" applyFill="0" applyBorder="0" applyAlignment="0" applyProtection="0"/>
    <xf numFmtId="0" fontId="16" fillId="0" borderId="1" applyNumberFormat="0" applyFont="0" applyFill="0" applyAlignment="0" applyProtection="0"/>
  </cellStyleXfs>
  <cellXfs count="436">
    <xf numFmtId="3" fontId="0" fillId="0" borderId="0" xfId="0"/>
    <xf numFmtId="3" fontId="3" fillId="0" borderId="0" xfId="0" applyFont="1"/>
    <xf numFmtId="3" fontId="3" fillId="0" borderId="0" xfId="0" applyFont="1" applyAlignment="1">
      <alignment horizontal="centerContinuous"/>
    </xf>
    <xf numFmtId="3" fontId="4" fillId="0" borderId="0" xfId="0" applyFont="1"/>
    <xf numFmtId="3" fontId="3" fillId="0" borderId="0" xfId="0" applyFont="1" applyAlignment="1">
      <alignment shrinkToFit="1"/>
    </xf>
    <xf numFmtId="3" fontId="3" fillId="0" borderId="1" xfId="0" applyFont="1" applyBorder="1"/>
    <xf numFmtId="3" fontId="3" fillId="0" borderId="2" xfId="0" applyFont="1" applyBorder="1" applyAlignment="1">
      <alignment horizontal="centerContinuous"/>
    </xf>
    <xf numFmtId="3" fontId="3" fillId="0" borderId="0" xfId="0" applyFont="1" applyBorder="1"/>
    <xf numFmtId="3" fontId="3" fillId="0" borderId="3" xfId="0" applyFont="1" applyBorder="1"/>
    <xf numFmtId="3" fontId="3" fillId="0" borderId="3" xfId="0" applyFont="1" applyBorder="1" applyAlignment="1">
      <alignment horizontal="center"/>
    </xf>
    <xf numFmtId="3" fontId="3" fillId="0" borderId="0" xfId="0" applyFont="1" applyAlignment="1">
      <alignment horizontal="center"/>
    </xf>
    <xf numFmtId="164" fontId="3" fillId="0" borderId="0" xfId="0" applyNumberFormat="1" applyFont="1" applyBorder="1"/>
    <xf numFmtId="164" fontId="3" fillId="0" borderId="0" xfId="0" applyNumberFormat="1" applyFont="1"/>
    <xf numFmtId="164" fontId="3" fillId="0" borderId="4" xfId="0" applyNumberFormat="1" applyFont="1" applyBorder="1"/>
    <xf numFmtId="3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3" fontId="3" fillId="0" borderId="2" xfId="0" applyFont="1" applyBorder="1"/>
    <xf numFmtId="3" fontId="3" fillId="0" borderId="5" xfId="0" applyFont="1" applyBorder="1"/>
    <xf numFmtId="3" fontId="3" fillId="0" borderId="5" xfId="0" applyNumberFormat="1" applyFont="1" applyBorder="1"/>
    <xf numFmtId="3" fontId="4" fillId="0" borderId="0" xfId="0" applyFont="1" applyAlignment="1">
      <alignment horizontal="center"/>
    </xf>
    <xf numFmtId="3" fontId="4" fillId="0" borderId="0" xfId="0" applyNumberFormat="1" applyFont="1"/>
    <xf numFmtId="3" fontId="3" fillId="0" borderId="6" xfId="0" applyFont="1" applyBorder="1"/>
    <xf numFmtId="169" fontId="3" fillId="0" borderId="0" xfId="0" applyNumberFormat="1" applyFont="1" applyBorder="1"/>
    <xf numFmtId="3" fontId="3" fillId="0" borderId="2" xfId="0" applyNumberFormat="1" applyFont="1" applyBorder="1"/>
    <xf numFmtId="166" fontId="3" fillId="0" borderId="5" xfId="0" applyNumberFormat="1" applyFont="1" applyBorder="1"/>
    <xf numFmtId="3" fontId="3" fillId="0" borderId="0" xfId="0" applyFont="1" applyBorder="1" applyAlignment="1">
      <alignment horizontal="center"/>
    </xf>
    <xf numFmtId="3" fontId="3" fillId="0" borderId="0" xfId="3" applyFont="1"/>
    <xf numFmtId="3" fontId="4" fillId="0" borderId="0" xfId="0" applyFont="1" applyAlignment="1">
      <alignment horizontal="centerContinuous"/>
    </xf>
    <xf numFmtId="3" fontId="5" fillId="0" borderId="0" xfId="0" applyFont="1" applyAlignment="1">
      <alignment horizontal="center"/>
    </xf>
    <xf numFmtId="3" fontId="5" fillId="0" borderId="0" xfId="0" applyFont="1"/>
    <xf numFmtId="3" fontId="5" fillId="0" borderId="0" xfId="0" applyFont="1" applyAlignment="1">
      <alignment horizontal="centerContinuous"/>
    </xf>
    <xf numFmtId="3" fontId="5" fillId="0" borderId="1" xfId="0" applyFont="1" applyBorder="1"/>
    <xf numFmtId="3" fontId="5" fillId="0" borderId="0" xfId="0" applyFont="1" applyBorder="1"/>
    <xf numFmtId="3" fontId="5" fillId="0" borderId="3" xfId="0" applyFont="1" applyBorder="1"/>
    <xf numFmtId="164" fontId="5" fillId="0" borderId="0" xfId="0" applyNumberFormat="1" applyFont="1" applyBorder="1"/>
    <xf numFmtId="3" fontId="5" fillId="0" borderId="0" xfId="0" applyNumberFormat="1" applyFont="1"/>
    <xf numFmtId="3" fontId="5" fillId="0" borderId="5" xfId="0" applyFont="1" applyBorder="1"/>
    <xf numFmtId="3" fontId="5" fillId="0" borderId="2" xfId="0" applyFont="1" applyBorder="1" applyAlignment="1">
      <alignment horizontal="centerContinuous"/>
    </xf>
    <xf numFmtId="3" fontId="5" fillId="0" borderId="0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171" fontId="5" fillId="0" borderId="0" xfId="1" applyNumberFormat="1" applyFont="1" applyBorder="1"/>
    <xf numFmtId="3" fontId="5" fillId="0" borderId="2" xfId="0" applyFont="1" applyBorder="1"/>
    <xf numFmtId="3" fontId="5" fillId="0" borderId="5" xfId="0" applyNumberFormat="1" applyFont="1" applyBorder="1"/>
    <xf numFmtId="3" fontId="5" fillId="0" borderId="3" xfId="0" applyFont="1" applyBorder="1" applyAlignment="1"/>
    <xf numFmtId="165" fontId="3" fillId="0" borderId="0" xfId="4" applyFont="1" applyBorder="1"/>
    <xf numFmtId="165" fontId="3" fillId="0" borderId="0" xfId="0" applyNumberFormat="1" applyFont="1" applyBorder="1"/>
    <xf numFmtId="165" fontId="3" fillId="0" borderId="4" xfId="4" applyFont="1" applyBorder="1"/>
    <xf numFmtId="4" fontId="3" fillId="0" borderId="0" xfId="0" applyNumberFormat="1" applyFont="1"/>
    <xf numFmtId="4" fontId="3" fillId="0" borderId="0" xfId="4" applyNumberFormat="1" applyFont="1"/>
    <xf numFmtId="165" fontId="5" fillId="0" borderId="0" xfId="4" applyFont="1" applyBorder="1"/>
    <xf numFmtId="165" fontId="5" fillId="0" borderId="0" xfId="4" applyFont="1" applyBorder="1" applyAlignment="1">
      <alignment horizontal="center"/>
    </xf>
    <xf numFmtId="165" fontId="5" fillId="0" borderId="0" xfId="0" applyNumberFormat="1" applyFont="1" applyBorder="1"/>
    <xf numFmtId="165" fontId="5" fillId="0" borderId="0" xfId="4" applyFont="1"/>
    <xf numFmtId="165" fontId="5" fillId="0" borderId="4" xfId="4" applyFont="1" applyBorder="1"/>
    <xf numFmtId="4" fontId="5" fillId="0" borderId="0" xfId="0" applyNumberFormat="1" applyFont="1"/>
    <xf numFmtId="4" fontId="5" fillId="0" borderId="0" xfId="4" applyNumberFormat="1" applyFont="1"/>
    <xf numFmtId="4" fontId="5" fillId="0" borderId="0" xfId="1" applyFont="1"/>
    <xf numFmtId="4" fontId="5" fillId="0" borderId="2" xfId="1" applyFont="1" applyBorder="1"/>
    <xf numFmtId="3" fontId="3" fillId="0" borderId="0" xfId="1" applyNumberFormat="1" applyFont="1"/>
    <xf numFmtId="3" fontId="3" fillId="0" borderId="1" xfId="1" applyNumberFormat="1" applyFont="1" applyBorder="1"/>
    <xf numFmtId="3" fontId="5" fillId="0" borderId="0" xfId="1" applyNumberFormat="1" applyFont="1"/>
    <xf numFmtId="3" fontId="5" fillId="0" borderId="0" xfId="1" applyNumberFormat="1" applyFont="1" applyBorder="1"/>
    <xf numFmtId="3" fontId="3" fillId="0" borderId="0" xfId="1" applyNumberFormat="1" applyFont="1" applyBorder="1"/>
    <xf numFmtId="3" fontId="3" fillId="0" borderId="5" xfId="1" applyNumberFormat="1" applyFont="1" applyBorder="1"/>
    <xf numFmtId="164" fontId="3" fillId="0" borderId="0" xfId="4" applyNumberFormat="1" applyFont="1" applyBorder="1"/>
    <xf numFmtId="3" fontId="3" fillId="0" borderId="7" xfId="0" applyFont="1" applyBorder="1" applyAlignment="1">
      <alignment horizontal="center"/>
    </xf>
    <xf numFmtId="164" fontId="3" fillId="0" borderId="5" xfId="0" applyNumberFormat="1" applyFont="1" applyBorder="1"/>
    <xf numFmtId="3" fontId="3" fillId="0" borderId="0" xfId="0" applyFont="1" applyAlignment="1">
      <alignment horizontal="left"/>
    </xf>
    <xf numFmtId="171" fontId="5" fillId="0" borderId="0" xfId="1" applyNumberFormat="1" applyFont="1" applyBorder="1" applyAlignment="1">
      <alignment horizontal="center"/>
    </xf>
    <xf numFmtId="3" fontId="5" fillId="0" borderId="0" xfId="0" applyNumberFormat="1" applyFont="1" applyBorder="1"/>
    <xf numFmtId="3" fontId="5" fillId="0" borderId="2" xfId="0" applyNumberFormat="1" applyFont="1" applyBorder="1"/>
    <xf numFmtId="171" fontId="0" fillId="0" borderId="0" xfId="1" applyNumberFormat="1" applyFont="1" applyBorder="1" applyAlignment="1">
      <alignment horizontal="left"/>
    </xf>
    <xf numFmtId="171" fontId="0" fillId="0" borderId="2" xfId="1" applyNumberFormat="1" applyFont="1" applyBorder="1" applyAlignment="1">
      <alignment horizontal="left"/>
    </xf>
    <xf numFmtId="169" fontId="0" fillId="0" borderId="0" xfId="4" applyNumberFormat="1" applyFont="1" applyAlignment="1">
      <alignment horizontal="right"/>
    </xf>
    <xf numFmtId="3" fontId="0" fillId="0" borderId="0" xfId="0" applyBorder="1"/>
    <xf numFmtId="41" fontId="0" fillId="0" borderId="0" xfId="0" applyNumberFormat="1" applyBorder="1"/>
    <xf numFmtId="41" fontId="0" fillId="0" borderId="2" xfId="0" applyNumberFormat="1" applyBorder="1"/>
    <xf numFmtId="41" fontId="5" fillId="0" borderId="0" xfId="0" applyNumberFormat="1" applyFont="1" applyBorder="1"/>
    <xf numFmtId="41" fontId="5" fillId="0" borderId="2" xfId="0" applyNumberFormat="1" applyFont="1" applyBorder="1"/>
    <xf numFmtId="171" fontId="5" fillId="0" borderId="0" xfId="0" applyNumberFormat="1" applyFont="1"/>
    <xf numFmtId="4" fontId="5" fillId="0" borderId="0" xfId="1" applyFont="1" applyBorder="1"/>
    <xf numFmtId="172" fontId="5" fillId="0" borderId="0" xfId="1" applyNumberFormat="1" applyFont="1" applyBorder="1"/>
    <xf numFmtId="171" fontId="5" fillId="0" borderId="0" xfId="1" applyNumberFormat="1" applyFont="1"/>
    <xf numFmtId="169" fontId="3" fillId="0" borderId="0" xfId="0" applyNumberFormat="1" applyFont="1"/>
    <xf numFmtId="3" fontId="0" fillId="0" borderId="0" xfId="0" applyAlignment="1"/>
    <xf numFmtId="3" fontId="0" fillId="0" borderId="0" xfId="0" applyAlignment="1">
      <alignment horizontal="center"/>
    </xf>
    <xf numFmtId="172" fontId="3" fillId="0" borderId="0" xfId="0" applyNumberFormat="1" applyFont="1"/>
    <xf numFmtId="4" fontId="3" fillId="0" borderId="2" xfId="0" applyNumberFormat="1" applyFont="1" applyBorder="1"/>
    <xf numFmtId="10" fontId="3" fillId="0" borderId="0" xfId="12" applyFont="1"/>
    <xf numFmtId="43" fontId="5" fillId="0" borderId="0" xfId="0" applyNumberFormat="1" applyFont="1"/>
    <xf numFmtId="43" fontId="5" fillId="0" borderId="2" xfId="0" applyNumberFormat="1" applyFont="1" applyBorder="1"/>
    <xf numFmtId="171" fontId="5" fillId="0" borderId="0" xfId="1" applyNumberFormat="1" applyFont="1" applyFill="1" applyBorder="1"/>
    <xf numFmtId="171" fontId="5" fillId="0" borderId="2" xfId="1" applyNumberFormat="1" applyFont="1" applyBorder="1"/>
    <xf numFmtId="3" fontId="3" fillId="0" borderId="0" xfId="0" applyFont="1" applyAlignment="1"/>
    <xf numFmtId="165" fontId="0" fillId="0" borderId="0" xfId="4" applyFont="1" applyBorder="1"/>
    <xf numFmtId="4" fontId="0" fillId="0" borderId="0" xfId="0" applyNumberFormat="1" applyBorder="1"/>
    <xf numFmtId="4" fontId="0" fillId="0" borderId="2" xfId="0" applyNumberFormat="1" applyBorder="1"/>
    <xf numFmtId="3" fontId="0" fillId="0" borderId="1" xfId="0" applyBorder="1" applyAlignment="1">
      <alignment horizontal="center"/>
    </xf>
    <xf numFmtId="3" fontId="0" fillId="0" borderId="0" xfId="0" applyBorder="1" applyAlignment="1">
      <alignment horizontal="center"/>
    </xf>
    <xf numFmtId="3" fontId="0" fillId="0" borderId="2" xfId="0" applyBorder="1" applyAlignment="1">
      <alignment horizontal="center"/>
    </xf>
    <xf numFmtId="2" fontId="4" fillId="0" borderId="0" xfId="0" applyNumberFormat="1" applyFont="1"/>
    <xf numFmtId="3" fontId="5" fillId="0" borderId="0" xfId="0" applyFont="1" applyBorder="1" applyAlignment="1">
      <alignment horizontal="right"/>
    </xf>
    <xf numFmtId="3" fontId="6" fillId="0" borderId="0" xfId="0" applyFont="1" applyAlignment="1">
      <alignment horizontal="center"/>
    </xf>
    <xf numFmtId="169" fontId="5" fillId="0" borderId="0" xfId="4" applyNumberFormat="1" applyFont="1" applyFill="1" applyBorder="1"/>
    <xf numFmtId="3" fontId="5" fillId="0" borderId="0" xfId="0" applyFont="1" applyFill="1" applyBorder="1"/>
    <xf numFmtId="170" fontId="5" fillId="0" borderId="0" xfId="4" applyNumberFormat="1" applyFont="1"/>
    <xf numFmtId="171" fontId="5" fillId="0" borderId="2" xfId="1" applyNumberFormat="1" applyFont="1" applyFill="1" applyBorder="1"/>
    <xf numFmtId="3" fontId="5" fillId="0" borderId="3" xfId="0" applyFont="1" applyBorder="1" applyAlignment="1">
      <alignment horizontal="left" indent="2"/>
    </xf>
    <xf numFmtId="3" fontId="7" fillId="0" borderId="0" xfId="0" applyFont="1"/>
    <xf numFmtId="3" fontId="7" fillId="0" borderId="0" xfId="0" applyFont="1" applyAlignment="1">
      <alignment horizontal="center"/>
    </xf>
    <xf numFmtId="3" fontId="3" fillId="0" borderId="0" xfId="0" applyFont="1" applyAlignment="1">
      <alignment horizontal="center" vertical="center"/>
    </xf>
    <xf numFmtId="3" fontId="5" fillId="0" borderId="0" xfId="1" applyNumberFormat="1" applyFont="1" applyAlignment="1">
      <alignment horizontal="center"/>
    </xf>
    <xf numFmtId="3" fontId="4" fillId="0" borderId="0" xfId="0" applyFont="1" applyBorder="1"/>
    <xf numFmtId="3" fontId="4" fillId="0" borderId="2" xfId="0" applyFont="1" applyBorder="1" applyAlignment="1">
      <alignment horizontal="center"/>
    </xf>
    <xf numFmtId="3" fontId="3" fillId="0" borderId="0" xfId="0" applyFont="1" applyAlignment="1">
      <alignment horizontal="centerContinuous" vertical="center"/>
    </xf>
    <xf numFmtId="3" fontId="5" fillId="0" borderId="0" xfId="0" applyFont="1" applyAlignment="1">
      <alignment horizontal="centerContinuous" vertical="center"/>
    </xf>
    <xf numFmtId="3" fontId="5" fillId="0" borderId="0" xfId="1" applyNumberFormat="1" applyFont="1" applyAlignment="1">
      <alignment horizontal="centerContinuous" vertical="center"/>
    </xf>
    <xf numFmtId="3" fontId="3" fillId="0" borderId="0" xfId="1" applyNumberFormat="1" applyFont="1" applyAlignment="1">
      <alignment horizontal="centerContinuous" vertical="center"/>
    </xf>
    <xf numFmtId="3" fontId="0" fillId="0" borderId="0" xfId="0" applyAlignment="1">
      <alignment horizontal="centerContinuous" vertical="center"/>
    </xf>
    <xf numFmtId="171" fontId="3" fillId="0" borderId="0" xfId="1" applyNumberFormat="1" applyFont="1"/>
    <xf numFmtId="3" fontId="3" fillId="0" borderId="0" xfId="0" applyFont="1" applyFill="1" applyBorder="1" applyAlignment="1">
      <alignment horizontal="center"/>
    </xf>
    <xf numFmtId="171" fontId="3" fillId="0" borderId="2" xfId="1" applyNumberFormat="1" applyFont="1" applyBorder="1"/>
    <xf numFmtId="10" fontId="5" fillId="0" borderId="0" xfId="12" applyNumberFormat="1" applyFont="1" applyBorder="1"/>
    <xf numFmtId="168" fontId="5" fillId="0" borderId="0" xfId="12" applyNumberFormat="1" applyFont="1" applyBorder="1"/>
    <xf numFmtId="3" fontId="4" fillId="0" borderId="3" xfId="0" applyFont="1" applyBorder="1" applyAlignment="1">
      <alignment horizontal="center"/>
    </xf>
    <xf numFmtId="3" fontId="4" fillId="0" borderId="0" xfId="0" applyFont="1" applyAlignment="1"/>
    <xf numFmtId="3" fontId="3" fillId="0" borderId="0" xfId="0" applyFont="1" applyAlignment="1">
      <alignment vertical="center"/>
    </xf>
    <xf numFmtId="171" fontId="3" fillId="0" borderId="0" xfId="1" applyNumberFormat="1" applyFont="1" applyFill="1" applyBorder="1"/>
    <xf numFmtId="171" fontId="3" fillId="0" borderId="2" xfId="1" applyNumberFormat="1" applyFont="1" applyFill="1" applyBorder="1"/>
    <xf numFmtId="164" fontId="9" fillId="0" borderId="0" xfId="0" applyNumberFormat="1" applyFont="1" applyBorder="1"/>
    <xf numFmtId="42" fontId="3" fillId="0" borderId="0" xfId="4" applyNumberFormat="1" applyFont="1" applyFill="1" applyBorder="1" applyAlignment="1">
      <alignment horizontal="center"/>
    </xf>
    <xf numFmtId="0" fontId="3" fillId="0" borderId="0" xfId="11" applyFont="1" applyAlignment="1">
      <alignment horizontal="centerContinuous" vertical="center"/>
    </xf>
    <xf numFmtId="0" fontId="3" fillId="0" borderId="0" xfId="11" applyFont="1"/>
    <xf numFmtId="0" fontId="3" fillId="0" borderId="0" xfId="11"/>
    <xf numFmtId="0" fontId="3" fillId="0" borderId="1" xfId="11" applyFont="1" applyBorder="1"/>
    <xf numFmtId="0" fontId="3" fillId="0" borderId="0" xfId="11" applyFont="1" applyBorder="1"/>
    <xf numFmtId="0" fontId="5" fillId="0" borderId="0" xfId="11" applyFont="1"/>
    <xf numFmtId="0" fontId="5" fillId="0" borderId="0" xfId="11" applyFont="1" applyBorder="1"/>
    <xf numFmtId="0" fontId="3" fillId="0" borderId="3" xfId="11" applyFont="1" applyBorder="1"/>
    <xf numFmtId="0" fontId="3" fillId="0" borderId="3" xfId="11" applyFont="1" applyBorder="1" applyAlignment="1">
      <alignment horizontal="center"/>
    </xf>
    <xf numFmtId="167" fontId="5" fillId="0" borderId="0" xfId="2" applyNumberFormat="1" applyFont="1"/>
    <xf numFmtId="3" fontId="5" fillId="0" borderId="0" xfId="11" applyNumberFormat="1" applyFont="1"/>
    <xf numFmtId="174" fontId="5" fillId="0" borderId="0" xfId="5" applyNumberFormat="1" applyFont="1"/>
    <xf numFmtId="174" fontId="5" fillId="0" borderId="0" xfId="2" applyNumberFormat="1" applyFont="1"/>
    <xf numFmtId="167" fontId="5" fillId="0" borderId="0" xfId="5" applyNumberFormat="1" applyFont="1"/>
    <xf numFmtId="167" fontId="5" fillId="0" borderId="0" xfId="11" applyNumberFormat="1" applyFont="1"/>
    <xf numFmtId="4" fontId="5" fillId="0" borderId="0" xfId="5" applyNumberFormat="1" applyFont="1"/>
    <xf numFmtId="174" fontId="5" fillId="0" borderId="0" xfId="11" applyNumberFormat="1" applyFont="1"/>
    <xf numFmtId="0" fontId="3" fillId="0" borderId="2" xfId="11" applyFont="1" applyBorder="1"/>
    <xf numFmtId="174" fontId="5" fillId="0" borderId="2" xfId="5" applyNumberFormat="1" applyFont="1" applyBorder="1"/>
    <xf numFmtId="174" fontId="5" fillId="0" borderId="2" xfId="2" applyNumberFormat="1" applyFont="1" applyBorder="1"/>
    <xf numFmtId="4" fontId="5" fillId="0" borderId="2" xfId="5" applyNumberFormat="1" applyFont="1" applyBorder="1"/>
    <xf numFmtId="167" fontId="5" fillId="0" borderId="2" xfId="11" applyNumberFormat="1" applyFont="1" applyBorder="1"/>
    <xf numFmtId="167" fontId="5" fillId="0" borderId="2" xfId="2" applyNumberFormat="1" applyFont="1" applyBorder="1"/>
    <xf numFmtId="170" fontId="5" fillId="0" borderId="0" xfId="4" applyNumberFormat="1" applyFont="1" applyFill="1" applyAlignment="1">
      <alignment horizontal="right"/>
    </xf>
    <xf numFmtId="171" fontId="5" fillId="0" borderId="0" xfId="1" applyNumberFormat="1" applyFont="1" applyFill="1"/>
    <xf numFmtId="171" fontId="5" fillId="0" borderId="0" xfId="1" applyNumberFormat="1" applyFont="1" applyBorder="1" applyAlignment="1">
      <alignment horizontal="center" vertical="center"/>
    </xf>
    <xf numFmtId="171" fontId="5" fillId="0" borderId="0" xfId="1" applyNumberFormat="1" applyFont="1" applyFill="1" applyProtection="1">
      <protection locked="0"/>
    </xf>
    <xf numFmtId="171" fontId="10" fillId="0" borderId="0" xfId="1" applyNumberFormat="1" applyFont="1" applyFill="1" applyBorder="1"/>
    <xf numFmtId="171" fontId="3" fillId="0" borderId="0" xfId="1" applyNumberFormat="1" applyFont="1" applyFill="1" applyProtection="1">
      <protection locked="0"/>
    </xf>
    <xf numFmtId="171" fontId="5" fillId="0" borderId="2" xfId="1" applyNumberFormat="1" applyFont="1" applyFill="1" applyBorder="1" applyProtection="1">
      <protection locked="0"/>
    </xf>
    <xf numFmtId="165" fontId="4" fillId="0" borderId="0" xfId="4" applyFont="1"/>
    <xf numFmtId="4" fontId="4" fillId="0" borderId="0" xfId="1" applyFont="1"/>
    <xf numFmtId="171" fontId="3" fillId="0" borderId="0" xfId="1" applyNumberFormat="1" applyFont="1" applyFill="1"/>
    <xf numFmtId="174" fontId="0" fillId="0" borderId="0" xfId="1" applyNumberFormat="1" applyFont="1" applyAlignment="1">
      <alignment horizontal="right"/>
    </xf>
    <xf numFmtId="174" fontId="0" fillId="0" borderId="0" xfId="1" applyNumberFormat="1" applyFont="1"/>
    <xf numFmtId="174" fontId="5" fillId="0" borderId="0" xfId="1" applyNumberFormat="1" applyFont="1" applyBorder="1"/>
    <xf numFmtId="174" fontId="5" fillId="0" borderId="0" xfId="1" applyNumberFormat="1" applyFont="1" applyProtection="1">
      <protection locked="0"/>
    </xf>
    <xf numFmtId="174" fontId="5" fillId="0" borderId="2" xfId="1" applyNumberFormat="1" applyFont="1" applyBorder="1"/>
    <xf numFmtId="0" fontId="3" fillId="0" borderId="0" xfId="11" applyFont="1" applyAlignment="1">
      <alignment horizontal="center"/>
    </xf>
    <xf numFmtId="3" fontId="8" fillId="0" borderId="0" xfId="0" applyFont="1" applyBorder="1"/>
    <xf numFmtId="3" fontId="3" fillId="0" borderId="1" xfId="0" applyFont="1" applyBorder="1" applyAlignment="1"/>
    <xf numFmtId="3" fontId="3" fillId="0" borderId="0" xfId="0" applyFont="1" applyBorder="1" applyAlignment="1"/>
    <xf numFmtId="171" fontId="5" fillId="0" borderId="2" xfId="1" applyNumberFormat="1" applyFont="1" applyBorder="1" applyAlignment="1">
      <alignment horizontal="center" vertical="center"/>
    </xf>
    <xf numFmtId="167" fontId="3" fillId="0" borderId="0" xfId="1" applyNumberFormat="1" applyFont="1"/>
    <xf numFmtId="171" fontId="5" fillId="0" borderId="0" xfId="0" applyNumberFormat="1" applyFont="1" applyBorder="1"/>
    <xf numFmtId="173" fontId="5" fillId="0" borderId="0" xfId="11" applyNumberFormat="1" applyFont="1"/>
    <xf numFmtId="168" fontId="5" fillId="0" borderId="0" xfId="0" applyNumberFormat="1" applyFont="1" applyBorder="1"/>
    <xf numFmtId="172" fontId="5" fillId="0" borderId="0" xfId="0" applyNumberFormat="1" applyFont="1"/>
    <xf numFmtId="3" fontId="5" fillId="0" borderId="0" xfId="0" applyFont="1" applyAlignment="1">
      <alignment horizontal="center" vertical="center"/>
    </xf>
    <xf numFmtId="3" fontId="5" fillId="0" borderId="0" xfId="0" applyFont="1" applyAlignment="1">
      <alignment horizontal="left" vertical="center"/>
    </xf>
    <xf numFmtId="3" fontId="5" fillId="0" borderId="6" xfId="0" applyFont="1" applyBorder="1"/>
    <xf numFmtId="3" fontId="6" fillId="0" borderId="0" xfId="0" applyFont="1"/>
    <xf numFmtId="3" fontId="5" fillId="0" borderId="0" xfId="3" applyFont="1"/>
    <xf numFmtId="3" fontId="5" fillId="0" borderId="8" xfId="0" applyFont="1" applyBorder="1" applyAlignment="1">
      <alignment horizontal="center"/>
    </xf>
    <xf numFmtId="3" fontId="4" fillId="0" borderId="9" xfId="0" applyFont="1" applyBorder="1"/>
    <xf numFmtId="3" fontId="4" fillId="0" borderId="2" xfId="0" applyFont="1" applyBorder="1"/>
    <xf numFmtId="4" fontId="0" fillId="0" borderId="1" xfId="1" applyFont="1" applyBorder="1" applyAlignment="1">
      <alignment horizontal="center"/>
    </xf>
    <xf numFmtId="4" fontId="0" fillId="0" borderId="0" xfId="1" applyFont="1" applyBorder="1" applyAlignment="1">
      <alignment horizontal="center"/>
    </xf>
    <xf numFmtId="4" fontId="0" fillId="0" borderId="2" xfId="1" applyFont="1" applyBorder="1" applyAlignment="1">
      <alignment horizontal="center"/>
    </xf>
    <xf numFmtId="165" fontId="4" fillId="0" borderId="0" xfId="4" applyNumberFormat="1" applyFont="1"/>
    <xf numFmtId="165" fontId="4" fillId="0" borderId="0" xfId="0" applyNumberFormat="1" applyFont="1"/>
    <xf numFmtId="165" fontId="3" fillId="0" borderId="0" xfId="4" applyFont="1" applyBorder="1" applyAlignment="1">
      <alignment horizontal="center"/>
    </xf>
    <xf numFmtId="0" fontId="3" fillId="0" borderId="0" xfId="11" applyBorder="1"/>
    <xf numFmtId="3" fontId="4" fillId="0" borderId="0" xfId="0" applyFont="1" applyAlignment="1">
      <alignment horizontal="centerContinuous" vertical="center"/>
    </xf>
    <xf numFmtId="3" fontId="3" fillId="0" borderId="0" xfId="1" applyNumberFormat="1" applyFont="1" applyBorder="1" applyAlignment="1">
      <alignment horizontal="center"/>
    </xf>
    <xf numFmtId="3" fontId="3" fillId="0" borderId="2" xfId="1" applyNumberFormat="1" applyFont="1" applyBorder="1"/>
    <xf numFmtId="164" fontId="3" fillId="0" borderId="0" xfId="4" applyNumberFormat="1" applyFont="1"/>
    <xf numFmtId="3" fontId="3" fillId="0" borderId="0" xfId="0" applyFont="1" applyAlignment="1">
      <alignment horizontal="left" vertical="center"/>
    </xf>
    <xf numFmtId="10" fontId="3" fillId="0" borderId="0" xfId="12" applyFont="1" applyAlignment="1"/>
    <xf numFmtId="3" fontId="3" fillId="0" borderId="0" xfId="0" applyNumberFormat="1" applyFont="1" applyAlignment="1"/>
    <xf numFmtId="3" fontId="3" fillId="0" borderId="5" xfId="0" applyNumberFormat="1" applyFont="1" applyBorder="1" applyAlignment="1"/>
    <xf numFmtId="3" fontId="3" fillId="0" borderId="0" xfId="0" applyNumberFormat="1" applyFont="1" applyBorder="1" applyAlignment="1"/>
    <xf numFmtId="3" fontId="3" fillId="0" borderId="0" xfId="0" applyNumberFormat="1" applyFont="1" applyBorder="1" applyProtection="1">
      <protection locked="0"/>
    </xf>
    <xf numFmtId="3" fontId="3" fillId="0" borderId="0" xfId="0" applyNumberFormat="1" applyFont="1" applyProtection="1">
      <protection locked="0"/>
    </xf>
    <xf numFmtId="3" fontId="3" fillId="0" borderId="0" xfId="0" applyNumberFormat="1" applyFont="1" applyBorder="1"/>
    <xf numFmtId="3" fontId="3" fillId="0" borderId="0" xfId="0" applyFont="1" applyAlignment="1" applyProtection="1">
      <alignment horizontal="centerContinuous" vertical="center"/>
      <protection locked="0"/>
    </xf>
    <xf numFmtId="3" fontId="4" fillId="0" borderId="0" xfId="0" applyFont="1" applyAlignment="1">
      <alignment horizontal="center" vertical="center"/>
    </xf>
    <xf numFmtId="164" fontId="3" fillId="0" borderId="0" xfId="0" applyNumberFormat="1" applyFont="1" applyAlignment="1"/>
    <xf numFmtId="4" fontId="3" fillId="0" borderId="0" xfId="1" applyFont="1"/>
    <xf numFmtId="3" fontId="6" fillId="0" borderId="2" xfId="0" applyFont="1" applyBorder="1" applyAlignment="1">
      <alignment horizontal="center"/>
    </xf>
    <xf numFmtId="172" fontId="0" fillId="0" borderId="0" xfId="1" applyNumberFormat="1" applyFont="1" applyBorder="1"/>
    <xf numFmtId="4" fontId="0" fillId="0" borderId="0" xfId="1" applyFont="1" applyBorder="1"/>
    <xf numFmtId="171" fontId="3" fillId="0" borderId="0" xfId="2" applyNumberFormat="1" applyFont="1" applyBorder="1" applyAlignment="1">
      <alignment horizontal="center"/>
    </xf>
    <xf numFmtId="3" fontId="3" fillId="0" borderId="1" xfId="0" applyFont="1" applyBorder="1" applyAlignment="1">
      <alignment horizontal="center" vertical="center" wrapText="1"/>
    </xf>
    <xf numFmtId="3" fontId="0" fillId="0" borderId="0" xfId="0" applyAlignment="1">
      <alignment horizontal="center" vertical="center" wrapText="1"/>
    </xf>
    <xf numFmtId="171" fontId="5" fillId="0" borderId="0" xfId="1" applyNumberFormat="1" applyFont="1" applyBorder="1" applyAlignment="1">
      <alignment horizontal="left"/>
    </xf>
    <xf numFmtId="171" fontId="5" fillId="0" borderId="0" xfId="1" applyNumberFormat="1" applyFont="1" applyFill="1" applyBorder="1" applyAlignment="1">
      <alignment horizontal="left"/>
    </xf>
    <xf numFmtId="171" fontId="5" fillId="0" borderId="2" xfId="1" applyNumberFormat="1" applyFont="1" applyBorder="1" applyAlignment="1">
      <alignment horizontal="left"/>
    </xf>
    <xf numFmtId="164" fontId="4" fillId="0" borderId="0" xfId="4" applyNumberFormat="1" applyFont="1"/>
    <xf numFmtId="3" fontId="4" fillId="0" borderId="0" xfId="0" applyFont="1" applyAlignment="1">
      <alignment horizontal="left"/>
    </xf>
    <xf numFmtId="171" fontId="11" fillId="0" borderId="0" xfId="1" applyNumberFormat="1" applyFont="1" applyFill="1" applyBorder="1"/>
    <xf numFmtId="171" fontId="10" fillId="0" borderId="0" xfId="1" applyNumberFormat="1" applyFont="1"/>
    <xf numFmtId="3" fontId="5" fillId="0" borderId="10" xfId="0" applyFont="1" applyBorder="1" applyAlignment="1">
      <alignment horizontal="center"/>
    </xf>
    <xf numFmtId="3" fontId="5" fillId="0" borderId="11" xfId="0" applyFont="1" applyBorder="1" applyAlignment="1">
      <alignment horizontal="center"/>
    </xf>
    <xf numFmtId="3" fontId="5" fillId="0" borderId="12" xfId="0" applyFont="1" applyBorder="1" applyAlignment="1">
      <alignment horizontal="center"/>
    </xf>
    <xf numFmtId="3" fontId="5" fillId="0" borderId="9" xfId="0" applyFont="1" applyBorder="1" applyAlignment="1">
      <alignment horizontal="center"/>
    </xf>
    <xf numFmtId="3" fontId="5" fillId="0" borderId="13" xfId="0" applyFont="1" applyBorder="1" applyAlignment="1">
      <alignment horizontal="center"/>
    </xf>
    <xf numFmtId="3" fontId="5" fillId="0" borderId="14" xfId="0" applyFont="1" applyBorder="1" applyAlignment="1">
      <alignment horizontal="center"/>
    </xf>
    <xf numFmtId="3" fontId="5" fillId="0" borderId="15" xfId="0" applyFont="1" applyBorder="1" applyAlignment="1">
      <alignment horizontal="center"/>
    </xf>
    <xf numFmtId="3" fontId="5" fillId="0" borderId="16" xfId="0" applyFont="1" applyBorder="1" applyAlignment="1">
      <alignment horizontal="center"/>
    </xf>
    <xf numFmtId="3" fontId="5" fillId="0" borderId="17" xfId="0" applyFont="1" applyBorder="1" applyAlignment="1">
      <alignment horizontal="center"/>
    </xf>
    <xf numFmtId="164" fontId="12" fillId="0" borderId="0" xfId="4" applyNumberFormat="1" applyFont="1" applyBorder="1"/>
    <xf numFmtId="3" fontId="5" fillId="0" borderId="0" xfId="0" applyFont="1" applyAlignment="1"/>
    <xf numFmtId="3" fontId="3" fillId="0" borderId="0" xfId="0" applyFont="1" applyAlignment="1">
      <alignment horizontal="centerContinuous" vertical="center" wrapText="1"/>
    </xf>
    <xf numFmtId="3" fontId="5" fillId="0" borderId="8" xfId="0" applyFont="1" applyBorder="1"/>
    <xf numFmtId="4" fontId="4" fillId="0" borderId="0" xfId="0" applyNumberFormat="1" applyFont="1"/>
    <xf numFmtId="171" fontId="3" fillId="0" borderId="0" xfId="2" applyNumberFormat="1" applyFont="1" applyBorder="1" applyAlignment="1">
      <alignment horizontal="centerContinuous" vertical="center"/>
    </xf>
    <xf numFmtId="2" fontId="3" fillId="0" borderId="0" xfId="0" applyNumberFormat="1" applyFont="1"/>
    <xf numFmtId="4" fontId="3" fillId="0" borderId="0" xfId="1" applyNumberFormat="1" applyFont="1" applyBorder="1"/>
    <xf numFmtId="4" fontId="3" fillId="0" borderId="0" xfId="1" applyNumberFormat="1" applyFont="1"/>
    <xf numFmtId="3" fontId="4" fillId="0" borderId="0" xfId="1" applyNumberFormat="1" applyFont="1"/>
    <xf numFmtId="4" fontId="3" fillId="0" borderId="0" xfId="1" applyNumberFormat="1" applyFont="1" applyBorder="1" applyAlignment="1">
      <alignment horizontal="right"/>
    </xf>
    <xf numFmtId="2" fontId="3" fillId="0" borderId="0" xfId="1" applyNumberFormat="1" applyFont="1" applyBorder="1"/>
    <xf numFmtId="2" fontId="3" fillId="0" borderId="2" xfId="0" applyNumberFormat="1" applyFont="1" applyBorder="1"/>
    <xf numFmtId="169" fontId="3" fillId="0" borderId="0" xfId="0" applyNumberFormat="1" applyFont="1" applyAlignment="1">
      <alignment horizontal="right"/>
    </xf>
    <xf numFmtId="171" fontId="10" fillId="0" borderId="0" xfId="1" applyNumberFormat="1" applyFont="1" applyBorder="1"/>
    <xf numFmtId="165" fontId="5" fillId="0" borderId="0" xfId="4" applyNumberFormat="1" applyFont="1"/>
    <xf numFmtId="165" fontId="5" fillId="0" borderId="0" xfId="0" applyNumberFormat="1" applyFont="1"/>
    <xf numFmtId="3" fontId="5" fillId="0" borderId="8" xfId="0" applyFont="1" applyBorder="1" applyAlignment="1">
      <alignment horizontal="left"/>
    </xf>
    <xf numFmtId="3" fontId="3" fillId="0" borderId="2" xfId="3" applyFont="1" applyBorder="1"/>
    <xf numFmtId="4" fontId="3" fillId="0" borderId="0" xfId="11" applyNumberFormat="1"/>
    <xf numFmtId="3" fontId="5" fillId="0" borderId="0" xfId="0" applyFont="1" applyBorder="1" applyAlignment="1">
      <alignment horizontal="left"/>
    </xf>
    <xf numFmtId="3" fontId="3" fillId="0" borderId="0" xfId="0" applyFont="1" applyAlignment="1" applyProtection="1">
      <alignment horizontal="left" vertical="center"/>
      <protection locked="0"/>
    </xf>
    <xf numFmtId="3" fontId="13" fillId="0" borderId="0" xfId="0" applyFont="1"/>
    <xf numFmtId="170" fontId="5" fillId="0" borderId="0" xfId="1" applyNumberFormat="1" applyFont="1" applyFill="1" applyBorder="1"/>
    <xf numFmtId="170" fontId="5" fillId="0" borderId="2" xfId="1" applyNumberFormat="1" applyFont="1" applyFill="1" applyBorder="1"/>
    <xf numFmtId="171" fontId="3" fillId="0" borderId="0" xfId="1" applyNumberFormat="1" applyFont="1" applyBorder="1" applyAlignment="1">
      <alignment horizontal="center"/>
    </xf>
    <xf numFmtId="171" fontId="17" fillId="0" borderId="0" xfId="1" applyNumberFormat="1" applyFont="1" applyFill="1" applyBorder="1"/>
    <xf numFmtId="171" fontId="10" fillId="0" borderId="0" xfId="1" applyNumberFormat="1" applyFont="1" applyFill="1"/>
    <xf numFmtId="4" fontId="5" fillId="0" borderId="5" xfId="1" applyFont="1" applyBorder="1"/>
    <xf numFmtId="44" fontId="0" fillId="0" borderId="0" xfId="4" applyNumberFormat="1" applyFont="1" applyBorder="1"/>
    <xf numFmtId="4" fontId="4" fillId="0" borderId="0" xfId="0" applyNumberFormat="1" applyFont="1" applyBorder="1"/>
    <xf numFmtId="0" fontId="4" fillId="0" borderId="0" xfId="0" applyNumberFormat="1" applyFont="1"/>
    <xf numFmtId="4" fontId="4" fillId="0" borderId="2" xfId="0" applyNumberFormat="1" applyFont="1" applyBorder="1"/>
    <xf numFmtId="174" fontId="3" fillId="0" borderId="0" xfId="1" applyNumberFormat="1" applyFont="1" applyBorder="1"/>
    <xf numFmtId="174" fontId="3" fillId="0" borderId="0" xfId="1" applyNumberFormat="1" applyFont="1" applyProtection="1">
      <protection locked="0"/>
    </xf>
    <xf numFmtId="43" fontId="3" fillId="0" borderId="0" xfId="1" applyNumberFormat="1" applyFont="1" applyFill="1" applyProtection="1">
      <protection locked="0"/>
    </xf>
    <xf numFmtId="174" fontId="3" fillId="0" borderId="2" xfId="1" applyNumberFormat="1" applyFont="1" applyBorder="1"/>
    <xf numFmtId="174" fontId="3" fillId="0" borderId="0" xfId="1" applyNumberFormat="1" applyFont="1" applyAlignment="1">
      <alignment horizontal="right"/>
    </xf>
    <xf numFmtId="44" fontId="3" fillId="0" borderId="0" xfId="1" applyNumberFormat="1" applyFont="1" applyFill="1" applyBorder="1" applyAlignment="1">
      <alignment horizontal="center"/>
    </xf>
    <xf numFmtId="41" fontId="3" fillId="0" borderId="0" xfId="0" applyNumberFormat="1" applyFont="1" applyFill="1" applyBorder="1"/>
    <xf numFmtId="0" fontId="3" fillId="0" borderId="0" xfId="0" applyNumberFormat="1" applyFont="1" applyFill="1"/>
    <xf numFmtId="41" fontId="3" fillId="0" borderId="2" xfId="0" applyNumberFormat="1" applyFont="1" applyFill="1" applyBorder="1"/>
    <xf numFmtId="171" fontId="0" fillId="0" borderId="0" xfId="4" applyNumberFormat="1" applyFont="1" applyBorder="1" applyAlignment="1">
      <alignment horizontal="left" indent="2"/>
    </xf>
    <xf numFmtId="171" fontId="0" fillId="0" borderId="0" xfId="0" applyNumberFormat="1" applyBorder="1"/>
    <xf numFmtId="171" fontId="0" fillId="0" borderId="0" xfId="0" applyNumberFormat="1"/>
    <xf numFmtId="171" fontId="0" fillId="0" borderId="3" xfId="0" applyNumberFormat="1" applyBorder="1"/>
    <xf numFmtId="170" fontId="3" fillId="0" borderId="0" xfId="4" applyNumberFormat="1" applyFont="1" applyFill="1" applyAlignment="1">
      <alignment horizontal="right"/>
    </xf>
    <xf numFmtId="171" fontId="20" fillId="0" borderId="0" xfId="1" applyNumberFormat="1" applyFont="1" applyFill="1"/>
    <xf numFmtId="171" fontId="20" fillId="0" borderId="0" xfId="1" applyNumberFormat="1" applyFont="1" applyFill="1" applyBorder="1"/>
    <xf numFmtId="171" fontId="20" fillId="0" borderId="2" xfId="1" applyNumberFormat="1" applyFont="1" applyFill="1" applyBorder="1"/>
    <xf numFmtId="171" fontId="3" fillId="0" borderId="3" xfId="1" applyNumberFormat="1" applyFont="1" applyFill="1" applyBorder="1"/>
    <xf numFmtId="171" fontId="21" fillId="0" borderId="0" xfId="1" applyNumberFormat="1" applyFont="1" applyFill="1" applyBorder="1"/>
    <xf numFmtId="171" fontId="22" fillId="0" borderId="0" xfId="1" applyNumberFormat="1" applyFont="1" applyFill="1"/>
    <xf numFmtId="172" fontId="3" fillId="0" borderId="0" xfId="1" applyNumberFormat="1" applyFont="1" applyBorder="1"/>
    <xf numFmtId="168" fontId="3" fillId="0" borderId="0" xfId="0" applyNumberFormat="1" applyFont="1" applyBorder="1"/>
    <xf numFmtId="4" fontId="3" fillId="0" borderId="0" xfId="1" applyFont="1" applyBorder="1"/>
    <xf numFmtId="44" fontId="3" fillId="0" borderId="0" xfId="4" applyNumberFormat="1" applyFont="1"/>
    <xf numFmtId="0" fontId="3" fillId="0" borderId="2" xfId="11" applyFont="1" applyBorder="1" applyAlignment="1">
      <alignment horizontal="centerContinuous"/>
    </xf>
    <xf numFmtId="2" fontId="3" fillId="0" borderId="0" xfId="11" applyNumberFormat="1" applyFont="1"/>
    <xf numFmtId="3" fontId="3" fillId="0" borderId="0" xfId="11" applyNumberFormat="1" applyFont="1"/>
    <xf numFmtId="2" fontId="3" fillId="0" borderId="2" xfId="11" applyNumberFormat="1" applyFont="1" applyBorder="1"/>
    <xf numFmtId="174" fontId="3" fillId="0" borderId="0" xfId="1" applyNumberFormat="1" applyFont="1"/>
    <xf numFmtId="3" fontId="3" fillId="0" borderId="0" xfId="0" applyFont="1" applyAlignment="1">
      <alignment horizontal="center" vertical="center" wrapText="1"/>
    </xf>
    <xf numFmtId="166" fontId="3" fillId="0" borderId="0" xfId="0" quotePrefix="1" applyNumberFormat="1" applyFont="1" applyAlignment="1">
      <alignment horizontal="left"/>
    </xf>
    <xf numFmtId="41" fontId="3" fillId="0" borderId="0" xfId="0" applyNumberFormat="1" applyFont="1" applyBorder="1"/>
    <xf numFmtId="171" fontId="3" fillId="0" borderId="0" xfId="1" applyNumberFormat="1" applyFont="1" applyBorder="1" applyAlignment="1">
      <alignment horizontal="center" vertical="center"/>
    </xf>
    <xf numFmtId="41" fontId="3" fillId="0" borderId="2" xfId="0" applyNumberFormat="1" applyFont="1" applyBorder="1"/>
    <xf numFmtId="171" fontId="3" fillId="0" borderId="0" xfId="0" applyNumberFormat="1" applyFont="1"/>
    <xf numFmtId="3" fontId="5" fillId="2" borderId="0" xfId="0" applyNumberFormat="1" applyFont="1" applyFill="1"/>
    <xf numFmtId="3" fontId="4" fillId="0" borderId="0" xfId="0" applyFont="1" applyAlignment="1">
      <alignment horizontal="center"/>
    </xf>
    <xf numFmtId="3" fontId="3" fillId="0" borderId="3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3" fontId="4" fillId="0" borderId="7" xfId="0" applyFont="1" applyBorder="1" applyAlignment="1">
      <alignment horizontal="center"/>
    </xf>
    <xf numFmtId="3" fontId="3" fillId="0" borderId="3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3" fontId="3" fillId="0" borderId="3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164" fontId="4" fillId="0" borderId="0" xfId="0" applyNumberFormat="1" applyFont="1" applyBorder="1"/>
    <xf numFmtId="170" fontId="3" fillId="0" borderId="0" xfId="4" applyNumberFormat="1" applyFont="1"/>
    <xf numFmtId="171" fontId="3" fillId="0" borderId="0" xfId="1" applyNumberFormat="1" applyFont="1" applyBorder="1"/>
    <xf numFmtId="3" fontId="4" fillId="0" borderId="0" xfId="0" applyFont="1" applyAlignment="1">
      <alignment horizontal="center"/>
    </xf>
    <xf numFmtId="3" fontId="7" fillId="0" borderId="0" xfId="0" applyFont="1" applyBorder="1"/>
    <xf numFmtId="3" fontId="7" fillId="0" borderId="3" xfId="0" applyFont="1" applyBorder="1"/>
    <xf numFmtId="171" fontId="21" fillId="0" borderId="0" xfId="1" applyNumberFormat="1" applyFont="1" applyFill="1" applyProtection="1">
      <protection locked="0"/>
    </xf>
    <xf numFmtId="171" fontId="23" fillId="0" borderId="0" xfId="1" applyNumberFormat="1" applyFont="1" applyFill="1" applyBorder="1"/>
    <xf numFmtId="171" fontId="24" fillId="0" borderId="0" xfId="1" applyNumberFormat="1" applyFont="1" applyFill="1" applyBorder="1"/>
    <xf numFmtId="171" fontId="3" fillId="0" borderId="2" xfId="1" applyNumberFormat="1" applyFont="1" applyFill="1" applyBorder="1" applyProtection="1">
      <protection locked="0"/>
    </xf>
    <xf numFmtId="4" fontId="3" fillId="0" borderId="5" xfId="1" applyFont="1" applyBorder="1"/>
    <xf numFmtId="4" fontId="5" fillId="0" borderId="0" xfId="4" applyNumberFormat="1" applyFont="1" applyBorder="1"/>
    <xf numFmtId="4" fontId="3" fillId="0" borderId="0" xfId="0" applyNumberFormat="1" applyFont="1" applyBorder="1"/>
    <xf numFmtId="171" fontId="3" fillId="0" borderId="0" xfId="0" applyNumberFormat="1" applyFont="1" applyBorder="1"/>
    <xf numFmtId="171" fontId="3" fillId="0" borderId="3" xfId="0" applyNumberFormat="1" applyFont="1" applyBorder="1"/>
    <xf numFmtId="0" fontId="5" fillId="0" borderId="5" xfId="11" applyFont="1" applyBorder="1"/>
    <xf numFmtId="3" fontId="4" fillId="0" borderId="15" xfId="0" applyFont="1" applyBorder="1"/>
    <xf numFmtId="164" fontId="4" fillId="0" borderId="17" xfId="0" applyNumberFormat="1" applyFont="1" applyBorder="1"/>
    <xf numFmtId="3" fontId="4" fillId="0" borderId="0" xfId="0" applyFont="1" applyAlignment="1">
      <alignment horizontal="center"/>
    </xf>
    <xf numFmtId="3" fontId="3" fillId="0" borderId="3" xfId="0" applyFont="1" applyBorder="1" applyAlignment="1">
      <alignment horizontal="center"/>
    </xf>
    <xf numFmtId="3" fontId="3" fillId="0" borderId="3" xfId="0" applyFont="1" applyBorder="1" applyAlignment="1">
      <alignment horizontal="center"/>
    </xf>
    <xf numFmtId="3" fontId="3" fillId="0" borderId="3" xfId="0" applyFont="1" applyBorder="1" applyAlignment="1">
      <alignment horizontal="center"/>
    </xf>
    <xf numFmtId="3" fontId="21" fillId="0" borderId="0" xfId="0" applyFont="1"/>
    <xf numFmtId="37" fontId="5" fillId="0" borderId="0" xfId="4" applyNumberFormat="1" applyFont="1" applyFill="1" applyAlignment="1">
      <alignment horizontal="right"/>
    </xf>
    <xf numFmtId="3" fontId="7" fillId="0" borderId="18" xfId="0" applyFont="1" applyBorder="1" applyAlignment="1">
      <alignment horizontal="center" vertical="center" wrapText="1"/>
    </xf>
    <xf numFmtId="3" fontId="7" fillId="0" borderId="3" xfId="0" applyFont="1" applyBorder="1" applyAlignment="1">
      <alignment horizontal="center" vertical="center" wrapText="1"/>
    </xf>
    <xf numFmtId="3" fontId="7" fillId="0" borderId="0" xfId="0" applyFont="1" applyAlignment="1">
      <alignment horizontal="center" vertical="center" wrapText="1"/>
    </xf>
    <xf numFmtId="3" fontId="3" fillId="0" borderId="3" xfId="0" applyFont="1" applyBorder="1" applyAlignment="1">
      <alignment horizontal="center"/>
    </xf>
    <xf numFmtId="3" fontId="4" fillId="0" borderId="2" xfId="0" applyFont="1" applyBorder="1" applyAlignment="1">
      <alignment horizontal="center"/>
    </xf>
    <xf numFmtId="3" fontId="4" fillId="0" borderId="0" xfId="0" applyFont="1" applyBorder="1" applyAlignment="1">
      <alignment horizontal="center" vertical="center" wrapText="1"/>
    </xf>
    <xf numFmtId="3" fontId="5" fillId="0" borderId="3" xfId="0" applyFont="1" applyBorder="1" applyAlignment="1">
      <alignment horizontal="center"/>
    </xf>
    <xf numFmtId="3" fontId="3" fillId="0" borderId="3" xfId="0" applyFont="1" applyBorder="1" applyAlignment="1">
      <alignment horizontal="center"/>
    </xf>
    <xf numFmtId="3" fontId="4" fillId="0" borderId="7" xfId="0" applyFont="1" applyBorder="1" applyAlignment="1">
      <alignment horizontal="center"/>
    </xf>
    <xf numFmtId="3" fontId="4" fillId="0" borderId="5" xfId="0" applyFont="1" applyBorder="1" applyAlignment="1">
      <alignment horizontal="center" vertical="center" wrapText="1"/>
    </xf>
    <xf numFmtId="3" fontId="4" fillId="0" borderId="2" xfId="0" applyFont="1" applyBorder="1" applyAlignment="1">
      <alignment horizontal="center" vertical="center" wrapText="1"/>
    </xf>
    <xf numFmtId="3" fontId="5" fillId="0" borderId="2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3" fontId="3" fillId="0" borderId="0" xfId="0" applyFont="1" applyBorder="1" applyAlignment="1">
      <alignment horizontal="centerContinuous"/>
    </xf>
    <xf numFmtId="3" fontId="7" fillId="0" borderId="0" xfId="0" applyFont="1" applyBorder="1" applyAlignment="1">
      <alignment horizontal="center" vertical="center" wrapText="1"/>
    </xf>
    <xf numFmtId="3" fontId="4" fillId="0" borderId="0" xfId="0" applyFont="1" applyAlignment="1">
      <alignment horizontal="center"/>
    </xf>
    <xf numFmtId="3" fontId="3" fillId="0" borderId="3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3" fontId="5" fillId="0" borderId="2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3" fontId="4" fillId="0" borderId="0" xfId="0" applyFont="1" applyAlignment="1">
      <alignment horizontal="center"/>
    </xf>
    <xf numFmtId="3" fontId="4" fillId="0" borderId="0" xfId="0" applyFont="1" applyAlignment="1">
      <alignment horizontal="center" vertical="center" wrapText="1"/>
    </xf>
    <xf numFmtId="3" fontId="5" fillId="0" borderId="3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171" fontId="26" fillId="0" borderId="0" xfId="1" applyNumberFormat="1" applyFont="1" applyFill="1" applyBorder="1"/>
    <xf numFmtId="171" fontId="25" fillId="0" borderId="0" xfId="1" applyNumberFormat="1" applyFont="1" applyFill="1" applyProtection="1">
      <protection locked="0"/>
    </xf>
    <xf numFmtId="3" fontId="5" fillId="0" borderId="0" xfId="0" applyFont="1" applyAlignment="1">
      <alignment vertical="center"/>
    </xf>
    <xf numFmtId="44" fontId="3" fillId="0" borderId="0" xfId="4" applyNumberFormat="1" applyFont="1" applyBorder="1"/>
    <xf numFmtId="0" fontId="3" fillId="0" borderId="0" xfId="0" applyNumberFormat="1" applyFont="1"/>
    <xf numFmtId="43" fontId="3" fillId="0" borderId="0" xfId="1" applyNumberFormat="1" applyFont="1" applyBorder="1"/>
    <xf numFmtId="43" fontId="3" fillId="0" borderId="2" xfId="1" applyNumberFormat="1" applyFont="1" applyBorder="1"/>
    <xf numFmtId="0" fontId="3" fillId="0" borderId="2" xfId="0" applyNumberFormat="1" applyFont="1" applyBorder="1"/>
    <xf numFmtId="165" fontId="3" fillId="0" borderId="0" xfId="4" applyFont="1"/>
    <xf numFmtId="170" fontId="3" fillId="0" borderId="0" xfId="4" applyNumberFormat="1" applyFont="1" applyFill="1" applyBorder="1"/>
    <xf numFmtId="0" fontId="3" fillId="0" borderId="0" xfId="0" applyNumberFormat="1" applyFont="1" applyFill="1" applyBorder="1"/>
    <xf numFmtId="37" fontId="3" fillId="0" borderId="0" xfId="0" applyNumberFormat="1" applyFont="1"/>
    <xf numFmtId="37" fontId="3" fillId="0" borderId="0" xfId="0" applyNumberFormat="1" applyFont="1" applyBorder="1"/>
    <xf numFmtId="37" fontId="3" fillId="0" borderId="2" xfId="0" applyNumberFormat="1" applyFont="1" applyBorder="1"/>
    <xf numFmtId="166" fontId="3" fillId="0" borderId="0" xfId="0" applyNumberFormat="1" applyFont="1" applyAlignment="1">
      <alignment horizontal="left"/>
    </xf>
    <xf numFmtId="172" fontId="3" fillId="0" borderId="2" xfId="0" applyNumberFormat="1" applyFont="1" applyBorder="1"/>
    <xf numFmtId="175" fontId="3" fillId="0" borderId="0" xfId="1" applyNumberFormat="1" applyFont="1" applyAlignment="1">
      <alignment horizontal="right"/>
    </xf>
    <xf numFmtId="175" fontId="3" fillId="0" borderId="0" xfId="1" applyNumberFormat="1" applyFont="1" applyBorder="1"/>
    <xf numFmtId="175" fontId="3" fillId="0" borderId="2" xfId="1" applyNumberFormat="1" applyFont="1" applyBorder="1"/>
    <xf numFmtId="176" fontId="3" fillId="0" borderId="0" xfId="1" applyNumberFormat="1" applyFont="1" applyFill="1" applyProtection="1">
      <protection locked="0"/>
    </xf>
    <xf numFmtId="3" fontId="4" fillId="0" borderId="0" xfId="0" applyFont="1" applyAlignment="1">
      <alignment horizontal="center"/>
    </xf>
    <xf numFmtId="3" fontId="3" fillId="0" borderId="2" xfId="0" applyFont="1" applyBorder="1" applyAlignment="1">
      <alignment horizontal="center"/>
    </xf>
    <xf numFmtId="3" fontId="4" fillId="0" borderId="2" xfId="0" applyFont="1" applyBorder="1" applyAlignment="1">
      <alignment horizontal="center"/>
    </xf>
    <xf numFmtId="3" fontId="4" fillId="0" borderId="0" xfId="0" applyFont="1" applyAlignment="1">
      <alignment horizontal="center"/>
    </xf>
    <xf numFmtId="3" fontId="4" fillId="0" borderId="0" xfId="0" applyFont="1" applyBorder="1" applyAlignment="1">
      <alignment horizontal="center" vertical="center" wrapText="1"/>
    </xf>
    <xf numFmtId="3" fontId="3" fillId="0" borderId="3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3" fontId="5" fillId="0" borderId="2" xfId="0" applyFont="1" applyBorder="1" applyAlignment="1">
      <alignment horizontal="center"/>
    </xf>
    <xf numFmtId="3" fontId="4" fillId="0" borderId="7" xfId="0" applyFont="1" applyBorder="1" applyAlignment="1">
      <alignment horizontal="center"/>
    </xf>
    <xf numFmtId="3" fontId="4" fillId="0" borderId="5" xfId="0" applyFont="1" applyBorder="1" applyAlignment="1">
      <alignment horizontal="center" vertical="center" wrapText="1"/>
    </xf>
    <xf numFmtId="3" fontId="4" fillId="0" borderId="2" xfId="0" applyFont="1" applyBorder="1" applyAlignment="1">
      <alignment horizontal="center" vertical="center" wrapText="1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0" xfId="0" applyNumberFormat="1" applyFont="1" applyFill="1"/>
    <xf numFmtId="3" fontId="5" fillId="0" borderId="3" xfId="0" applyFont="1" applyBorder="1" applyAlignment="1">
      <alignment horizontal="center"/>
    </xf>
    <xf numFmtId="3" fontId="3" fillId="0" borderId="3" xfId="0" applyFont="1" applyBorder="1" applyAlignment="1">
      <alignment horizontal="center"/>
    </xf>
    <xf numFmtId="3" fontId="4" fillId="0" borderId="14" xfId="0" applyFont="1" applyBorder="1"/>
    <xf numFmtId="169" fontId="5" fillId="0" borderId="0" xfId="0" applyNumberFormat="1" applyFont="1"/>
    <xf numFmtId="44" fontId="3" fillId="0" borderId="0" xfId="1" applyNumberFormat="1" applyFont="1" applyBorder="1"/>
    <xf numFmtId="4" fontId="3" fillId="0" borderId="0" xfId="0" applyNumberFormat="1" applyFont="1" applyAlignment="1">
      <alignment horizontal="right"/>
    </xf>
    <xf numFmtId="4" fontId="3" fillId="0" borderId="2" xfId="1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166" fontId="3" fillId="0" borderId="0" xfId="11" applyNumberFormat="1"/>
    <xf numFmtId="3" fontId="3" fillId="0" borderId="0" xfId="0" applyFont="1" applyAlignment="1">
      <alignment horizontal="center" vertical="center"/>
    </xf>
    <xf numFmtId="3" fontId="3" fillId="0" borderId="2" xfId="0" applyFont="1" applyBorder="1" applyAlignment="1">
      <alignment horizontal="center"/>
    </xf>
    <xf numFmtId="3" fontId="4" fillId="0" borderId="2" xfId="0" applyFont="1" applyBorder="1" applyAlignment="1">
      <alignment horizontal="center"/>
    </xf>
    <xf numFmtId="3" fontId="5" fillId="0" borderId="8" xfId="0" applyFont="1" applyBorder="1" applyAlignment="1">
      <alignment horizontal="center"/>
    </xf>
    <xf numFmtId="3" fontId="4" fillId="0" borderId="0" xfId="0" applyFont="1" applyAlignment="1">
      <alignment wrapText="1"/>
    </xf>
    <xf numFmtId="3" fontId="4" fillId="0" borderId="3" xfId="0" applyFont="1" applyBorder="1" applyAlignment="1">
      <alignment horizontal="center"/>
    </xf>
    <xf numFmtId="3" fontId="4" fillId="0" borderId="0" xfId="0" applyFont="1" applyAlignment="1">
      <alignment horizontal="center"/>
    </xf>
    <xf numFmtId="3" fontId="4" fillId="0" borderId="0" xfId="0" applyFont="1" applyAlignment="1">
      <alignment horizontal="center" vertical="center" wrapText="1"/>
    </xf>
    <xf numFmtId="3" fontId="7" fillId="0" borderId="3" xfId="0" applyFont="1" applyBorder="1" applyAlignment="1">
      <alignment horizontal="center"/>
    </xf>
    <xf numFmtId="3" fontId="7" fillId="0" borderId="18" xfId="0" applyFont="1" applyBorder="1" applyAlignment="1">
      <alignment horizontal="center" vertical="center" wrapText="1"/>
    </xf>
    <xf numFmtId="3" fontId="7" fillId="0" borderId="3" xfId="0" applyFont="1" applyBorder="1" applyAlignment="1">
      <alignment horizontal="center" vertical="center" wrapText="1"/>
    </xf>
    <xf numFmtId="3" fontId="7" fillId="0" borderId="0" xfId="0" applyFont="1" applyAlignment="1">
      <alignment horizontal="center" vertical="center" wrapText="1"/>
    </xf>
    <xf numFmtId="3" fontId="4" fillId="0" borderId="0" xfId="0" applyFont="1" applyBorder="1" applyAlignment="1">
      <alignment horizontal="center" vertical="center" wrapText="1"/>
    </xf>
    <xf numFmtId="3" fontId="0" fillId="0" borderId="2" xfId="0" applyBorder="1" applyAlignment="1">
      <alignment horizontal="center" vertical="center" wrapText="1"/>
    </xf>
    <xf numFmtId="3" fontId="4" fillId="0" borderId="19" xfId="0" applyFont="1" applyBorder="1" applyAlignment="1">
      <alignment horizontal="center"/>
    </xf>
    <xf numFmtId="3" fontId="4" fillId="0" borderId="8" xfId="0" applyFont="1" applyBorder="1" applyAlignment="1">
      <alignment horizontal="center"/>
    </xf>
    <xf numFmtId="3" fontId="4" fillId="0" borderId="20" xfId="0" applyFont="1" applyBorder="1" applyAlignment="1">
      <alignment horizontal="center"/>
    </xf>
    <xf numFmtId="3" fontId="4" fillId="0" borderId="21" xfId="0" applyFont="1" applyBorder="1" applyAlignment="1">
      <alignment horizontal="center"/>
    </xf>
    <xf numFmtId="3" fontId="4" fillId="0" borderId="22" xfId="0" applyFont="1" applyBorder="1" applyAlignment="1">
      <alignment horizontal="center"/>
    </xf>
    <xf numFmtId="3" fontId="3" fillId="0" borderId="3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3" fontId="5" fillId="0" borderId="2" xfId="0" applyFont="1" applyBorder="1" applyAlignment="1">
      <alignment horizontal="center"/>
    </xf>
    <xf numFmtId="3" fontId="4" fillId="0" borderId="7" xfId="0" applyFont="1" applyBorder="1" applyAlignment="1">
      <alignment horizontal="center"/>
    </xf>
    <xf numFmtId="3" fontId="4" fillId="0" borderId="5" xfId="0" applyFont="1" applyBorder="1" applyAlignment="1">
      <alignment horizontal="center" vertical="center" wrapText="1"/>
    </xf>
    <xf numFmtId="3" fontId="4" fillId="0" borderId="2" xfId="0" applyFont="1" applyBorder="1" applyAlignment="1">
      <alignment horizontal="center" vertical="center" wrapText="1"/>
    </xf>
    <xf numFmtId="3" fontId="4" fillId="0" borderId="5" xfId="0" applyFont="1" applyBorder="1" applyAlignment="1">
      <alignment horizontal="center"/>
    </xf>
    <xf numFmtId="3" fontId="4" fillId="0" borderId="3" xfId="0" applyFont="1" applyBorder="1" applyAlignment="1">
      <alignment horizontal="center" vertical="center" wrapText="1"/>
    </xf>
    <xf numFmtId="3" fontId="3" fillId="0" borderId="2" xfId="0" applyFont="1" applyBorder="1" applyAlignment="1"/>
    <xf numFmtId="3" fontId="3" fillId="0" borderId="0" xfId="0" applyFont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</cellXfs>
  <cellStyles count="14">
    <cellStyle name="Comma" xfId="1" builtinId="3"/>
    <cellStyle name="Comma_SFD2001PT4 TB19" xfId="2"/>
    <cellStyle name="Comma0" xfId="3"/>
    <cellStyle name="Currency" xfId="4" builtinId="4"/>
    <cellStyle name="Currency_SFD2001PT4 TB19" xfId="5"/>
    <cellStyle name="Currency0" xfId="6"/>
    <cellStyle name="Date" xfId="7"/>
    <cellStyle name="Fixed" xfId="8"/>
    <cellStyle name="Heading 1" xfId="9" builtinId="16" customBuiltin="1"/>
    <cellStyle name="Heading 2" xfId="10" builtinId="17" customBuiltin="1"/>
    <cellStyle name="Normal" xfId="0" builtinId="0"/>
    <cellStyle name="Normal_SFD2001PT4 TB19" xfId="11"/>
    <cellStyle name="Percent" xfId="12" builtinId="5"/>
    <cellStyle name="Total" xfId="13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I71"/>
  <sheetViews>
    <sheetView tabSelected="1" zoomScaleNormal="100" workbookViewId="0">
      <selection sqref="A1:L1"/>
    </sheetView>
  </sheetViews>
  <sheetFormatPr defaultColWidth="12" defaultRowHeight="15.75"/>
  <cols>
    <col min="1" max="1" width="12.875" style="1" customWidth="1"/>
    <col min="2" max="2" width="11.25" style="1" customWidth="1"/>
    <col min="3" max="10" width="12.625" style="1" customWidth="1"/>
    <col min="11" max="11" width="11" style="1" customWidth="1"/>
    <col min="12" max="12" width="8.25" style="1" customWidth="1"/>
    <col min="13" max="13" width="9.375" style="1" bestFit="1" customWidth="1"/>
    <col min="14" max="14" width="10.5" style="1" customWidth="1"/>
    <col min="15" max="17" width="9.375" style="1" bestFit="1" customWidth="1"/>
    <col min="18" max="19" width="9.375" style="3" bestFit="1" customWidth="1"/>
    <col min="20" max="21" width="12" style="3" customWidth="1"/>
    <col min="22" max="22" width="10.125" style="1" customWidth="1"/>
    <col min="23" max="25" width="12.625" style="1" customWidth="1"/>
    <col min="26" max="26" width="10.875" style="3" bestFit="1" customWidth="1"/>
    <col min="27" max="27" width="9.375" style="3" bestFit="1" customWidth="1"/>
    <col min="28" max="28" width="12.625" style="3" customWidth="1"/>
    <col min="29" max="29" width="12.25" style="1" customWidth="1"/>
    <col min="30" max="30" width="10.75" style="1" customWidth="1"/>
    <col min="31" max="32" width="16.125" customWidth="1"/>
    <col min="33" max="33" width="12.5" bestFit="1" customWidth="1"/>
    <col min="34" max="34" width="15.375" style="3" customWidth="1"/>
    <col min="35" max="43" width="12.5" style="3" bestFit="1" customWidth="1"/>
    <col min="44" max="44" width="13.875" style="3" customWidth="1"/>
    <col min="45" max="49" width="13.5" style="3" bestFit="1" customWidth="1"/>
    <col min="50" max="50" width="14" style="3" customWidth="1"/>
    <col min="51" max="52" width="13.5" style="3" bestFit="1" customWidth="1"/>
    <col min="53" max="53" width="13.125" style="3" customWidth="1"/>
    <col min="54" max="54" width="13.5" style="3" bestFit="1" customWidth="1"/>
    <col min="55" max="55" width="13.375" style="3" customWidth="1"/>
    <col min="56" max="56" width="13.5" style="3" bestFit="1" customWidth="1"/>
    <col min="57" max="57" width="12" style="3"/>
    <col min="58" max="58" width="13.5" style="3" bestFit="1" customWidth="1"/>
    <col min="59" max="59" width="12" style="3"/>
    <col min="60" max="60" width="13.5" style="3" bestFit="1" customWidth="1"/>
    <col min="61" max="16384" width="12" style="3"/>
  </cols>
  <sheetData>
    <row r="1" spans="1:61" ht="15.75" customHeight="1">
      <c r="A1" s="405" t="s">
        <v>95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111"/>
      <c r="N1" s="10"/>
      <c r="P1" s="2"/>
      <c r="Q1" s="2"/>
      <c r="V1" s="115"/>
      <c r="W1" s="115"/>
      <c r="X1" s="115"/>
      <c r="Y1" s="115"/>
      <c r="AC1" s="3"/>
      <c r="AD1" s="3"/>
    </row>
    <row r="2" spans="1:6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P2" s="2"/>
      <c r="Q2" s="2"/>
      <c r="V2" s="115"/>
      <c r="W2" s="115"/>
      <c r="X2" s="115"/>
      <c r="Y2" s="115"/>
      <c r="AC2" s="115"/>
      <c r="AD2" s="115"/>
    </row>
    <row r="3" spans="1:61" s="126" customFormat="1">
      <c r="A3" s="405" t="s">
        <v>225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115"/>
      <c r="N3" s="127"/>
      <c r="O3" s="94"/>
      <c r="P3" s="2"/>
      <c r="Q3" s="2"/>
      <c r="V3" s="115"/>
      <c r="W3" s="115"/>
      <c r="X3" s="115"/>
      <c r="Y3" s="115"/>
      <c r="AE3" s="85"/>
      <c r="AF3" s="85"/>
      <c r="AG3" s="85"/>
    </row>
    <row r="4" spans="1:61">
      <c r="A4" s="405" t="s">
        <v>367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115"/>
      <c r="N4" s="10"/>
      <c r="P4" s="2"/>
      <c r="Q4" s="2"/>
      <c r="V4" s="115"/>
      <c r="W4" s="115"/>
      <c r="X4" s="115"/>
      <c r="Y4" s="115"/>
      <c r="AC4" s="3"/>
      <c r="AD4" s="3"/>
    </row>
    <row r="5" spans="1:61" ht="16.5" thickBot="1">
      <c r="A5" s="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22"/>
      <c r="N5" s="22"/>
      <c r="R5" s="22"/>
      <c r="S5" s="1"/>
      <c r="T5" s="22"/>
      <c r="V5" s="94"/>
      <c r="W5" s="94"/>
      <c r="X5" s="94"/>
      <c r="Y5" s="94"/>
      <c r="AC5" s="94"/>
      <c r="AD5" s="94"/>
    </row>
    <row r="6" spans="1:61" ht="16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 s="5"/>
      <c r="P6" s="5"/>
      <c r="Q6" s="5"/>
      <c r="S6" s="5"/>
      <c r="T6" s="1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7"/>
      <c r="AG6" s="7"/>
      <c r="AH6"/>
      <c r="AI6"/>
      <c r="BD6" s="3" t="s">
        <v>112</v>
      </c>
      <c r="BF6" s="3" t="s">
        <v>112</v>
      </c>
      <c r="BH6" s="3" t="s">
        <v>112</v>
      </c>
    </row>
    <row r="7" spans="1:61">
      <c r="L7" s="6" t="s">
        <v>34</v>
      </c>
      <c r="M7" s="6"/>
      <c r="S7" s="1"/>
      <c r="T7" s="1"/>
      <c r="U7" s="1"/>
      <c r="Z7" s="1"/>
      <c r="AA7" s="1"/>
      <c r="AB7" s="1"/>
      <c r="AE7" s="1"/>
      <c r="AF7" s="1"/>
      <c r="AG7" s="1"/>
      <c r="AH7"/>
      <c r="AI7"/>
      <c r="BD7" s="3" t="s">
        <v>304</v>
      </c>
      <c r="BF7" s="3" t="s">
        <v>304</v>
      </c>
      <c r="BH7" s="3" t="s">
        <v>304</v>
      </c>
    </row>
    <row r="8" spans="1:6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O8" s="7"/>
      <c r="P8" s="7"/>
      <c r="Q8" s="7"/>
      <c r="S8" s="7"/>
      <c r="T8" s="1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/>
      <c r="AI8"/>
      <c r="AO8" s="20" t="s">
        <v>186</v>
      </c>
      <c r="AQ8" s="20" t="s">
        <v>186</v>
      </c>
      <c r="AS8" s="20" t="s">
        <v>186</v>
      </c>
      <c r="AU8" s="20" t="s">
        <v>186</v>
      </c>
      <c r="AW8" s="20" t="s">
        <v>186</v>
      </c>
      <c r="AY8" s="20" t="s">
        <v>186</v>
      </c>
      <c r="BA8" s="20" t="s">
        <v>186</v>
      </c>
      <c r="BC8" s="20" t="s">
        <v>186</v>
      </c>
      <c r="BD8" s="3" t="s">
        <v>305</v>
      </c>
      <c r="BE8" s="20" t="s">
        <v>186</v>
      </c>
      <c r="BF8" s="3" t="s">
        <v>305</v>
      </c>
      <c r="BG8" s="382" t="s">
        <v>186</v>
      </c>
      <c r="BH8" s="3" t="s">
        <v>305</v>
      </c>
      <c r="BI8" s="385" t="s">
        <v>186</v>
      </c>
    </row>
    <row r="9" spans="1:61" ht="13.5" thickBot="1">
      <c r="A9" s="8" t="s">
        <v>1</v>
      </c>
      <c r="B9" s="396" t="s">
        <v>184</v>
      </c>
      <c r="C9" s="396" t="s">
        <v>194</v>
      </c>
      <c r="D9" s="396" t="s">
        <v>208</v>
      </c>
      <c r="E9" s="396" t="s">
        <v>243</v>
      </c>
      <c r="F9" s="396" t="s">
        <v>256</v>
      </c>
      <c r="G9" s="397" t="s">
        <v>269</v>
      </c>
      <c r="H9" s="397" t="s">
        <v>283</v>
      </c>
      <c r="I9" s="397" t="s">
        <v>303</v>
      </c>
      <c r="J9" s="397" t="s">
        <v>330</v>
      </c>
      <c r="K9" s="397" t="s">
        <v>360</v>
      </c>
      <c r="L9" s="330" t="s">
        <v>84</v>
      </c>
      <c r="M9" s="330" t="s">
        <v>84</v>
      </c>
      <c r="N9" s="10" t="s">
        <v>2</v>
      </c>
      <c r="O9" s="9" t="s">
        <v>35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8" t="s">
        <v>71</v>
      </c>
      <c r="V9" s="8" t="s">
        <v>66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40" t="s">
        <v>105</v>
      </c>
      <c r="AE9" s="330" t="s">
        <v>161</v>
      </c>
      <c r="AF9" s="387" t="s">
        <v>168</v>
      </c>
      <c r="AG9" s="34"/>
      <c r="AH9" s="9" t="s">
        <v>104</v>
      </c>
      <c r="AI9" s="9" t="s">
        <v>104</v>
      </c>
      <c r="AJ9" s="9" t="s">
        <v>105</v>
      </c>
      <c r="AK9" s="9" t="s">
        <v>105</v>
      </c>
      <c r="AL9" s="125" t="s">
        <v>161</v>
      </c>
      <c r="AM9" s="125" t="s">
        <v>161</v>
      </c>
      <c r="AN9" s="20" t="s">
        <v>168</v>
      </c>
      <c r="AO9" s="20" t="s">
        <v>168</v>
      </c>
      <c r="AP9" s="20" t="s">
        <v>184</v>
      </c>
      <c r="AQ9" s="20" t="s">
        <v>184</v>
      </c>
      <c r="AR9" s="20" t="s">
        <v>194</v>
      </c>
      <c r="AS9" s="20" t="s">
        <v>194</v>
      </c>
      <c r="AT9" s="20" t="s">
        <v>208</v>
      </c>
      <c r="AU9" s="20" t="s">
        <v>208</v>
      </c>
      <c r="AV9" s="20" t="s">
        <v>243</v>
      </c>
      <c r="AW9" s="20" t="s">
        <v>243</v>
      </c>
      <c r="AX9" s="20" t="s">
        <v>256</v>
      </c>
      <c r="AY9" s="20" t="s">
        <v>256</v>
      </c>
      <c r="AZ9" s="20" t="s">
        <v>269</v>
      </c>
      <c r="BA9" s="20" t="s">
        <v>269</v>
      </c>
      <c r="BB9" s="20" t="s">
        <v>283</v>
      </c>
      <c r="BC9" s="20" t="s">
        <v>283</v>
      </c>
      <c r="BD9" s="382" t="s">
        <v>303</v>
      </c>
      <c r="BE9" s="382" t="s">
        <v>303</v>
      </c>
      <c r="BF9" s="3" t="s">
        <v>330</v>
      </c>
      <c r="BG9" s="3" t="s">
        <v>330</v>
      </c>
      <c r="BH9" s="3" t="s">
        <v>360</v>
      </c>
      <c r="BI9" s="3" t="s">
        <v>360</v>
      </c>
    </row>
    <row r="10" spans="1:61" ht="13.5" thickTop="1">
      <c r="A10" s="7" t="s">
        <v>5</v>
      </c>
      <c r="B10" s="35">
        <f>SUM(B12:B39)</f>
        <v>8871421</v>
      </c>
      <c r="C10" s="35">
        <f t="shared" ref="C10:K10" si="0">SUM(C12:C39)</f>
        <v>9921461.9090199992</v>
      </c>
      <c r="D10" s="35">
        <f t="shared" si="0"/>
        <v>10748937</v>
      </c>
      <c r="E10" s="35">
        <f t="shared" si="0"/>
        <v>11647897.804180002</v>
      </c>
      <c r="F10" s="35">
        <f t="shared" si="0"/>
        <v>12951089.862099998</v>
      </c>
      <c r="G10" s="35">
        <f t="shared" si="0"/>
        <v>13104083.618929997</v>
      </c>
      <c r="H10" s="35">
        <f t="shared" si="0"/>
        <v>13367580.193198999</v>
      </c>
      <c r="I10" s="35">
        <f t="shared" si="0"/>
        <v>13452227.044559995</v>
      </c>
      <c r="J10" s="35">
        <f t="shared" si="0"/>
        <v>13873166.474529998</v>
      </c>
      <c r="K10" s="35">
        <f t="shared" si="0"/>
        <v>13908869.629529998</v>
      </c>
      <c r="L10" s="239">
        <f>(K10-J10)*100/J10</f>
        <v>0.25735404433838094</v>
      </c>
      <c r="M10" s="48">
        <f>(K10-AF10)*100/AF10</f>
        <v>58.110241289010418</v>
      </c>
      <c r="N10" s="13">
        <f>SUM(N12:N39)</f>
        <v>2708782</v>
      </c>
      <c r="O10" s="13">
        <f t="shared" ref="O10:U10" si="1">SUM(O12:O39)</f>
        <v>2924289</v>
      </c>
      <c r="P10" s="13">
        <f t="shared" si="1"/>
        <v>3241664</v>
      </c>
      <c r="Q10" s="13">
        <f t="shared" si="1"/>
        <v>3533901</v>
      </c>
      <c r="R10" s="13">
        <f t="shared" si="1"/>
        <v>3853453</v>
      </c>
      <c r="S10" s="13">
        <f t="shared" si="1"/>
        <v>4337276</v>
      </c>
      <c r="T10" s="13">
        <f t="shared" si="1"/>
        <v>4603016</v>
      </c>
      <c r="U10" s="13">
        <f t="shared" si="1"/>
        <v>4671600</v>
      </c>
      <c r="V10" s="11">
        <f t="shared" ref="V10:AF10" si="2">SUM(V12:V43)</f>
        <v>4971938</v>
      </c>
      <c r="W10" s="35">
        <f t="shared" si="2"/>
        <v>5232243</v>
      </c>
      <c r="X10" s="35">
        <f t="shared" si="2"/>
        <v>5617081</v>
      </c>
      <c r="Y10" s="35">
        <f t="shared" si="2"/>
        <v>5825906</v>
      </c>
      <c r="Z10" s="35">
        <f t="shared" si="2"/>
        <v>6192537</v>
      </c>
      <c r="AA10" s="35">
        <f t="shared" si="2"/>
        <v>6508317</v>
      </c>
      <c r="AB10" s="35">
        <f t="shared" si="2"/>
        <v>6888280</v>
      </c>
      <c r="AC10" s="35">
        <f t="shared" si="2"/>
        <v>7380283</v>
      </c>
      <c r="AD10" s="35">
        <f t="shared" si="2"/>
        <v>7970074</v>
      </c>
      <c r="AE10" s="35">
        <f t="shared" si="2"/>
        <v>8486725.6289999988</v>
      </c>
      <c r="AF10" s="35">
        <f t="shared" si="2"/>
        <v>8796944.1549999993</v>
      </c>
      <c r="AG10" s="35">
        <f>SUM(AG12:AG43)</f>
        <v>7386769609.5300007</v>
      </c>
      <c r="AH10" s="35">
        <f>SUM(AH12:AH43)</f>
        <v>7380281738</v>
      </c>
      <c r="AI10" s="35">
        <f t="shared" ref="AI10:BI10" si="3">SUM(AI12:AI43)</f>
        <v>7380281.7380000008</v>
      </c>
      <c r="AJ10" s="35">
        <f t="shared" si="3"/>
        <v>7970072299</v>
      </c>
      <c r="AK10" s="35">
        <f t="shared" si="3"/>
        <v>7970072.2990000006</v>
      </c>
      <c r="AL10" s="35">
        <f t="shared" si="3"/>
        <v>8486725629</v>
      </c>
      <c r="AM10" s="35">
        <f t="shared" si="3"/>
        <v>8486725.6289999988</v>
      </c>
      <c r="AN10" s="35">
        <f t="shared" si="3"/>
        <v>8796944155</v>
      </c>
      <c r="AO10" s="35">
        <f t="shared" si="3"/>
        <v>8796944.1549999993</v>
      </c>
      <c r="AP10" s="35">
        <f t="shared" si="3"/>
        <v>8871421850</v>
      </c>
      <c r="AQ10" s="35">
        <f t="shared" si="3"/>
        <v>8871421.8500000034</v>
      </c>
      <c r="AR10" s="35">
        <f t="shared" si="3"/>
        <v>9921461909.0200005</v>
      </c>
      <c r="AS10" s="35">
        <f t="shared" si="3"/>
        <v>9921461.9090199992</v>
      </c>
      <c r="AT10" s="35">
        <f t="shared" si="3"/>
        <v>10748933765</v>
      </c>
      <c r="AU10" s="35">
        <f t="shared" si="3"/>
        <v>10748933.765000002</v>
      </c>
      <c r="AV10" s="35">
        <f t="shared" si="3"/>
        <v>11647897804.179996</v>
      </c>
      <c r="AW10" s="35">
        <f t="shared" si="3"/>
        <v>11647897.804180002</v>
      </c>
      <c r="AX10" s="35">
        <f t="shared" si="3"/>
        <v>12951089862.100002</v>
      </c>
      <c r="AY10" s="35">
        <f t="shared" si="3"/>
        <v>12951089.862099998</v>
      </c>
      <c r="AZ10" s="35">
        <f t="shared" si="3"/>
        <v>13104083618.929998</v>
      </c>
      <c r="BA10" s="35">
        <f t="shared" si="3"/>
        <v>13104083.618929997</v>
      </c>
      <c r="BB10" s="35">
        <f t="shared" si="3"/>
        <v>13367580193.198997</v>
      </c>
      <c r="BC10" s="35">
        <f t="shared" si="3"/>
        <v>13367580.193198999</v>
      </c>
      <c r="BD10" s="35">
        <f t="shared" si="3"/>
        <v>13452227044.560001</v>
      </c>
      <c r="BE10" s="35">
        <f t="shared" si="3"/>
        <v>13452227.044559995</v>
      </c>
      <c r="BF10" s="35">
        <f t="shared" si="3"/>
        <v>13873166474.529999</v>
      </c>
      <c r="BG10" s="35">
        <f t="shared" si="3"/>
        <v>13873166.474529998</v>
      </c>
      <c r="BH10" s="35">
        <f t="shared" si="3"/>
        <v>13908869629.530003</v>
      </c>
      <c r="BI10" s="35">
        <f t="shared" si="3"/>
        <v>13908869.629529998</v>
      </c>
    </row>
    <row r="11" spans="1:61">
      <c r="B11" s="36"/>
      <c r="C11" s="36"/>
      <c r="D11" s="36"/>
      <c r="E11" s="36"/>
      <c r="F11" s="36"/>
      <c r="G11" s="36"/>
      <c r="H11" s="36"/>
      <c r="I11" s="36"/>
      <c r="J11" s="36"/>
      <c r="K11" s="14"/>
      <c r="L11" s="15"/>
      <c r="M11" s="16"/>
      <c r="O11" s="14"/>
      <c r="R11" s="14"/>
      <c r="S11" s="14"/>
      <c r="T11" s="1"/>
      <c r="U11" s="1"/>
      <c r="W11" s="30"/>
      <c r="X11" s="36"/>
      <c r="Y11" s="36"/>
      <c r="Z11" s="36"/>
      <c r="AA11" s="36"/>
      <c r="AB11" s="36"/>
      <c r="AC11" s="36"/>
      <c r="AD11" s="36"/>
      <c r="AE11" s="36"/>
      <c r="AF11" s="36"/>
      <c r="AG11" s="36">
        <f>AG10-AH10</f>
        <v>6487871.5300006866</v>
      </c>
      <c r="AH11"/>
      <c r="AR11" s="196"/>
    </row>
    <row r="12" spans="1:61">
      <c r="A12" s="1" t="s">
        <v>6</v>
      </c>
      <c r="B12" s="80">
        <v>97244</v>
      </c>
      <c r="C12" s="80">
        <v>101974.58732999999</v>
      </c>
      <c r="D12" s="80">
        <v>121410</v>
      </c>
      <c r="E12" s="80">
        <v>139975.17521000002</v>
      </c>
      <c r="F12" s="80">
        <v>141562.17727000001</v>
      </c>
      <c r="G12" s="80">
        <v>146789.86890999996</v>
      </c>
      <c r="H12" s="80">
        <v>145363.37399999998</v>
      </c>
      <c r="I12" s="80">
        <v>141304.3634</v>
      </c>
      <c r="J12" s="80">
        <v>136616.04762999999</v>
      </c>
      <c r="K12" s="80">
        <v>130550.4295</v>
      </c>
      <c r="L12" s="239">
        <f>(K12-J12)*100/J12</f>
        <v>-4.4399016332456229</v>
      </c>
      <c r="M12" s="48">
        <f t="shared" ref="M12:M39" si="4">(K12-AF12)*100/AF12</f>
        <v>35.893095070236299</v>
      </c>
      <c r="N12" s="14">
        <v>40216</v>
      </c>
      <c r="O12" s="14">
        <v>44130</v>
      </c>
      <c r="P12" s="14">
        <v>43732</v>
      </c>
      <c r="Q12" s="14">
        <v>46910</v>
      </c>
      <c r="R12" s="14">
        <v>50090</v>
      </c>
      <c r="S12" s="14">
        <v>52425</v>
      </c>
      <c r="T12" s="14">
        <v>56429</v>
      </c>
      <c r="U12" s="14">
        <v>67849</v>
      </c>
      <c r="V12" s="14">
        <v>61522</v>
      </c>
      <c r="W12" s="36">
        <v>65486</v>
      </c>
      <c r="X12" s="36">
        <v>69064</v>
      </c>
      <c r="Y12" s="36">
        <v>73297</v>
      </c>
      <c r="Z12" s="36">
        <v>77600</v>
      </c>
      <c r="AA12" s="36">
        <v>78292</v>
      </c>
      <c r="AB12" s="36">
        <v>84288</v>
      </c>
      <c r="AC12" s="36">
        <v>88134</v>
      </c>
      <c r="AD12" s="80">
        <v>86729</v>
      </c>
      <c r="AE12" s="80">
        <v>89967.486999999994</v>
      </c>
      <c r="AF12" s="80">
        <v>96068.479000000007</v>
      </c>
      <c r="AG12" s="36">
        <v>88733764.050000012</v>
      </c>
      <c r="AH12">
        <v>88133764</v>
      </c>
      <c r="AI12" s="3">
        <f>AH12/1000</f>
        <v>88133.763999999996</v>
      </c>
      <c r="AJ12" s="3">
        <v>86728743</v>
      </c>
      <c r="AK12" s="3">
        <f>AJ12/1000</f>
        <v>86728.743000000002</v>
      </c>
      <c r="AL12" s="3">
        <v>89967487</v>
      </c>
      <c r="AM12" s="3">
        <f>AL12/1000</f>
        <v>89967.486999999994</v>
      </c>
      <c r="AN12" s="3">
        <v>96068479</v>
      </c>
      <c r="AO12" s="3">
        <f>AN12/1000</f>
        <v>96068.479000000007</v>
      </c>
      <c r="AP12" s="3">
        <v>97244376</v>
      </c>
      <c r="AQ12" s="3">
        <f>AP12/1000</f>
        <v>97244.376000000004</v>
      </c>
      <c r="AR12" s="59">
        <v>101974587.33</v>
      </c>
      <c r="AS12" s="3">
        <f>AR12/1000</f>
        <v>101974.58732999999</v>
      </c>
      <c r="AT12" s="3">
        <v>121409731</v>
      </c>
      <c r="AU12" s="3">
        <f>AT12/1000</f>
        <v>121409.731</v>
      </c>
      <c r="AV12" s="3">
        <v>139975175.21000001</v>
      </c>
      <c r="AW12" s="3">
        <f>AV12/1000</f>
        <v>139975.17521000002</v>
      </c>
      <c r="AX12" s="3">
        <v>141562177.27000001</v>
      </c>
      <c r="AY12" s="3">
        <f>AX12/1000</f>
        <v>141562.17727000001</v>
      </c>
      <c r="AZ12" s="3">
        <v>146789868.90999997</v>
      </c>
      <c r="BA12" s="3">
        <f>AZ12/1000</f>
        <v>146789.86890999996</v>
      </c>
      <c r="BB12" s="3">
        <v>145363373.99999997</v>
      </c>
      <c r="BC12" s="3">
        <f>BB12/1000</f>
        <v>145363.37399999998</v>
      </c>
      <c r="BD12" s="3">
        <v>141304363.40000001</v>
      </c>
      <c r="BE12" s="3">
        <f t="shared" ref="BE12:BE16" si="5">BD12/1000</f>
        <v>141304.3634</v>
      </c>
      <c r="BF12" s="3">
        <v>136616047.63</v>
      </c>
      <c r="BG12" s="3">
        <f>BF12/1000</f>
        <v>136616.04762999999</v>
      </c>
      <c r="BH12" s="3">
        <v>130550429.5</v>
      </c>
      <c r="BI12" s="3">
        <f>BH12/1000</f>
        <v>130550.4295</v>
      </c>
    </row>
    <row r="13" spans="1:61">
      <c r="A13" s="1" t="s">
        <v>7</v>
      </c>
      <c r="B13" s="80">
        <v>742213</v>
      </c>
      <c r="C13" s="80">
        <v>799110.91786000005</v>
      </c>
      <c r="D13" s="80">
        <v>859943</v>
      </c>
      <c r="E13" s="80">
        <v>943786.00199000002</v>
      </c>
      <c r="F13" s="80">
        <v>988180.42905999999</v>
      </c>
      <c r="G13" s="80">
        <v>1093873.5094699997</v>
      </c>
      <c r="H13" s="80">
        <v>1103768.2330589998</v>
      </c>
      <c r="I13" s="80">
        <v>1162851.57534</v>
      </c>
      <c r="J13" s="80">
        <v>1161313.9591499998</v>
      </c>
      <c r="K13" s="373">
        <v>1197653.92423</v>
      </c>
      <c r="L13" s="239">
        <f t="shared" ref="L13:L39" si="6">(K13-J13)*100/J13</f>
        <v>3.1292110797151298</v>
      </c>
      <c r="M13" s="48">
        <f t="shared" si="4"/>
        <v>68.94311842434108</v>
      </c>
      <c r="N13" s="14">
        <v>245797</v>
      </c>
      <c r="O13" s="14">
        <v>266658</v>
      </c>
      <c r="P13" s="14">
        <v>301791</v>
      </c>
      <c r="Q13" s="14">
        <v>317808</v>
      </c>
      <c r="R13" s="14">
        <v>337324</v>
      </c>
      <c r="S13" s="14">
        <v>371453</v>
      </c>
      <c r="T13" s="14">
        <v>403374</v>
      </c>
      <c r="U13" s="14">
        <v>405915</v>
      </c>
      <c r="V13" s="14">
        <v>431330</v>
      </c>
      <c r="W13" s="36">
        <v>452325</v>
      </c>
      <c r="X13" s="36">
        <v>491436</v>
      </c>
      <c r="Y13" s="36">
        <v>507045</v>
      </c>
      <c r="Z13" s="36">
        <v>535596</v>
      </c>
      <c r="AA13" s="36">
        <v>550200</v>
      </c>
      <c r="AB13" s="36">
        <v>564022</v>
      </c>
      <c r="AC13" s="36">
        <v>619799</v>
      </c>
      <c r="AD13" s="80">
        <v>681194</v>
      </c>
      <c r="AE13" s="80">
        <v>712513.87899999996</v>
      </c>
      <c r="AF13" s="80">
        <v>708909.56400000001</v>
      </c>
      <c r="AG13" s="36">
        <v>619799326.57000005</v>
      </c>
      <c r="AH13">
        <v>619799327</v>
      </c>
      <c r="AI13" s="3">
        <f>AH13/1000</f>
        <v>619799.32700000005</v>
      </c>
      <c r="AJ13" s="3">
        <v>681193515</v>
      </c>
      <c r="AK13" s="3">
        <f>AJ13/1000</f>
        <v>681193.51500000001</v>
      </c>
      <c r="AL13" s="3">
        <v>712513879</v>
      </c>
      <c r="AM13" s="3">
        <f>AL13/1000</f>
        <v>712513.87899999996</v>
      </c>
      <c r="AN13" s="3">
        <v>708909564</v>
      </c>
      <c r="AO13" s="3">
        <f>AN13/1000</f>
        <v>708909.56400000001</v>
      </c>
      <c r="AP13" s="3">
        <v>742213137</v>
      </c>
      <c r="AQ13" s="3">
        <f>AP13/1000</f>
        <v>742213.13699999999</v>
      </c>
      <c r="AR13" s="59">
        <v>799110917.86000001</v>
      </c>
      <c r="AS13" s="3">
        <f>AR13/1000</f>
        <v>799110.91786000005</v>
      </c>
      <c r="AT13" s="3">
        <v>859943273</v>
      </c>
      <c r="AU13" s="3">
        <f>AT13/1000</f>
        <v>859943.27300000004</v>
      </c>
      <c r="AV13" s="3">
        <v>943786001.99000001</v>
      </c>
      <c r="AW13" s="3">
        <f>AV13/1000</f>
        <v>943786.00199000002</v>
      </c>
      <c r="AX13" s="3">
        <v>988180429.05999994</v>
      </c>
      <c r="AY13" s="3">
        <f>AX13/1000</f>
        <v>988180.42905999999</v>
      </c>
      <c r="AZ13" s="3">
        <v>1093873509.4699998</v>
      </c>
      <c r="BA13" s="3">
        <f>AZ13/1000</f>
        <v>1093873.5094699997</v>
      </c>
      <c r="BB13" s="3">
        <v>1103768233.0589998</v>
      </c>
      <c r="BC13" s="3">
        <f>BB13/1000</f>
        <v>1103768.2330589998</v>
      </c>
      <c r="BD13" s="3">
        <v>1162851575.3399999</v>
      </c>
      <c r="BE13" s="3">
        <f t="shared" si="5"/>
        <v>1162851.57534</v>
      </c>
      <c r="BF13" s="3">
        <v>1161313959.1499999</v>
      </c>
      <c r="BG13" s="3">
        <f t="shared" ref="BG13:BG16" si="7">BF13/1000</f>
        <v>1161313.9591499998</v>
      </c>
      <c r="BH13" s="3">
        <v>1197653924.23</v>
      </c>
      <c r="BI13" s="3">
        <f t="shared" ref="BI13:BI39" si="8">BH13/1000</f>
        <v>1197653.92423</v>
      </c>
    </row>
    <row r="14" spans="1:61">
      <c r="A14" s="1" t="s">
        <v>8</v>
      </c>
      <c r="B14" s="80">
        <v>957892</v>
      </c>
      <c r="C14" s="80">
        <v>1045496.8239099998</v>
      </c>
      <c r="D14" s="80">
        <v>1105804</v>
      </c>
      <c r="E14" s="80">
        <v>1252925.98404</v>
      </c>
      <c r="F14" s="80">
        <v>1392830.1802500002</v>
      </c>
      <c r="G14" s="80">
        <v>1386803.7512599998</v>
      </c>
      <c r="H14" s="80">
        <v>1433277.0148400001</v>
      </c>
      <c r="I14" s="80">
        <v>1505682.5192199999</v>
      </c>
      <c r="J14" s="80">
        <v>1474627.8245000003</v>
      </c>
      <c r="K14" s="373">
        <v>1434490.3243100005</v>
      </c>
      <c r="L14" s="239">
        <f t="shared" si="6"/>
        <v>-2.7218732430746839</v>
      </c>
      <c r="M14" s="48">
        <f t="shared" si="4"/>
        <v>33.309620786316806</v>
      </c>
      <c r="N14" s="14">
        <v>402602</v>
      </c>
      <c r="O14" s="14">
        <v>431547</v>
      </c>
      <c r="P14" s="14">
        <v>453401</v>
      </c>
      <c r="Q14" s="14">
        <v>479472</v>
      </c>
      <c r="R14" s="14">
        <v>533182</v>
      </c>
      <c r="S14" s="14">
        <v>565707</v>
      </c>
      <c r="T14" s="14">
        <v>605864</v>
      </c>
      <c r="U14" s="14">
        <v>621887</v>
      </c>
      <c r="V14" s="14">
        <v>677728</v>
      </c>
      <c r="W14" s="36">
        <v>684951</v>
      </c>
      <c r="X14" s="36">
        <v>698404</v>
      </c>
      <c r="Y14" s="36">
        <v>733243</v>
      </c>
      <c r="Z14" s="36">
        <v>762726</v>
      </c>
      <c r="AA14" s="36">
        <v>830744</v>
      </c>
      <c r="AB14" s="36">
        <v>888189</v>
      </c>
      <c r="AC14" s="36">
        <v>921335</v>
      </c>
      <c r="AD14" s="80">
        <v>997820</v>
      </c>
      <c r="AE14" s="80">
        <v>1001469.9570000001</v>
      </c>
      <c r="AF14" s="80">
        <v>1076059.1140000001</v>
      </c>
      <c r="AG14" s="395">
        <v>921352844.07999992</v>
      </c>
      <c r="AH14">
        <v>921334959</v>
      </c>
      <c r="AI14" s="3">
        <f>AH14/1000</f>
        <v>921334.95900000003</v>
      </c>
      <c r="AJ14" s="3">
        <v>997820032</v>
      </c>
      <c r="AK14" s="3">
        <f>AJ14/1000</f>
        <v>997820.03200000001</v>
      </c>
      <c r="AL14" s="3">
        <v>1001469957</v>
      </c>
      <c r="AM14" s="3">
        <f>AL14/1000</f>
        <v>1001469.9570000001</v>
      </c>
      <c r="AN14" s="3">
        <v>1076059114</v>
      </c>
      <c r="AO14" s="3">
        <f>AN14/1000</f>
        <v>1076059.1140000001</v>
      </c>
      <c r="AP14" s="3">
        <v>957891794</v>
      </c>
      <c r="AQ14" s="3">
        <f>AP14/1000</f>
        <v>957891.79399999999</v>
      </c>
      <c r="AR14" s="59">
        <v>1045496823.9099998</v>
      </c>
      <c r="AS14" s="3">
        <f>AR14/1000</f>
        <v>1045496.8239099998</v>
      </c>
      <c r="AT14" s="3">
        <v>1105804209</v>
      </c>
      <c r="AU14" s="3">
        <f>AT14/1000</f>
        <v>1105804.209</v>
      </c>
      <c r="AV14" s="3">
        <v>1252925984.04</v>
      </c>
      <c r="AW14" s="3">
        <f>AV14/1000</f>
        <v>1252925.98404</v>
      </c>
      <c r="AX14" s="3">
        <v>1392830180.2500002</v>
      </c>
      <c r="AY14" s="3">
        <f>AX14/1000</f>
        <v>1392830.1802500002</v>
      </c>
      <c r="AZ14" s="3">
        <v>1386803751.2599998</v>
      </c>
      <c r="BA14" s="3">
        <f>AZ14/1000</f>
        <v>1386803.7512599998</v>
      </c>
      <c r="BB14" s="3">
        <v>1433277014.8400002</v>
      </c>
      <c r="BC14" s="3">
        <f>BB14/1000</f>
        <v>1433277.0148400001</v>
      </c>
      <c r="BD14" s="3">
        <v>1505682519.2199998</v>
      </c>
      <c r="BE14" s="3">
        <f t="shared" si="5"/>
        <v>1505682.5192199999</v>
      </c>
      <c r="BF14" s="3">
        <v>1474627824.5000002</v>
      </c>
      <c r="BG14" s="3">
        <f t="shared" si="7"/>
        <v>1474627.8245000003</v>
      </c>
      <c r="BH14" s="3">
        <v>1434490324.3100004</v>
      </c>
      <c r="BI14" s="3">
        <f t="shared" si="8"/>
        <v>1434490.3243100005</v>
      </c>
    </row>
    <row r="15" spans="1:61">
      <c r="A15" s="1" t="s">
        <v>9</v>
      </c>
      <c r="B15" s="80">
        <v>1073412</v>
      </c>
      <c r="C15" s="80">
        <v>1148335.1986699998</v>
      </c>
      <c r="D15" s="80">
        <v>1239844</v>
      </c>
      <c r="E15" s="80">
        <v>1404302.4085599999</v>
      </c>
      <c r="F15" s="80">
        <v>1493312.4894600001</v>
      </c>
      <c r="G15" s="80">
        <v>1459834.9080699999</v>
      </c>
      <c r="H15" s="80">
        <v>1526527.9328099999</v>
      </c>
      <c r="I15" s="80">
        <v>1535340.1957100001</v>
      </c>
      <c r="J15" s="80">
        <v>1589760.36625</v>
      </c>
      <c r="K15" s="373">
        <v>1579044.73887</v>
      </c>
      <c r="L15" s="239">
        <f t="shared" si="6"/>
        <v>-0.67404041561788819</v>
      </c>
      <c r="M15" s="48">
        <f t="shared" si="4"/>
        <v>43.267820321799036</v>
      </c>
      <c r="N15" s="14">
        <v>372872</v>
      </c>
      <c r="O15" s="14">
        <v>393270</v>
      </c>
      <c r="P15" s="14">
        <v>420581</v>
      </c>
      <c r="Q15" s="14">
        <v>440904</v>
      </c>
      <c r="R15" s="14">
        <v>494175</v>
      </c>
      <c r="S15" s="14">
        <v>553595</v>
      </c>
      <c r="T15" s="14">
        <v>562784</v>
      </c>
      <c r="U15" s="14">
        <v>586465</v>
      </c>
      <c r="V15" s="14">
        <v>617863</v>
      </c>
      <c r="W15" s="36">
        <v>638189</v>
      </c>
      <c r="X15" s="36">
        <v>704416</v>
      </c>
      <c r="Y15" s="36">
        <v>709758</v>
      </c>
      <c r="Z15" s="36">
        <v>760873</v>
      </c>
      <c r="AA15" s="36">
        <v>819191</v>
      </c>
      <c r="AB15" s="36">
        <v>849132</v>
      </c>
      <c r="AC15" s="36">
        <v>898621</v>
      </c>
      <c r="AD15" s="80">
        <v>1017545</v>
      </c>
      <c r="AE15" s="80">
        <v>1117148.9750000001</v>
      </c>
      <c r="AF15" s="80">
        <v>1102162.8829999999</v>
      </c>
      <c r="AG15" s="395">
        <v>898606186.57000005</v>
      </c>
      <c r="AH15">
        <v>898620977</v>
      </c>
      <c r="AI15" s="3">
        <f>AH15/1000</f>
        <v>898620.97699999996</v>
      </c>
      <c r="AJ15" s="3">
        <v>1017544972</v>
      </c>
      <c r="AK15" s="3">
        <f>AJ15/1000</f>
        <v>1017544.972</v>
      </c>
      <c r="AL15" s="3">
        <v>1117148975</v>
      </c>
      <c r="AM15" s="3">
        <f>AL15/1000</f>
        <v>1117148.9750000001</v>
      </c>
      <c r="AN15" s="3">
        <v>1102162883</v>
      </c>
      <c r="AO15" s="3">
        <f>AN15/1000</f>
        <v>1102162.8829999999</v>
      </c>
      <c r="AP15" s="3">
        <v>1073411984</v>
      </c>
      <c r="AQ15" s="3">
        <f>AP15/1000</f>
        <v>1073411.9839999999</v>
      </c>
      <c r="AR15" s="59">
        <v>1148335198.6699998</v>
      </c>
      <c r="AS15" s="3">
        <f>AR15/1000</f>
        <v>1148335.1986699998</v>
      </c>
      <c r="AT15" s="3">
        <v>1239843519</v>
      </c>
      <c r="AU15" s="3">
        <f>AT15/1000</f>
        <v>1239843.5190000001</v>
      </c>
      <c r="AV15" s="3">
        <v>1404302408.5599999</v>
      </c>
      <c r="AW15" s="3">
        <f>AV15/1000</f>
        <v>1404302.4085599999</v>
      </c>
      <c r="AX15" s="3">
        <v>1493312489.46</v>
      </c>
      <c r="AY15" s="3">
        <f>AX15/1000</f>
        <v>1493312.4894600001</v>
      </c>
      <c r="AZ15" s="3">
        <v>1459834908.0699999</v>
      </c>
      <c r="BA15" s="3">
        <f>AZ15/1000</f>
        <v>1459834.9080699999</v>
      </c>
      <c r="BB15" s="3">
        <v>1526527932.8099999</v>
      </c>
      <c r="BC15" s="3">
        <f>BB15/1000</f>
        <v>1526527.9328099999</v>
      </c>
      <c r="BD15" s="3">
        <v>1535340195.71</v>
      </c>
      <c r="BE15" s="3">
        <f t="shared" si="5"/>
        <v>1535340.1957100001</v>
      </c>
      <c r="BF15" s="3">
        <v>1589760366.25</v>
      </c>
      <c r="BG15" s="3">
        <f t="shared" si="7"/>
        <v>1589760.36625</v>
      </c>
      <c r="BH15" s="3">
        <v>1579044738.8699999</v>
      </c>
      <c r="BI15" s="3">
        <f t="shared" si="8"/>
        <v>1579044.73887</v>
      </c>
    </row>
    <row r="16" spans="1:61">
      <c r="A16" s="1" t="s">
        <v>10</v>
      </c>
      <c r="B16" s="80">
        <v>160638</v>
      </c>
      <c r="C16" s="80">
        <v>177654.67630000005</v>
      </c>
      <c r="D16" s="80">
        <v>191961</v>
      </c>
      <c r="E16" s="80">
        <v>199417.17450000002</v>
      </c>
      <c r="F16" s="80">
        <v>233740.19377999994</v>
      </c>
      <c r="G16" s="80">
        <v>238818.71194000001</v>
      </c>
      <c r="H16" s="80">
        <v>237755.61757</v>
      </c>
      <c r="I16" s="80">
        <v>251503.95990999998</v>
      </c>
      <c r="J16" s="80">
        <v>245489.48892999996</v>
      </c>
      <c r="K16" s="373">
        <v>241790.14085</v>
      </c>
      <c r="L16" s="239">
        <f t="shared" si="6"/>
        <v>-1.5069272807255778</v>
      </c>
      <c r="M16" s="48">
        <f t="shared" si="4"/>
        <v>31.13779226479798</v>
      </c>
      <c r="N16" s="14">
        <v>30406</v>
      </c>
      <c r="O16" s="14">
        <v>36206</v>
      </c>
      <c r="P16" s="14">
        <v>35373</v>
      </c>
      <c r="Q16" s="14">
        <v>44557</v>
      </c>
      <c r="R16" s="14">
        <v>48491</v>
      </c>
      <c r="S16" s="14">
        <v>54724</v>
      </c>
      <c r="T16" s="14">
        <v>71576</v>
      </c>
      <c r="U16" s="14">
        <v>68097</v>
      </c>
      <c r="V16" s="14">
        <v>69997</v>
      </c>
      <c r="W16" s="36">
        <v>92305</v>
      </c>
      <c r="X16" s="36">
        <v>83839</v>
      </c>
      <c r="Y16" s="36">
        <v>95631</v>
      </c>
      <c r="Z16" s="36">
        <v>100862</v>
      </c>
      <c r="AA16" s="36">
        <v>98672</v>
      </c>
      <c r="AB16" s="36">
        <v>110946</v>
      </c>
      <c r="AC16" s="36">
        <v>124370</v>
      </c>
      <c r="AD16" s="80">
        <v>125232</v>
      </c>
      <c r="AE16" s="80">
        <v>137157.72500000001</v>
      </c>
      <c r="AF16" s="80">
        <v>184378.68799999999</v>
      </c>
      <c r="AG16" s="36">
        <v>124369630.11</v>
      </c>
      <c r="AH16">
        <v>124369630</v>
      </c>
      <c r="AI16" s="3">
        <f>AH16/1000</f>
        <v>124369.63</v>
      </c>
      <c r="AJ16" s="3">
        <v>125231801</v>
      </c>
      <c r="AK16" s="3">
        <f>AJ16/1000</f>
        <v>125231.80100000001</v>
      </c>
      <c r="AL16" s="3">
        <v>137157725</v>
      </c>
      <c r="AM16" s="3">
        <f>AL16/1000</f>
        <v>137157.72500000001</v>
      </c>
      <c r="AN16" s="3">
        <v>184378688</v>
      </c>
      <c r="AO16" s="3">
        <f>AN16/1000</f>
        <v>184378.68799999999</v>
      </c>
      <c r="AP16" s="3">
        <v>160637666</v>
      </c>
      <c r="AQ16" s="3">
        <f>AP16/1000</f>
        <v>160637.666</v>
      </c>
      <c r="AR16" s="59">
        <v>177654676.30000004</v>
      </c>
      <c r="AS16" s="3">
        <f>AR16/1000</f>
        <v>177654.67630000005</v>
      </c>
      <c r="AT16" s="3">
        <v>191960911</v>
      </c>
      <c r="AU16" s="3">
        <f>AT16/1000</f>
        <v>191960.91099999999</v>
      </c>
      <c r="AV16" s="3">
        <v>199417174.50000003</v>
      </c>
      <c r="AW16" s="3">
        <f>AV16/1000</f>
        <v>199417.17450000002</v>
      </c>
      <c r="AX16" s="3">
        <v>233740193.77999994</v>
      </c>
      <c r="AY16" s="3">
        <f>AX16/1000</f>
        <v>233740.19377999994</v>
      </c>
      <c r="AZ16" s="3">
        <v>238818711.94</v>
      </c>
      <c r="BA16" s="3">
        <f>AZ16/1000</f>
        <v>238818.71194000001</v>
      </c>
      <c r="BB16" s="3">
        <v>237755617.56999999</v>
      </c>
      <c r="BC16" s="3">
        <f>BB16/1000</f>
        <v>237755.61757</v>
      </c>
      <c r="BD16" s="3">
        <v>251503959.90999997</v>
      </c>
      <c r="BE16" s="3">
        <f t="shared" si="5"/>
        <v>251503.95990999998</v>
      </c>
      <c r="BF16" s="3">
        <v>245489488.92999998</v>
      </c>
      <c r="BG16" s="3">
        <f t="shared" si="7"/>
        <v>245489.48892999996</v>
      </c>
      <c r="BH16" s="3">
        <v>241790140.84999999</v>
      </c>
      <c r="BI16" s="3">
        <f t="shared" si="8"/>
        <v>241790.14085</v>
      </c>
    </row>
    <row r="17" spans="1:61">
      <c r="B17" s="80"/>
      <c r="C17" s="80"/>
      <c r="D17" s="80"/>
      <c r="E17" s="80"/>
      <c r="F17" s="80"/>
      <c r="G17" s="80"/>
      <c r="H17" s="80"/>
      <c r="I17" s="80"/>
      <c r="J17" s="80"/>
      <c r="K17" s="373"/>
      <c r="L17" s="239"/>
      <c r="M17" s="48"/>
      <c r="N17" s="14"/>
      <c r="P17" s="14"/>
      <c r="Q17" s="14"/>
      <c r="R17" s="14"/>
      <c r="S17" s="14"/>
      <c r="T17" s="14"/>
      <c r="U17" s="14"/>
      <c r="V17" s="14"/>
      <c r="W17" s="36"/>
      <c r="X17" s="36"/>
      <c r="Y17" s="36"/>
      <c r="Z17" s="36"/>
      <c r="AA17" s="36"/>
      <c r="AB17" s="36"/>
      <c r="AC17" s="36"/>
      <c r="AD17" s="80"/>
      <c r="AE17" s="80"/>
      <c r="AF17" s="80"/>
      <c r="AG17" s="36"/>
      <c r="AH17"/>
      <c r="AR17" s="59"/>
    </row>
    <row r="18" spans="1:61">
      <c r="A18" s="1" t="s">
        <v>11</v>
      </c>
      <c r="B18" s="80">
        <v>49083</v>
      </c>
      <c r="C18" s="80">
        <v>50481.52392</v>
      </c>
      <c r="D18" s="80">
        <v>57818</v>
      </c>
      <c r="E18" s="80">
        <v>68485.725390000007</v>
      </c>
      <c r="F18" s="80">
        <v>69196.189469999998</v>
      </c>
      <c r="G18" s="80">
        <v>72502.501829999994</v>
      </c>
      <c r="H18" s="80">
        <v>84147.872690000018</v>
      </c>
      <c r="I18" s="80">
        <v>74651.625289999996</v>
      </c>
      <c r="J18" s="80">
        <v>72952.204379999996</v>
      </c>
      <c r="K18" s="373">
        <v>73510.640220000001</v>
      </c>
      <c r="L18" s="239">
        <f t="shared" si="6"/>
        <v>0.76548179009255812</v>
      </c>
      <c r="M18" s="48">
        <f t="shared" si="4"/>
        <v>55.758959314614017</v>
      </c>
      <c r="N18" s="14">
        <v>14046</v>
      </c>
      <c r="O18" s="14">
        <v>15132</v>
      </c>
      <c r="P18" s="14">
        <v>16526</v>
      </c>
      <c r="Q18" s="14">
        <v>18279</v>
      </c>
      <c r="R18" s="14">
        <v>20044</v>
      </c>
      <c r="S18" s="14">
        <v>22471</v>
      </c>
      <c r="T18" s="14">
        <v>24085</v>
      </c>
      <c r="U18" s="14">
        <v>25273</v>
      </c>
      <c r="V18" s="14">
        <v>27067</v>
      </c>
      <c r="W18" s="36">
        <v>28462</v>
      </c>
      <c r="X18" s="36">
        <v>32190</v>
      </c>
      <c r="Y18" s="36">
        <v>33055</v>
      </c>
      <c r="Z18" s="36">
        <v>35188</v>
      </c>
      <c r="AA18" s="36">
        <v>37083</v>
      </c>
      <c r="AB18" s="36">
        <v>39270</v>
      </c>
      <c r="AC18" s="36">
        <v>41059</v>
      </c>
      <c r="AD18" s="80">
        <v>41718</v>
      </c>
      <c r="AE18" s="80">
        <v>49946.741999999998</v>
      </c>
      <c r="AF18" s="80">
        <v>47195.127999999997</v>
      </c>
      <c r="AG18" s="36">
        <v>41058686.780000001</v>
      </c>
      <c r="AH18">
        <v>41058687</v>
      </c>
      <c r="AI18" s="3">
        <f>AH18/1000</f>
        <v>41058.686999999998</v>
      </c>
      <c r="AJ18" s="3">
        <v>41717949</v>
      </c>
      <c r="AK18" s="3">
        <f>AJ18/1000</f>
        <v>41717.949000000001</v>
      </c>
      <c r="AL18" s="3">
        <v>49946742</v>
      </c>
      <c r="AM18" s="3">
        <f>AL18/1000</f>
        <v>49946.741999999998</v>
      </c>
      <c r="AN18" s="3">
        <v>47195128</v>
      </c>
      <c r="AO18" s="3">
        <f>AN18/1000</f>
        <v>47195.127999999997</v>
      </c>
      <c r="AP18" s="3">
        <v>49083362</v>
      </c>
      <c r="AQ18" s="3">
        <f>AP18/1000</f>
        <v>49083.362000000001</v>
      </c>
      <c r="AR18" s="59">
        <v>50481523.920000002</v>
      </c>
      <c r="AS18" s="3">
        <f>AR18/1000</f>
        <v>50481.52392</v>
      </c>
      <c r="AT18" s="3">
        <v>57817717</v>
      </c>
      <c r="AU18" s="3">
        <f>AT18/1000</f>
        <v>57817.716999999997</v>
      </c>
      <c r="AV18" s="3">
        <v>68485725.390000001</v>
      </c>
      <c r="AW18" s="3">
        <f>AV18/1000</f>
        <v>68485.725390000007</v>
      </c>
      <c r="AX18" s="3">
        <v>69196189.469999999</v>
      </c>
      <c r="AY18" s="3">
        <f>AX18/1000</f>
        <v>69196.189469999998</v>
      </c>
      <c r="AZ18" s="3">
        <v>72502501.829999998</v>
      </c>
      <c r="BA18" s="3">
        <f>AZ18/1000</f>
        <v>72502.501829999994</v>
      </c>
      <c r="BB18" s="3">
        <v>84147872.690000013</v>
      </c>
      <c r="BC18" s="3">
        <f>BB18/1000</f>
        <v>84147.872690000018</v>
      </c>
      <c r="BD18" s="3">
        <v>74651625.289999992</v>
      </c>
      <c r="BE18" s="3">
        <f t="shared" ref="BE18:BE22" si="9">BD18/1000</f>
        <v>74651.625289999996</v>
      </c>
      <c r="BF18" s="3">
        <v>72952204.379999995</v>
      </c>
      <c r="BG18" s="3">
        <f>BF18/1000</f>
        <v>72952.204379999996</v>
      </c>
      <c r="BH18" s="3">
        <v>73510640.219999999</v>
      </c>
      <c r="BI18" s="3">
        <f t="shared" si="8"/>
        <v>73510.640220000001</v>
      </c>
    </row>
    <row r="19" spans="1:61">
      <c r="A19" s="1" t="s">
        <v>12</v>
      </c>
      <c r="B19" s="80">
        <v>269083</v>
      </c>
      <c r="C19" s="80">
        <v>291475.52498000005</v>
      </c>
      <c r="D19" s="80">
        <v>307197</v>
      </c>
      <c r="E19" s="80">
        <v>346232.81180999998</v>
      </c>
      <c r="F19" s="80">
        <v>401295.56791000004</v>
      </c>
      <c r="G19" s="80">
        <v>419304.13888999994</v>
      </c>
      <c r="H19" s="80">
        <v>380939.56900000002</v>
      </c>
      <c r="I19" s="80">
        <v>367048.73621</v>
      </c>
      <c r="J19" s="80">
        <v>401261.36014</v>
      </c>
      <c r="K19" s="373">
        <v>377570.96633999993</v>
      </c>
      <c r="L19" s="239">
        <f t="shared" si="6"/>
        <v>-5.9039808347692651</v>
      </c>
      <c r="M19" s="48">
        <f t="shared" si="4"/>
        <v>54.467890302165536</v>
      </c>
      <c r="N19" s="14">
        <v>65616</v>
      </c>
      <c r="O19" s="14">
        <v>69747</v>
      </c>
      <c r="P19" s="14">
        <v>76961</v>
      </c>
      <c r="Q19" s="14">
        <v>87045</v>
      </c>
      <c r="R19" s="14">
        <v>97206</v>
      </c>
      <c r="S19" s="14">
        <v>107803</v>
      </c>
      <c r="T19" s="14">
        <v>126615</v>
      </c>
      <c r="U19" s="14">
        <v>136371</v>
      </c>
      <c r="V19" s="14">
        <v>137367</v>
      </c>
      <c r="W19" s="36">
        <v>147099</v>
      </c>
      <c r="X19" s="36">
        <v>165651</v>
      </c>
      <c r="Y19" s="36">
        <v>167603</v>
      </c>
      <c r="Z19" s="36">
        <v>185377</v>
      </c>
      <c r="AA19" s="36">
        <v>197513</v>
      </c>
      <c r="AB19" s="36">
        <v>208721</v>
      </c>
      <c r="AC19" s="36">
        <v>227382</v>
      </c>
      <c r="AD19" s="80">
        <v>241049</v>
      </c>
      <c r="AE19" s="80">
        <v>230735.28200000001</v>
      </c>
      <c r="AF19" s="80">
        <v>244433.30300000001</v>
      </c>
      <c r="AG19" s="36">
        <v>227382302.90000004</v>
      </c>
      <c r="AH19">
        <v>227382303</v>
      </c>
      <c r="AI19" s="3">
        <f>AH19/1000</f>
        <v>227382.30300000001</v>
      </c>
      <c r="AJ19" s="3">
        <v>241048911</v>
      </c>
      <c r="AK19" s="3">
        <f>AJ19/1000</f>
        <v>241048.91099999999</v>
      </c>
      <c r="AL19" s="3">
        <v>230735282</v>
      </c>
      <c r="AM19" s="3">
        <f>AL19/1000</f>
        <v>230735.28200000001</v>
      </c>
      <c r="AN19" s="3">
        <v>244433303</v>
      </c>
      <c r="AO19" s="3">
        <f>AN19/1000</f>
        <v>244433.30300000001</v>
      </c>
      <c r="AP19" s="3">
        <v>269083450</v>
      </c>
      <c r="AQ19" s="3">
        <f>AP19/1000</f>
        <v>269083.45</v>
      </c>
      <c r="AR19" s="59">
        <v>291475524.98000002</v>
      </c>
      <c r="AS19" s="3">
        <f>AR19/1000</f>
        <v>291475.52498000005</v>
      </c>
      <c r="AT19" s="3">
        <v>307196526</v>
      </c>
      <c r="AU19" s="3">
        <f>AT19/1000</f>
        <v>307196.52600000001</v>
      </c>
      <c r="AV19" s="3">
        <v>346232811.81</v>
      </c>
      <c r="AW19" s="3">
        <f>AV19/1000</f>
        <v>346232.81180999998</v>
      </c>
      <c r="AX19" s="3">
        <v>401295567.91000003</v>
      </c>
      <c r="AY19" s="3">
        <f>AX19/1000</f>
        <v>401295.56791000004</v>
      </c>
      <c r="AZ19" s="3">
        <v>419304138.88999993</v>
      </c>
      <c r="BA19" s="3">
        <f>AZ19/1000</f>
        <v>419304.13888999994</v>
      </c>
      <c r="BB19" s="3">
        <v>380939569</v>
      </c>
      <c r="BC19" s="3">
        <f>BB19/1000</f>
        <v>380939.56900000002</v>
      </c>
      <c r="BD19" s="3">
        <v>367048736.20999998</v>
      </c>
      <c r="BE19" s="3">
        <f t="shared" si="9"/>
        <v>367048.73621</v>
      </c>
      <c r="BF19" s="3">
        <v>401261360.13999999</v>
      </c>
      <c r="BG19" s="3">
        <f t="shared" ref="BG19:BG22" si="10">BF19/1000</f>
        <v>401261.36014</v>
      </c>
      <c r="BH19" s="3">
        <v>377570966.33999991</v>
      </c>
      <c r="BI19" s="3">
        <f t="shared" si="8"/>
        <v>377570.96633999993</v>
      </c>
    </row>
    <row r="20" spans="1:61">
      <c r="A20" s="1" t="s">
        <v>13</v>
      </c>
      <c r="B20" s="80">
        <v>146678</v>
      </c>
      <c r="C20" s="80">
        <v>154192.12452000001</v>
      </c>
      <c r="D20" s="80">
        <v>187210</v>
      </c>
      <c r="E20" s="80">
        <v>218793.45960999999</v>
      </c>
      <c r="F20" s="80">
        <v>213481.83889999997</v>
      </c>
      <c r="G20" s="80">
        <v>219059.59781999997</v>
      </c>
      <c r="H20" s="80">
        <v>216554.01472000001</v>
      </c>
      <c r="I20" s="80">
        <v>216368.78789999997</v>
      </c>
      <c r="J20" s="80">
        <v>210522.80560000002</v>
      </c>
      <c r="K20" s="373">
        <v>211521.37950000001</v>
      </c>
      <c r="L20" s="239">
        <f t="shared" si="6"/>
        <v>0.47433051120233999</v>
      </c>
      <c r="M20" s="48">
        <f t="shared" si="4"/>
        <v>48.493493072594177</v>
      </c>
      <c r="N20" s="14">
        <v>38811</v>
      </c>
      <c r="O20" s="14">
        <v>41544</v>
      </c>
      <c r="P20" s="14">
        <v>45594</v>
      </c>
      <c r="Q20" s="14">
        <v>49203</v>
      </c>
      <c r="R20" s="14">
        <v>55304</v>
      </c>
      <c r="S20" s="14">
        <v>82183</v>
      </c>
      <c r="T20" s="14">
        <v>71413</v>
      </c>
      <c r="U20" s="14">
        <v>75427</v>
      </c>
      <c r="V20" s="14">
        <v>72434</v>
      </c>
      <c r="W20" s="36">
        <v>81203</v>
      </c>
      <c r="X20" s="36">
        <v>92745</v>
      </c>
      <c r="Y20" s="36">
        <v>97954</v>
      </c>
      <c r="Z20" s="36">
        <v>101723</v>
      </c>
      <c r="AA20" s="36">
        <v>106122</v>
      </c>
      <c r="AB20" s="36">
        <v>114794</v>
      </c>
      <c r="AC20" s="36">
        <v>122521</v>
      </c>
      <c r="AD20" s="80">
        <v>132351</v>
      </c>
      <c r="AE20" s="80">
        <v>133875.046</v>
      </c>
      <c r="AF20" s="80">
        <v>142444.88099999999</v>
      </c>
      <c r="AG20" s="36">
        <v>122521384.29000001</v>
      </c>
      <c r="AH20">
        <v>122521384</v>
      </c>
      <c r="AI20" s="3">
        <f>AH20/1000</f>
        <v>122521.38400000001</v>
      </c>
      <c r="AJ20" s="3">
        <v>132350788</v>
      </c>
      <c r="AK20" s="3">
        <f>AJ20/1000</f>
        <v>132350.788</v>
      </c>
      <c r="AL20" s="3">
        <v>133875046</v>
      </c>
      <c r="AM20" s="3">
        <f>AL20/1000</f>
        <v>133875.046</v>
      </c>
      <c r="AN20" s="3">
        <v>142444881</v>
      </c>
      <c r="AO20" s="3">
        <f>AN20/1000</f>
        <v>142444.88099999999</v>
      </c>
      <c r="AP20" s="3">
        <v>146677507</v>
      </c>
      <c r="AQ20" s="3">
        <f>AP20/1000</f>
        <v>146677.50700000001</v>
      </c>
      <c r="AR20" s="59">
        <v>154192124.52000001</v>
      </c>
      <c r="AS20" s="3">
        <f>AR20/1000</f>
        <v>154192.12452000001</v>
      </c>
      <c r="AT20" s="3">
        <v>187209779</v>
      </c>
      <c r="AU20" s="3">
        <f>AT20/1000</f>
        <v>187209.77900000001</v>
      </c>
      <c r="AV20" s="3">
        <v>218793459.60999998</v>
      </c>
      <c r="AW20" s="3">
        <f>AV20/1000</f>
        <v>218793.45960999999</v>
      </c>
      <c r="AX20" s="3">
        <v>213481838.89999998</v>
      </c>
      <c r="AY20" s="3">
        <f>AX20/1000</f>
        <v>213481.83889999997</v>
      </c>
      <c r="AZ20" s="3">
        <v>219059597.81999996</v>
      </c>
      <c r="BA20" s="3">
        <f>AZ20/1000</f>
        <v>219059.59781999997</v>
      </c>
      <c r="BB20" s="3">
        <v>216554014.72</v>
      </c>
      <c r="BC20" s="3">
        <f>BB20/1000</f>
        <v>216554.01472000001</v>
      </c>
      <c r="BD20" s="3">
        <v>216368787.89999998</v>
      </c>
      <c r="BE20" s="3">
        <f t="shared" si="9"/>
        <v>216368.78789999997</v>
      </c>
      <c r="BF20" s="3">
        <v>210522805.60000002</v>
      </c>
      <c r="BG20" s="3">
        <f t="shared" si="10"/>
        <v>210522.80560000002</v>
      </c>
      <c r="BH20" s="3">
        <v>211521379.5</v>
      </c>
      <c r="BI20" s="3">
        <f t="shared" si="8"/>
        <v>211521.37950000001</v>
      </c>
    </row>
    <row r="21" spans="1:61">
      <c r="A21" s="1" t="s">
        <v>14</v>
      </c>
      <c r="B21" s="80">
        <v>246301</v>
      </c>
      <c r="C21" s="80">
        <v>266519.61619000003</v>
      </c>
      <c r="D21" s="80">
        <v>310954</v>
      </c>
      <c r="E21" s="80">
        <v>319089.74153999996</v>
      </c>
      <c r="F21" s="80">
        <v>362593.90364000003</v>
      </c>
      <c r="G21" s="80">
        <v>354611.56154999993</v>
      </c>
      <c r="H21" s="80">
        <v>366198.14156000002</v>
      </c>
      <c r="I21" s="80">
        <v>368790.83250000002</v>
      </c>
      <c r="J21" s="80">
        <v>378462.50503</v>
      </c>
      <c r="K21" s="373">
        <v>410926.18537000002</v>
      </c>
      <c r="L21" s="239">
        <f t="shared" si="6"/>
        <v>8.5777798087096322</v>
      </c>
      <c r="M21" s="48">
        <f t="shared" si="4"/>
        <v>92.496869312183065</v>
      </c>
      <c r="N21" s="14">
        <v>58940</v>
      </c>
      <c r="O21" s="14">
        <v>63642</v>
      </c>
      <c r="P21" s="14">
        <v>74083</v>
      </c>
      <c r="Q21" s="14">
        <v>79906</v>
      </c>
      <c r="R21" s="14">
        <v>91145</v>
      </c>
      <c r="S21" s="14">
        <v>99257</v>
      </c>
      <c r="T21" s="14">
        <v>112191</v>
      </c>
      <c r="U21" s="14">
        <v>127781</v>
      </c>
      <c r="V21" s="14">
        <v>117957</v>
      </c>
      <c r="W21" s="36">
        <v>126190</v>
      </c>
      <c r="X21" s="36">
        <v>146710</v>
      </c>
      <c r="Y21" s="36">
        <v>142478</v>
      </c>
      <c r="Z21" s="36">
        <v>155131</v>
      </c>
      <c r="AA21" s="36">
        <v>158622</v>
      </c>
      <c r="AB21" s="36">
        <v>162290</v>
      </c>
      <c r="AC21" s="36">
        <v>178448</v>
      </c>
      <c r="AD21" s="80">
        <v>183411</v>
      </c>
      <c r="AE21" s="80">
        <v>202298.924</v>
      </c>
      <c r="AF21" s="80">
        <v>213471.62</v>
      </c>
      <c r="AG21" s="36">
        <v>178448190.41000003</v>
      </c>
      <c r="AH21">
        <v>178448190</v>
      </c>
      <c r="AI21" s="3">
        <f>AH21/1000</f>
        <v>178448.19</v>
      </c>
      <c r="AJ21" s="3">
        <v>183410574</v>
      </c>
      <c r="AK21" s="3">
        <f>AJ21/1000</f>
        <v>183410.57399999999</v>
      </c>
      <c r="AL21" s="3">
        <v>202298924</v>
      </c>
      <c r="AM21" s="3">
        <f>AL21/1000</f>
        <v>202298.924</v>
      </c>
      <c r="AN21" s="3">
        <v>213471620</v>
      </c>
      <c r="AO21" s="3">
        <f>AN21/1000</f>
        <v>213471.62</v>
      </c>
      <c r="AP21" s="3">
        <v>246301055</v>
      </c>
      <c r="AQ21" s="3">
        <f>AP21/1000</f>
        <v>246301.05499999999</v>
      </c>
      <c r="AR21" s="59">
        <v>266519616.19000003</v>
      </c>
      <c r="AS21" s="3">
        <f>AR21/1000</f>
        <v>266519.61619000003</v>
      </c>
      <c r="AT21" s="3">
        <v>310954251</v>
      </c>
      <c r="AU21" s="3">
        <f>AT21/1000</f>
        <v>310954.25099999999</v>
      </c>
      <c r="AV21" s="3">
        <v>319089741.53999996</v>
      </c>
      <c r="AW21" s="3">
        <f>AV21/1000</f>
        <v>319089.74153999996</v>
      </c>
      <c r="AX21" s="3">
        <v>362593903.64000005</v>
      </c>
      <c r="AY21" s="3">
        <f>AX21/1000</f>
        <v>362593.90364000003</v>
      </c>
      <c r="AZ21" s="3">
        <v>354611561.54999995</v>
      </c>
      <c r="BA21" s="3">
        <f>AZ21/1000</f>
        <v>354611.56154999993</v>
      </c>
      <c r="BB21" s="3">
        <v>366198141.56</v>
      </c>
      <c r="BC21" s="3">
        <f>BB21/1000</f>
        <v>366198.14156000002</v>
      </c>
      <c r="BD21" s="3">
        <v>368790832.5</v>
      </c>
      <c r="BE21" s="3">
        <f t="shared" si="9"/>
        <v>368790.83250000002</v>
      </c>
      <c r="BF21" s="3">
        <v>378462505.02999997</v>
      </c>
      <c r="BG21" s="3">
        <f t="shared" si="10"/>
        <v>378462.50503</v>
      </c>
      <c r="BH21" s="3">
        <v>410926185.37</v>
      </c>
      <c r="BI21" s="3">
        <f t="shared" si="8"/>
        <v>410926.18537000002</v>
      </c>
    </row>
    <row r="22" spans="1:61">
      <c r="A22" s="1" t="s">
        <v>15</v>
      </c>
      <c r="B22" s="80">
        <v>52920</v>
      </c>
      <c r="C22" s="80">
        <v>50486.411370000002</v>
      </c>
      <c r="D22" s="80">
        <v>53816</v>
      </c>
      <c r="E22" s="80">
        <v>56957.768109999997</v>
      </c>
      <c r="F22" s="80">
        <v>68833.276280000005</v>
      </c>
      <c r="G22" s="80">
        <v>77566.205119999999</v>
      </c>
      <c r="H22" s="80">
        <v>78213.081929999986</v>
      </c>
      <c r="I22" s="80">
        <v>74289.679000000004</v>
      </c>
      <c r="J22" s="80">
        <v>62608.26685</v>
      </c>
      <c r="K22" s="373">
        <v>67515.397050000014</v>
      </c>
      <c r="L22" s="239">
        <f t="shared" si="6"/>
        <v>7.8378310834841676</v>
      </c>
      <c r="M22" s="48">
        <f t="shared" si="4"/>
        <v>31.827571312263302</v>
      </c>
      <c r="N22" s="14">
        <v>19055</v>
      </c>
      <c r="O22" s="14">
        <v>19758</v>
      </c>
      <c r="P22" s="14">
        <v>20386</v>
      </c>
      <c r="Q22" s="14">
        <v>21755</v>
      </c>
      <c r="R22" s="14">
        <v>23686</v>
      </c>
      <c r="S22" s="14">
        <v>26044</v>
      </c>
      <c r="T22" s="14">
        <v>27478</v>
      </c>
      <c r="U22" s="14">
        <v>27194</v>
      </c>
      <c r="V22" s="14">
        <v>27751</v>
      </c>
      <c r="W22" s="36">
        <v>30077</v>
      </c>
      <c r="X22" s="36">
        <v>32284</v>
      </c>
      <c r="Y22" s="36">
        <v>34087</v>
      </c>
      <c r="Z22" s="36">
        <v>39956</v>
      </c>
      <c r="AA22" s="36">
        <v>38844</v>
      </c>
      <c r="AB22" s="36">
        <v>38234</v>
      </c>
      <c r="AC22" s="36">
        <v>40215</v>
      </c>
      <c r="AD22" s="80">
        <v>48463</v>
      </c>
      <c r="AE22" s="80">
        <v>44171.500999999997</v>
      </c>
      <c r="AF22" s="80">
        <v>51214.928999999996</v>
      </c>
      <c r="AG22" s="36">
        <v>40214954.479999989</v>
      </c>
      <c r="AH22">
        <v>40214954</v>
      </c>
      <c r="AI22" s="3">
        <f>AH22/1000</f>
        <v>40214.953999999998</v>
      </c>
      <c r="AJ22" s="3">
        <v>48463211</v>
      </c>
      <c r="AK22" s="3">
        <f>AJ22/1000</f>
        <v>48463.211000000003</v>
      </c>
      <c r="AL22" s="3">
        <v>44171501</v>
      </c>
      <c r="AM22" s="3">
        <f>AL22/1000</f>
        <v>44171.500999999997</v>
      </c>
      <c r="AN22" s="3">
        <v>51214929</v>
      </c>
      <c r="AO22" s="3">
        <f>AN22/1000</f>
        <v>51214.928999999996</v>
      </c>
      <c r="AP22" s="3">
        <v>52919904</v>
      </c>
      <c r="AQ22" s="3">
        <f>AP22/1000</f>
        <v>52919.904000000002</v>
      </c>
      <c r="AR22" s="59">
        <v>50486411.370000005</v>
      </c>
      <c r="AS22" s="3">
        <f>AR22/1000</f>
        <v>50486.411370000002</v>
      </c>
      <c r="AT22" s="3">
        <v>53815622</v>
      </c>
      <c r="AU22" s="3">
        <f>AT22/1000</f>
        <v>53815.622000000003</v>
      </c>
      <c r="AV22" s="3">
        <v>56957768.109999999</v>
      </c>
      <c r="AW22" s="3">
        <f>AV22/1000</f>
        <v>56957.768109999997</v>
      </c>
      <c r="AX22" s="3">
        <v>68833276.280000001</v>
      </c>
      <c r="AY22" s="3">
        <f>AX22/1000</f>
        <v>68833.276280000005</v>
      </c>
      <c r="AZ22" s="3">
        <v>77566205.120000005</v>
      </c>
      <c r="BA22" s="3">
        <f>AZ22/1000</f>
        <v>77566.205119999999</v>
      </c>
      <c r="BB22" s="3">
        <v>78213081.929999992</v>
      </c>
      <c r="BC22" s="3">
        <f>BB22/1000</f>
        <v>78213.081929999986</v>
      </c>
      <c r="BD22" s="3">
        <v>74289679</v>
      </c>
      <c r="BE22" s="3">
        <f t="shared" si="9"/>
        <v>74289.679000000004</v>
      </c>
      <c r="BF22" s="3">
        <v>62608266.850000001</v>
      </c>
      <c r="BG22" s="3">
        <f t="shared" si="10"/>
        <v>62608.26685</v>
      </c>
      <c r="BH22" s="3">
        <v>67515397.050000012</v>
      </c>
      <c r="BI22" s="3">
        <f t="shared" si="8"/>
        <v>67515.397050000014</v>
      </c>
    </row>
    <row r="23" spans="1:61">
      <c r="B23" s="80"/>
      <c r="C23" s="80"/>
      <c r="D23" s="80"/>
      <c r="E23" s="80"/>
      <c r="F23" s="80"/>
      <c r="G23" s="80"/>
      <c r="H23" s="80"/>
      <c r="I23" s="80"/>
      <c r="J23" s="80"/>
      <c r="K23" s="373"/>
      <c r="L23" s="239"/>
      <c r="M23" s="48"/>
      <c r="N23" s="14"/>
      <c r="P23" s="14"/>
      <c r="Q23" s="14"/>
      <c r="R23" s="14"/>
      <c r="S23" s="14"/>
      <c r="T23" s="14"/>
      <c r="U23" s="14"/>
      <c r="V23" s="14"/>
      <c r="W23" s="36"/>
      <c r="X23" s="36"/>
      <c r="Y23" s="36"/>
      <c r="Z23" s="36"/>
      <c r="AA23" s="36"/>
      <c r="AB23" s="36"/>
      <c r="AC23" s="36"/>
      <c r="AD23" s="80"/>
      <c r="AE23" s="80"/>
      <c r="AF23" s="80"/>
      <c r="AG23" s="36"/>
      <c r="AH23"/>
      <c r="AR23" s="59"/>
    </row>
    <row r="24" spans="1:61">
      <c r="A24" s="1" t="s">
        <v>16</v>
      </c>
      <c r="B24" s="80">
        <v>395228</v>
      </c>
      <c r="C24" s="80">
        <v>410251.22469</v>
      </c>
      <c r="D24" s="80">
        <v>461150</v>
      </c>
      <c r="E24" s="80">
        <v>492069.73892000003</v>
      </c>
      <c r="F24" s="80">
        <v>580165.13079999993</v>
      </c>
      <c r="G24" s="80">
        <v>601956.87265000015</v>
      </c>
      <c r="H24" s="80">
        <v>587671.75619999995</v>
      </c>
      <c r="I24" s="80">
        <v>563788.66451999999</v>
      </c>
      <c r="J24" s="80">
        <v>619763.42879000003</v>
      </c>
      <c r="K24" s="373">
        <v>620160.77988000005</v>
      </c>
      <c r="L24" s="239">
        <f t="shared" si="6"/>
        <v>6.4113348987981197E-2</v>
      </c>
      <c r="M24" s="48">
        <f t="shared" si="4"/>
        <v>74.086282247270532</v>
      </c>
      <c r="N24" s="14">
        <v>87248</v>
      </c>
      <c r="O24" s="14">
        <v>92511</v>
      </c>
      <c r="P24" s="14">
        <v>99321</v>
      </c>
      <c r="Q24" s="14">
        <v>114024</v>
      </c>
      <c r="R24" s="14">
        <v>126525</v>
      </c>
      <c r="S24" s="14">
        <v>150355</v>
      </c>
      <c r="T24" s="14">
        <v>162739</v>
      </c>
      <c r="U24" s="14">
        <v>167845</v>
      </c>
      <c r="V24" s="14">
        <v>186522</v>
      </c>
      <c r="W24" s="36">
        <v>184573</v>
      </c>
      <c r="X24" s="36">
        <v>223325</v>
      </c>
      <c r="Y24" s="36">
        <v>221656</v>
      </c>
      <c r="Z24" s="36">
        <v>223304</v>
      </c>
      <c r="AA24" s="36">
        <v>246399</v>
      </c>
      <c r="AB24" s="36">
        <v>253938</v>
      </c>
      <c r="AC24" s="36">
        <v>295404</v>
      </c>
      <c r="AD24" s="80">
        <v>349660</v>
      </c>
      <c r="AE24" s="80">
        <v>361906.587</v>
      </c>
      <c r="AF24" s="80">
        <v>356237.592</v>
      </c>
      <c r="AG24" s="301">
        <v>296447502.80000001</v>
      </c>
      <c r="AH24">
        <v>295403703</v>
      </c>
      <c r="AI24" s="3">
        <f>AH24/1000</f>
        <v>295403.70299999998</v>
      </c>
      <c r="AJ24" s="3">
        <v>349659863</v>
      </c>
      <c r="AK24" s="3">
        <f>AJ24/1000</f>
        <v>349659.86300000001</v>
      </c>
      <c r="AL24" s="3">
        <v>361906587</v>
      </c>
      <c r="AM24" s="3">
        <f>AL24/1000</f>
        <v>361906.587</v>
      </c>
      <c r="AN24" s="3">
        <v>356237592</v>
      </c>
      <c r="AO24" s="3">
        <f>AN24/1000</f>
        <v>356237.592</v>
      </c>
      <c r="AP24" s="3">
        <v>395228108</v>
      </c>
      <c r="AQ24" s="3">
        <f>AP24/1000</f>
        <v>395228.10800000001</v>
      </c>
      <c r="AR24" s="59">
        <v>410251224.69</v>
      </c>
      <c r="AS24" s="3">
        <f>AR24/1000</f>
        <v>410251.22469</v>
      </c>
      <c r="AT24" s="3">
        <v>461150391</v>
      </c>
      <c r="AU24" s="3">
        <f>AT24/1000</f>
        <v>461150.391</v>
      </c>
      <c r="AV24" s="3">
        <v>492069738.92000002</v>
      </c>
      <c r="AW24" s="3">
        <f>AV24/1000</f>
        <v>492069.73892000003</v>
      </c>
      <c r="AX24" s="3">
        <v>580165130.79999995</v>
      </c>
      <c r="AY24" s="3">
        <f>AX24/1000</f>
        <v>580165.13079999993</v>
      </c>
      <c r="AZ24" s="3">
        <v>601956872.6500001</v>
      </c>
      <c r="BA24" s="3">
        <f>AZ24/1000</f>
        <v>601956.87265000015</v>
      </c>
      <c r="BB24" s="3">
        <v>587671756.19999993</v>
      </c>
      <c r="BC24" s="3">
        <f>BB24/1000</f>
        <v>587671.75619999995</v>
      </c>
      <c r="BD24" s="3">
        <v>563788664.51999998</v>
      </c>
      <c r="BE24" s="3">
        <f t="shared" ref="BE24:BE28" si="11">BD24/1000</f>
        <v>563788.66451999999</v>
      </c>
      <c r="BF24" s="3">
        <v>619763428.79000008</v>
      </c>
      <c r="BG24" s="3">
        <f>BF24/1000</f>
        <v>619763.42879000003</v>
      </c>
      <c r="BH24" s="3">
        <v>620160779.88</v>
      </c>
      <c r="BI24" s="3">
        <f t="shared" si="8"/>
        <v>620160.77988000005</v>
      </c>
    </row>
    <row r="25" spans="1:61">
      <c r="A25" s="1" t="s">
        <v>17</v>
      </c>
      <c r="B25" s="80">
        <v>47026</v>
      </c>
      <c r="C25" s="80">
        <v>49046.488419999994</v>
      </c>
      <c r="D25" s="80">
        <v>50415</v>
      </c>
      <c r="E25" s="80">
        <v>53077.647469999996</v>
      </c>
      <c r="F25" s="80">
        <v>59391.908480000006</v>
      </c>
      <c r="G25" s="80">
        <v>68610.902709999995</v>
      </c>
      <c r="H25" s="80">
        <v>60939.984389999998</v>
      </c>
      <c r="I25" s="80">
        <v>60632.382640000003</v>
      </c>
      <c r="J25" s="80">
        <v>58681.370460000006</v>
      </c>
      <c r="K25" s="373">
        <v>58594.134160000001</v>
      </c>
      <c r="L25" s="239">
        <f t="shared" si="6"/>
        <v>-0.14866097931279315</v>
      </c>
      <c r="M25" s="48">
        <f t="shared" si="4"/>
        <v>31.521753664858053</v>
      </c>
      <c r="N25" s="14">
        <v>16961</v>
      </c>
      <c r="O25" s="14">
        <v>21659</v>
      </c>
      <c r="P25" s="14">
        <v>22194</v>
      </c>
      <c r="Q25" s="14">
        <v>21641</v>
      </c>
      <c r="R25" s="14">
        <v>23604</v>
      </c>
      <c r="S25" s="14">
        <v>25695</v>
      </c>
      <c r="T25" s="14">
        <v>34595</v>
      </c>
      <c r="U25" s="14">
        <v>29138</v>
      </c>
      <c r="V25" s="14">
        <v>29145</v>
      </c>
      <c r="W25" s="36">
        <v>30635</v>
      </c>
      <c r="X25" s="36">
        <v>31887</v>
      </c>
      <c r="Y25" s="36">
        <v>33506</v>
      </c>
      <c r="Z25" s="36">
        <v>34557</v>
      </c>
      <c r="AA25" s="36">
        <v>35762</v>
      </c>
      <c r="AB25" s="36">
        <v>37874</v>
      </c>
      <c r="AC25" s="36">
        <v>38969</v>
      </c>
      <c r="AD25" s="80">
        <v>41581</v>
      </c>
      <c r="AE25" s="80">
        <v>41953.305999999997</v>
      </c>
      <c r="AF25" s="80">
        <v>44550.906999999999</v>
      </c>
      <c r="AG25" s="301">
        <v>39003736.620000005</v>
      </c>
      <c r="AH25">
        <v>38968532</v>
      </c>
      <c r="AI25" s="3">
        <f>AH25/1000</f>
        <v>38968.531999999999</v>
      </c>
      <c r="AJ25" s="3">
        <v>41580699</v>
      </c>
      <c r="AK25" s="3">
        <f>AJ25/1000</f>
        <v>41580.699000000001</v>
      </c>
      <c r="AL25" s="3">
        <v>41953306</v>
      </c>
      <c r="AM25" s="3">
        <f>AL25/1000</f>
        <v>41953.305999999997</v>
      </c>
      <c r="AN25" s="3">
        <v>44550907</v>
      </c>
      <c r="AO25" s="3">
        <f>AN25/1000</f>
        <v>44550.906999999999</v>
      </c>
      <c r="AP25" s="3">
        <v>47026421</v>
      </c>
      <c r="AQ25" s="3">
        <f>AP25/1000</f>
        <v>47026.421000000002</v>
      </c>
      <c r="AR25" s="59">
        <v>49046488.419999994</v>
      </c>
      <c r="AS25" s="3">
        <f>AR25/1000</f>
        <v>49046.488419999994</v>
      </c>
      <c r="AT25" s="3">
        <v>50414535</v>
      </c>
      <c r="AU25" s="3">
        <f>AT25/1000</f>
        <v>50414.535000000003</v>
      </c>
      <c r="AV25" s="3">
        <v>53077647.469999999</v>
      </c>
      <c r="AW25" s="3">
        <f>AV25/1000</f>
        <v>53077.647469999996</v>
      </c>
      <c r="AX25" s="3">
        <v>59391908.480000004</v>
      </c>
      <c r="AY25" s="3">
        <f>AX25/1000</f>
        <v>59391.908480000006</v>
      </c>
      <c r="AZ25" s="3">
        <v>68610902.709999993</v>
      </c>
      <c r="BA25" s="3">
        <f>AZ25/1000</f>
        <v>68610.902709999995</v>
      </c>
      <c r="BB25" s="3">
        <v>60939984.390000001</v>
      </c>
      <c r="BC25" s="3">
        <f>BB25/1000</f>
        <v>60939.984389999998</v>
      </c>
      <c r="BD25" s="3">
        <v>60632382.640000001</v>
      </c>
      <c r="BE25" s="3">
        <f t="shared" si="11"/>
        <v>60632.382640000003</v>
      </c>
      <c r="BF25" s="3">
        <v>58681370.460000008</v>
      </c>
      <c r="BG25" s="3">
        <f t="shared" ref="BG25:BG28" si="12">BF25/1000</f>
        <v>58681.370460000006</v>
      </c>
      <c r="BH25" s="3">
        <v>58594134.160000004</v>
      </c>
      <c r="BI25" s="3">
        <f t="shared" si="8"/>
        <v>58594.134160000001</v>
      </c>
    </row>
    <row r="26" spans="1:61">
      <c r="A26" s="1" t="s">
        <v>18</v>
      </c>
      <c r="B26" s="80">
        <v>353437</v>
      </c>
      <c r="C26" s="80">
        <v>394552.60655999999</v>
      </c>
      <c r="D26" s="80">
        <v>466082</v>
      </c>
      <c r="E26" s="80">
        <v>485036.55573000002</v>
      </c>
      <c r="F26" s="80">
        <v>578289.39531000005</v>
      </c>
      <c r="G26" s="80">
        <v>601134.44181000011</v>
      </c>
      <c r="H26" s="80">
        <v>595151.81281999988</v>
      </c>
      <c r="I26" s="80">
        <v>570020.53312000004</v>
      </c>
      <c r="J26" s="80">
        <v>563700.88572999998</v>
      </c>
      <c r="K26" s="373">
        <v>564507.19568</v>
      </c>
      <c r="L26" s="239">
        <f t="shared" si="6"/>
        <v>0.14303861682882449</v>
      </c>
      <c r="M26" s="48">
        <f t="shared" si="4"/>
        <v>49.78397768876026</v>
      </c>
      <c r="N26" s="14">
        <v>93303</v>
      </c>
      <c r="O26" s="14">
        <v>100389</v>
      </c>
      <c r="P26" s="14">
        <v>109732</v>
      </c>
      <c r="Q26" s="14">
        <v>118746</v>
      </c>
      <c r="R26" s="14">
        <v>130251</v>
      </c>
      <c r="S26" s="14">
        <v>147359</v>
      </c>
      <c r="T26" s="14">
        <v>164684</v>
      </c>
      <c r="U26" s="14">
        <v>171805</v>
      </c>
      <c r="V26" s="14">
        <v>193514</v>
      </c>
      <c r="W26" s="36">
        <v>207522</v>
      </c>
      <c r="X26" s="36">
        <v>219788</v>
      </c>
      <c r="Y26" s="36">
        <v>232610</v>
      </c>
      <c r="Z26" s="36">
        <v>247380</v>
      </c>
      <c r="AA26" s="36">
        <v>257645</v>
      </c>
      <c r="AB26" s="36">
        <v>269878</v>
      </c>
      <c r="AC26" s="36">
        <v>284858</v>
      </c>
      <c r="AD26" s="80">
        <v>305934</v>
      </c>
      <c r="AE26" s="80">
        <v>324906.96500000003</v>
      </c>
      <c r="AF26" s="80">
        <v>376880.89500000002</v>
      </c>
      <c r="AG26" s="301">
        <v>284791523.22000003</v>
      </c>
      <c r="AH26">
        <v>284858060</v>
      </c>
      <c r="AI26" s="3">
        <f>AH26/1000</f>
        <v>284858.06</v>
      </c>
      <c r="AJ26" s="3">
        <v>305934323</v>
      </c>
      <c r="AK26" s="3">
        <f>AJ26/1000</f>
        <v>305934.32299999997</v>
      </c>
      <c r="AL26" s="3">
        <v>324906965</v>
      </c>
      <c r="AM26" s="3">
        <f>AL26/1000</f>
        <v>324906.96500000003</v>
      </c>
      <c r="AN26" s="3">
        <v>376880895</v>
      </c>
      <c r="AO26" s="3">
        <f>AN26/1000</f>
        <v>376880.89500000002</v>
      </c>
      <c r="AP26" s="3">
        <v>353436943</v>
      </c>
      <c r="AQ26" s="3">
        <f>AP26/1000</f>
        <v>353436.94300000003</v>
      </c>
      <c r="AR26" s="59">
        <v>394552606.56</v>
      </c>
      <c r="AS26" s="3">
        <f>AR26/1000</f>
        <v>394552.60655999999</v>
      </c>
      <c r="AT26" s="3">
        <v>466081500</v>
      </c>
      <c r="AU26" s="3">
        <f>AT26/1000</f>
        <v>466081.5</v>
      </c>
      <c r="AV26" s="3">
        <v>485036555.73000002</v>
      </c>
      <c r="AW26" s="3">
        <f>AV26/1000</f>
        <v>485036.55573000002</v>
      </c>
      <c r="AX26" s="3">
        <v>578289395.31000006</v>
      </c>
      <c r="AY26" s="3">
        <f>AX26/1000</f>
        <v>578289.39531000005</v>
      </c>
      <c r="AZ26" s="3">
        <v>601134441.81000006</v>
      </c>
      <c r="BA26" s="3">
        <f>AZ26/1000</f>
        <v>601134.44181000011</v>
      </c>
      <c r="BB26" s="3">
        <v>595151812.81999993</v>
      </c>
      <c r="BC26" s="3">
        <f>BB26/1000</f>
        <v>595151.81281999988</v>
      </c>
      <c r="BD26" s="3">
        <v>570020533.12</v>
      </c>
      <c r="BE26" s="3">
        <f t="shared" si="11"/>
        <v>570020.53312000004</v>
      </c>
      <c r="BF26" s="3">
        <v>563700885.73000002</v>
      </c>
      <c r="BG26" s="3">
        <f t="shared" si="12"/>
        <v>563700.88572999998</v>
      </c>
      <c r="BH26" s="3">
        <v>564507195.67999995</v>
      </c>
      <c r="BI26" s="3">
        <f t="shared" si="8"/>
        <v>564507.19568</v>
      </c>
    </row>
    <row r="27" spans="1:61">
      <c r="A27" s="1" t="s">
        <v>19</v>
      </c>
      <c r="B27" s="80">
        <v>560045</v>
      </c>
      <c r="C27" s="80">
        <v>629268.33738000004</v>
      </c>
      <c r="D27" s="80">
        <v>693251</v>
      </c>
      <c r="E27" s="80">
        <v>739367.01757999999</v>
      </c>
      <c r="F27" s="80">
        <v>789305.97690999997</v>
      </c>
      <c r="G27" s="80">
        <v>822487.21238000004</v>
      </c>
      <c r="H27" s="80">
        <v>838783.81649000011</v>
      </c>
      <c r="I27" s="80">
        <v>878794.53102000011</v>
      </c>
      <c r="J27" s="80">
        <v>890220.57040000008</v>
      </c>
      <c r="K27" s="373">
        <v>934297.78204999992</v>
      </c>
      <c r="L27" s="239">
        <f t="shared" si="6"/>
        <v>4.9512686086544555</v>
      </c>
      <c r="M27" s="48">
        <f t="shared" si="4"/>
        <v>89.403647415290678</v>
      </c>
      <c r="N27" s="14">
        <v>108609</v>
      </c>
      <c r="O27" s="14">
        <v>124104</v>
      </c>
      <c r="P27" s="14">
        <v>142534</v>
      </c>
      <c r="Q27" s="14">
        <v>159984</v>
      </c>
      <c r="R27" s="14">
        <v>185947</v>
      </c>
      <c r="S27" s="14">
        <v>212475</v>
      </c>
      <c r="T27" s="14">
        <v>240167</v>
      </c>
      <c r="U27" s="14">
        <v>243113</v>
      </c>
      <c r="V27" s="14">
        <v>259138</v>
      </c>
      <c r="W27" s="36">
        <v>279507</v>
      </c>
      <c r="X27" s="36">
        <v>303793</v>
      </c>
      <c r="Y27" s="36">
        <v>327273</v>
      </c>
      <c r="Z27" s="36">
        <v>331368</v>
      </c>
      <c r="AA27" s="36">
        <v>338686</v>
      </c>
      <c r="AB27" s="36">
        <v>370505</v>
      </c>
      <c r="AC27" s="36">
        <v>390008</v>
      </c>
      <c r="AD27" s="80">
        <v>475042</v>
      </c>
      <c r="AE27" s="80">
        <v>493744.658</v>
      </c>
      <c r="AF27" s="80">
        <v>493283.94400000002</v>
      </c>
      <c r="AG27" s="301">
        <v>389950307.20999998</v>
      </c>
      <c r="AH27">
        <v>390007967</v>
      </c>
      <c r="AI27" s="3">
        <f>AH27/1000</f>
        <v>390007.967</v>
      </c>
      <c r="AJ27" s="3">
        <v>475042394</v>
      </c>
      <c r="AK27" s="3">
        <f>AJ27/1000</f>
        <v>475042.39399999997</v>
      </c>
      <c r="AL27" s="3">
        <v>493744658</v>
      </c>
      <c r="AM27" s="3">
        <f>AL27/1000</f>
        <v>493744.658</v>
      </c>
      <c r="AN27" s="3">
        <v>493283944</v>
      </c>
      <c r="AO27" s="3">
        <f>AN27/1000</f>
        <v>493283.94400000002</v>
      </c>
      <c r="AP27" s="3">
        <v>560044608</v>
      </c>
      <c r="AQ27" s="3">
        <f>AP27/1000</f>
        <v>560044.60800000001</v>
      </c>
      <c r="AR27" s="59">
        <v>629268337.38</v>
      </c>
      <c r="AS27" s="3">
        <f>AR27/1000</f>
        <v>629268.33738000004</v>
      </c>
      <c r="AT27" s="3">
        <v>693250501</v>
      </c>
      <c r="AU27" s="3">
        <f>AT27/1000</f>
        <v>693250.50100000005</v>
      </c>
      <c r="AV27" s="3">
        <v>739367017.58000004</v>
      </c>
      <c r="AW27" s="3">
        <f>AV27/1000</f>
        <v>739367.01757999999</v>
      </c>
      <c r="AX27" s="3">
        <v>789305976.90999997</v>
      </c>
      <c r="AY27" s="3">
        <f>AX27/1000</f>
        <v>789305.97690999997</v>
      </c>
      <c r="AZ27" s="3">
        <v>822487212.38</v>
      </c>
      <c r="BA27" s="3">
        <f>AZ27/1000</f>
        <v>822487.21238000004</v>
      </c>
      <c r="BB27" s="3">
        <v>838783816.49000013</v>
      </c>
      <c r="BC27" s="3">
        <f>BB27/1000</f>
        <v>838783.81649000011</v>
      </c>
      <c r="BD27" s="3">
        <v>878794531.0200001</v>
      </c>
      <c r="BE27" s="3">
        <f t="shared" si="11"/>
        <v>878794.53102000011</v>
      </c>
      <c r="BF27" s="3">
        <v>890220570.4000001</v>
      </c>
      <c r="BG27" s="3">
        <f t="shared" si="12"/>
        <v>890220.57040000008</v>
      </c>
      <c r="BH27" s="3">
        <v>934297782.04999995</v>
      </c>
      <c r="BI27" s="3">
        <f t="shared" si="8"/>
        <v>934297.78204999992</v>
      </c>
    </row>
    <row r="28" spans="1:61">
      <c r="A28" s="1" t="s">
        <v>20</v>
      </c>
      <c r="B28" s="80">
        <v>26864</v>
      </c>
      <c r="C28" s="80">
        <v>29888.951700000001</v>
      </c>
      <c r="D28" s="80">
        <v>35060</v>
      </c>
      <c r="E28" s="80">
        <v>34580.77463</v>
      </c>
      <c r="F28" s="80">
        <v>34630.540009999997</v>
      </c>
      <c r="G28" s="80">
        <v>35824.83195</v>
      </c>
      <c r="H28" s="80">
        <v>35657.098319999997</v>
      </c>
      <c r="I28" s="80">
        <v>33027.136040000005</v>
      </c>
      <c r="J28" s="80">
        <v>32125.286919999999</v>
      </c>
      <c r="K28" s="373">
        <v>33226.066570000003</v>
      </c>
      <c r="L28" s="239">
        <f t="shared" si="6"/>
        <v>3.4265208361911936</v>
      </c>
      <c r="M28" s="48">
        <f t="shared" si="4"/>
        <v>18.468711608099198</v>
      </c>
      <c r="N28" s="14">
        <v>9077</v>
      </c>
      <c r="O28" s="14">
        <v>10200</v>
      </c>
      <c r="P28" s="14">
        <v>10898</v>
      </c>
      <c r="Q28" s="14">
        <v>11428</v>
      </c>
      <c r="R28" s="14">
        <v>13146</v>
      </c>
      <c r="S28" s="14">
        <v>14534</v>
      </c>
      <c r="T28" s="14">
        <v>15329</v>
      </c>
      <c r="U28" s="14">
        <v>16373</v>
      </c>
      <c r="V28" s="14">
        <v>16530</v>
      </c>
      <c r="W28" s="36">
        <v>18705</v>
      </c>
      <c r="X28" s="36">
        <v>19408</v>
      </c>
      <c r="Y28" s="36">
        <v>20272</v>
      </c>
      <c r="Z28" s="36">
        <v>20487</v>
      </c>
      <c r="AA28" s="36">
        <v>21847</v>
      </c>
      <c r="AB28" s="36">
        <v>23100</v>
      </c>
      <c r="AC28" s="36">
        <v>23824</v>
      </c>
      <c r="AD28" s="80">
        <v>25269</v>
      </c>
      <c r="AE28" s="80">
        <v>28094.78</v>
      </c>
      <c r="AF28" s="80">
        <v>28046.28</v>
      </c>
      <c r="AG28" s="301">
        <v>23821509.299999997</v>
      </c>
      <c r="AH28">
        <v>23824378</v>
      </c>
      <c r="AI28" s="3">
        <f>AH28/1000</f>
        <v>23824.378000000001</v>
      </c>
      <c r="AJ28" s="3">
        <v>25269456</v>
      </c>
      <c r="AK28" s="3">
        <f>AJ28/1000</f>
        <v>25269.455999999998</v>
      </c>
      <c r="AL28" s="3">
        <v>28094780</v>
      </c>
      <c r="AM28" s="3">
        <f>AL28/1000</f>
        <v>28094.78</v>
      </c>
      <c r="AN28" s="3">
        <v>28046280</v>
      </c>
      <c r="AO28" s="3">
        <f>AN28/1000</f>
        <v>28046.28</v>
      </c>
      <c r="AP28" s="3">
        <v>26863814</v>
      </c>
      <c r="AQ28" s="3">
        <f>AP28/1000</f>
        <v>26863.813999999998</v>
      </c>
      <c r="AR28" s="59">
        <v>29888951.700000003</v>
      </c>
      <c r="AS28" s="3">
        <f>AR28/1000</f>
        <v>29888.951700000001</v>
      </c>
      <c r="AT28" s="3">
        <v>35059741</v>
      </c>
      <c r="AU28" s="3">
        <f>AT28/1000</f>
        <v>35059.741000000002</v>
      </c>
      <c r="AV28" s="3">
        <v>34580774.630000003</v>
      </c>
      <c r="AW28" s="3">
        <f>AV28/1000</f>
        <v>34580.77463</v>
      </c>
      <c r="AX28" s="3">
        <v>34630540.009999998</v>
      </c>
      <c r="AY28" s="3">
        <f>AX28/1000</f>
        <v>34630.540009999997</v>
      </c>
      <c r="AZ28" s="3">
        <v>35824831.950000003</v>
      </c>
      <c r="BA28" s="3">
        <f>AZ28/1000</f>
        <v>35824.83195</v>
      </c>
      <c r="BB28" s="3">
        <v>35657098.32</v>
      </c>
      <c r="BC28" s="3">
        <f>BB28/1000</f>
        <v>35657.098319999997</v>
      </c>
      <c r="BD28" s="3">
        <v>33027136.040000003</v>
      </c>
      <c r="BE28" s="3">
        <f t="shared" si="11"/>
        <v>33027.136040000005</v>
      </c>
      <c r="BF28" s="3">
        <v>32125286.919999998</v>
      </c>
      <c r="BG28" s="3">
        <f t="shared" si="12"/>
        <v>32125.286919999999</v>
      </c>
      <c r="BH28" s="3">
        <v>33226066.570000004</v>
      </c>
      <c r="BI28" s="3">
        <f t="shared" si="8"/>
        <v>33226.066570000003</v>
      </c>
    </row>
    <row r="29" spans="1:61">
      <c r="B29" s="80"/>
      <c r="C29" s="80"/>
      <c r="D29" s="80"/>
      <c r="E29" s="80"/>
      <c r="F29" s="80"/>
      <c r="G29" s="80"/>
      <c r="H29" s="80"/>
      <c r="I29" s="80"/>
      <c r="J29" s="80"/>
      <c r="K29" s="373"/>
      <c r="L29" s="239"/>
      <c r="M29" s="48"/>
      <c r="N29" s="14"/>
      <c r="O29" s="14"/>
      <c r="P29" s="14"/>
      <c r="Q29" s="14"/>
      <c r="R29" s="14"/>
      <c r="S29" s="14"/>
      <c r="T29" s="14"/>
      <c r="U29" s="14"/>
      <c r="V29" s="14"/>
      <c r="W29" s="36"/>
      <c r="X29" s="36"/>
      <c r="Y29" s="36"/>
      <c r="Z29" s="36"/>
      <c r="AA29" s="36"/>
      <c r="AB29" s="36"/>
      <c r="AC29" s="36"/>
      <c r="AD29" s="80"/>
      <c r="AE29" s="80"/>
      <c r="AF29" s="80"/>
      <c r="AG29" s="36"/>
      <c r="AH29"/>
      <c r="AR29" s="59"/>
    </row>
    <row r="30" spans="1:61">
      <c r="A30" s="1" t="s">
        <v>21</v>
      </c>
      <c r="B30" s="80">
        <v>1717507</v>
      </c>
      <c r="C30" s="80">
        <v>2029516.90726</v>
      </c>
      <c r="D30" s="80">
        <v>2121250</v>
      </c>
      <c r="E30" s="80">
        <v>2214592.73838</v>
      </c>
      <c r="F30" s="80">
        <v>2571633.5723999999</v>
      </c>
      <c r="G30" s="80">
        <v>2472461.9130899999</v>
      </c>
      <c r="H30" s="80">
        <v>2669807.7131500002</v>
      </c>
      <c r="I30" s="80">
        <v>2654412.8624500004</v>
      </c>
      <c r="J30" s="80">
        <v>2860442.6013799999</v>
      </c>
      <c r="K30" s="373">
        <v>2766926.1302999998</v>
      </c>
      <c r="L30" s="239">
        <f t="shared" si="6"/>
        <v>-3.2693007381054842</v>
      </c>
      <c r="M30" s="48">
        <f t="shared" si="4"/>
        <v>63.903206177669773</v>
      </c>
      <c r="N30" s="14">
        <v>497437</v>
      </c>
      <c r="O30" s="14">
        <v>529557</v>
      </c>
      <c r="P30" s="14">
        <v>649037</v>
      </c>
      <c r="Q30" s="14">
        <v>715716</v>
      </c>
      <c r="R30" s="14">
        <v>755075</v>
      </c>
      <c r="S30" s="14">
        <v>894849</v>
      </c>
      <c r="T30" s="14">
        <v>888191</v>
      </c>
      <c r="U30" s="14">
        <v>866525</v>
      </c>
      <c r="V30" s="14">
        <v>943519</v>
      </c>
      <c r="W30" s="36">
        <v>996233</v>
      </c>
      <c r="X30" s="36">
        <v>1040473</v>
      </c>
      <c r="Y30" s="36">
        <v>1132305</v>
      </c>
      <c r="Z30" s="36">
        <v>1213594</v>
      </c>
      <c r="AA30" s="36">
        <v>1215231</v>
      </c>
      <c r="AB30" s="36">
        <v>1274645</v>
      </c>
      <c r="AC30" s="36">
        <v>1418909</v>
      </c>
      <c r="AD30" s="80">
        <v>1461746</v>
      </c>
      <c r="AE30" s="80">
        <v>1637599.5079999999</v>
      </c>
      <c r="AF30" s="80">
        <v>1688146.4339999999</v>
      </c>
      <c r="AG30" s="301">
        <v>1418972230.78</v>
      </c>
      <c r="AH30">
        <v>1418908737</v>
      </c>
      <c r="AI30" s="3">
        <f>AH30/1000</f>
        <v>1418908.737</v>
      </c>
      <c r="AJ30" s="3">
        <v>1461746322</v>
      </c>
      <c r="AK30" s="3">
        <f>AJ30/1000</f>
        <v>1461746.3219999999</v>
      </c>
      <c r="AL30" s="3">
        <v>1637599508</v>
      </c>
      <c r="AM30" s="3">
        <f>AL30/1000</f>
        <v>1637599.5079999999</v>
      </c>
      <c r="AN30" s="3">
        <v>1688146434</v>
      </c>
      <c r="AO30" s="3">
        <f>AN30/1000</f>
        <v>1688146.4339999999</v>
      </c>
      <c r="AP30" s="3">
        <v>1717506559</v>
      </c>
      <c r="AQ30" s="3">
        <f>AP30/1000</f>
        <v>1717506.5589999999</v>
      </c>
      <c r="AR30" s="59">
        <v>2029516907.26</v>
      </c>
      <c r="AS30" s="3">
        <f>AR30/1000</f>
        <v>2029516.90726</v>
      </c>
      <c r="AT30" s="3">
        <v>2121249762</v>
      </c>
      <c r="AU30" s="3">
        <f>AT30/1000</f>
        <v>2121249.7620000001</v>
      </c>
      <c r="AV30" s="3">
        <v>2214592738.3800001</v>
      </c>
      <c r="AW30" s="3">
        <f>AV30/1000</f>
        <v>2214592.73838</v>
      </c>
      <c r="AX30" s="3">
        <v>2571633572.4000001</v>
      </c>
      <c r="AY30" s="3">
        <f>AX30/1000</f>
        <v>2571633.5723999999</v>
      </c>
      <c r="AZ30" s="3">
        <v>2472461913.0900002</v>
      </c>
      <c r="BA30" s="3">
        <f>AZ30/1000</f>
        <v>2472461.9130899999</v>
      </c>
      <c r="BB30" s="3">
        <v>2669807713.1500001</v>
      </c>
      <c r="BC30" s="3">
        <f>BB30/1000</f>
        <v>2669807.7131500002</v>
      </c>
      <c r="BD30" s="3">
        <v>2654412862.4500003</v>
      </c>
      <c r="BE30" s="3">
        <f t="shared" ref="BE30:BE34" si="13">BD30/1000</f>
        <v>2654412.8624500004</v>
      </c>
      <c r="BF30" s="3">
        <v>2860442601.3800001</v>
      </c>
      <c r="BG30" s="3">
        <f>BF30/1000</f>
        <v>2860442.6013799999</v>
      </c>
      <c r="BH30" s="3">
        <v>2766926130.2999997</v>
      </c>
      <c r="BI30" s="3">
        <f t="shared" si="8"/>
        <v>2766926.1302999998</v>
      </c>
    </row>
    <row r="31" spans="1:61">
      <c r="A31" s="1" t="s">
        <v>22</v>
      </c>
      <c r="B31" s="80">
        <v>1323694</v>
      </c>
      <c r="C31" s="80">
        <v>1521678.05648</v>
      </c>
      <c r="D31" s="80">
        <v>1636394</v>
      </c>
      <c r="E31" s="80">
        <v>1745650.95563</v>
      </c>
      <c r="F31" s="80">
        <v>1913824.5662799999</v>
      </c>
      <c r="G31" s="80">
        <v>1906607.4025899998</v>
      </c>
      <c r="H31" s="80">
        <v>1901253.1291299998</v>
      </c>
      <c r="I31" s="80">
        <v>1895459.68343</v>
      </c>
      <c r="J31" s="80">
        <v>2071572.70236</v>
      </c>
      <c r="K31" s="373">
        <v>2137639.0318899998</v>
      </c>
      <c r="L31" s="239">
        <f t="shared" si="6"/>
        <v>3.1891871067201714</v>
      </c>
      <c r="M31" s="48">
        <f t="shared" si="4"/>
        <v>65.34802006152799</v>
      </c>
      <c r="N31" s="14">
        <v>403765</v>
      </c>
      <c r="O31" s="14">
        <v>438759</v>
      </c>
      <c r="P31" s="14">
        <v>479793</v>
      </c>
      <c r="Q31" s="14">
        <v>543449</v>
      </c>
      <c r="R31" s="14">
        <v>581601</v>
      </c>
      <c r="S31" s="14">
        <v>637644</v>
      </c>
      <c r="T31" s="14">
        <v>678857</v>
      </c>
      <c r="U31" s="14">
        <v>667315</v>
      </c>
      <c r="V31" s="14">
        <v>716045</v>
      </c>
      <c r="W31" s="36">
        <v>766266</v>
      </c>
      <c r="X31" s="36">
        <v>831351</v>
      </c>
      <c r="Y31" s="36">
        <v>826167</v>
      </c>
      <c r="Z31" s="36">
        <v>862397</v>
      </c>
      <c r="AA31" s="36">
        <v>957375</v>
      </c>
      <c r="AB31" s="36">
        <v>1034618</v>
      </c>
      <c r="AC31" s="36">
        <v>1090606</v>
      </c>
      <c r="AD31" s="80">
        <v>1154200</v>
      </c>
      <c r="AE31" s="80">
        <v>1240971.76</v>
      </c>
      <c r="AF31" s="80">
        <v>1292811.9920000001</v>
      </c>
      <c r="AG31" s="301">
        <v>1090542727.52</v>
      </c>
      <c r="AH31">
        <v>1090606222</v>
      </c>
      <c r="AI31" s="3">
        <f>AH31/1000</f>
        <v>1090606.2220000001</v>
      </c>
      <c r="AJ31" s="3">
        <v>1154200359</v>
      </c>
      <c r="AK31" s="3">
        <f>AJ31/1000</f>
        <v>1154200.3589999999</v>
      </c>
      <c r="AL31" s="3">
        <v>1240971760</v>
      </c>
      <c r="AM31" s="3">
        <f>AL31/1000</f>
        <v>1240971.76</v>
      </c>
      <c r="AN31" s="3">
        <v>1292811992</v>
      </c>
      <c r="AO31" s="3">
        <f>AN31/1000</f>
        <v>1292811.9920000001</v>
      </c>
      <c r="AP31" s="3">
        <v>1323694410</v>
      </c>
      <c r="AQ31" s="3">
        <f>AP31/1000</f>
        <v>1323694.4099999999</v>
      </c>
      <c r="AR31" s="59">
        <v>1521678056.48</v>
      </c>
      <c r="AS31" s="3">
        <f>AR31/1000</f>
        <v>1521678.05648</v>
      </c>
      <c r="AT31" s="3">
        <v>1636393743</v>
      </c>
      <c r="AU31" s="3">
        <f>AT31/1000</f>
        <v>1636393.743</v>
      </c>
      <c r="AV31" s="3">
        <v>1745650955.6299999</v>
      </c>
      <c r="AW31" s="3">
        <f>AV31/1000</f>
        <v>1745650.95563</v>
      </c>
      <c r="AX31" s="3">
        <v>1913824566.28</v>
      </c>
      <c r="AY31" s="3">
        <f>AX31/1000</f>
        <v>1913824.5662799999</v>
      </c>
      <c r="AZ31" s="3">
        <v>1906607402.5899999</v>
      </c>
      <c r="BA31" s="3">
        <f>AZ31/1000</f>
        <v>1906607.4025899998</v>
      </c>
      <c r="BB31" s="3">
        <v>1901253129.1299999</v>
      </c>
      <c r="BC31" s="3">
        <f>BB31/1000</f>
        <v>1901253.1291299998</v>
      </c>
      <c r="BD31" s="3">
        <v>1895459683.4300001</v>
      </c>
      <c r="BE31" s="3">
        <f t="shared" si="13"/>
        <v>1895459.68343</v>
      </c>
      <c r="BF31" s="3">
        <v>2071572702.3599999</v>
      </c>
      <c r="BG31" s="3">
        <f t="shared" ref="BG31:BG34" si="14">BF31/1000</f>
        <v>2071572.70236</v>
      </c>
      <c r="BH31" s="3">
        <v>2137639031.8899999</v>
      </c>
      <c r="BI31" s="3">
        <f t="shared" si="8"/>
        <v>2137639.0318899998</v>
      </c>
    </row>
    <row r="32" spans="1:61">
      <c r="A32" s="1" t="s">
        <v>23</v>
      </c>
      <c r="B32" s="80">
        <v>78086</v>
      </c>
      <c r="C32" s="80">
        <v>75602.575959999987</v>
      </c>
      <c r="D32" s="80">
        <v>85967</v>
      </c>
      <c r="E32" s="80">
        <v>101731.29397</v>
      </c>
      <c r="F32" s="80">
        <v>107782.65929</v>
      </c>
      <c r="G32" s="80">
        <v>107373.79257999999</v>
      </c>
      <c r="H32" s="80">
        <v>103573.90454</v>
      </c>
      <c r="I32" s="80">
        <v>115770.73407000001</v>
      </c>
      <c r="J32" s="80">
        <v>103772.81320999999</v>
      </c>
      <c r="K32" s="373">
        <v>103419.49441000001</v>
      </c>
      <c r="L32" s="239">
        <f t="shared" si="6"/>
        <v>-0.34047337551212475</v>
      </c>
      <c r="M32" s="48">
        <f t="shared" si="4"/>
        <v>26.758716116927424</v>
      </c>
      <c r="N32" s="14">
        <v>16679</v>
      </c>
      <c r="O32" s="14">
        <v>19717</v>
      </c>
      <c r="P32" s="14">
        <v>21114</v>
      </c>
      <c r="Q32" s="14">
        <v>22766</v>
      </c>
      <c r="R32" s="14">
        <v>24162</v>
      </c>
      <c r="S32" s="14">
        <v>28581</v>
      </c>
      <c r="T32" s="14">
        <v>37309</v>
      </c>
      <c r="U32" s="14">
        <v>35214</v>
      </c>
      <c r="V32" s="14">
        <v>35226</v>
      </c>
      <c r="W32" s="36">
        <v>37868</v>
      </c>
      <c r="X32" s="36">
        <v>44542</v>
      </c>
      <c r="Y32" s="36">
        <v>42347</v>
      </c>
      <c r="Z32" s="36">
        <v>51200</v>
      </c>
      <c r="AA32" s="36">
        <v>60333</v>
      </c>
      <c r="AB32" s="36">
        <v>57843</v>
      </c>
      <c r="AC32" s="36">
        <v>54864</v>
      </c>
      <c r="AD32" s="80">
        <v>67190</v>
      </c>
      <c r="AE32" s="80">
        <v>66235.213000000003</v>
      </c>
      <c r="AF32" s="80">
        <v>81587.679000000004</v>
      </c>
      <c r="AG32" s="301">
        <v>54918206.120000005</v>
      </c>
      <c r="AH32">
        <v>54863644</v>
      </c>
      <c r="AI32" s="3">
        <f>AH32/1000</f>
        <v>54863.644</v>
      </c>
      <c r="AJ32" s="3">
        <v>67189601</v>
      </c>
      <c r="AK32" s="3">
        <f>AJ32/1000</f>
        <v>67189.600999999995</v>
      </c>
      <c r="AL32" s="3">
        <v>66235213</v>
      </c>
      <c r="AM32" s="3">
        <f>AL32/1000</f>
        <v>66235.213000000003</v>
      </c>
      <c r="AN32" s="3">
        <v>81587679</v>
      </c>
      <c r="AO32" s="3">
        <f>AN32/1000</f>
        <v>81587.679000000004</v>
      </c>
      <c r="AP32" s="3">
        <v>78086251</v>
      </c>
      <c r="AQ32" s="3">
        <f>AP32/1000</f>
        <v>78086.251000000004</v>
      </c>
      <c r="AR32" s="59">
        <v>75602575.959999993</v>
      </c>
      <c r="AS32" s="3">
        <f>AR32/1000</f>
        <v>75602.575959999987</v>
      </c>
      <c r="AT32" s="3">
        <v>85967183</v>
      </c>
      <c r="AU32" s="3">
        <f>AT32/1000</f>
        <v>85967.183000000005</v>
      </c>
      <c r="AV32" s="3">
        <v>101731293.97</v>
      </c>
      <c r="AW32" s="3">
        <f>AV32/1000</f>
        <v>101731.29397</v>
      </c>
      <c r="AX32" s="3">
        <v>107782659.28999999</v>
      </c>
      <c r="AY32" s="3">
        <f>AX32/1000</f>
        <v>107782.65929</v>
      </c>
      <c r="AZ32" s="3">
        <v>107373792.58</v>
      </c>
      <c r="BA32" s="3">
        <f>AZ32/1000</f>
        <v>107373.79257999999</v>
      </c>
      <c r="BB32" s="3">
        <v>103573904.54000001</v>
      </c>
      <c r="BC32" s="3">
        <f>BB32/1000</f>
        <v>103573.90454</v>
      </c>
      <c r="BD32" s="3">
        <v>115770734.07000001</v>
      </c>
      <c r="BE32" s="3">
        <f t="shared" si="13"/>
        <v>115770.73407000001</v>
      </c>
      <c r="BF32" s="3">
        <v>103772813.20999999</v>
      </c>
      <c r="BG32" s="3">
        <f t="shared" si="14"/>
        <v>103772.81320999999</v>
      </c>
      <c r="BH32" s="3">
        <v>103419494.41000001</v>
      </c>
      <c r="BI32" s="3">
        <f t="shared" si="8"/>
        <v>103419.49441000001</v>
      </c>
    </row>
    <row r="33" spans="1:61">
      <c r="A33" s="1" t="s">
        <v>24</v>
      </c>
      <c r="B33" s="80">
        <v>152063</v>
      </c>
      <c r="C33" s="80">
        <v>168467.18969</v>
      </c>
      <c r="D33" s="80">
        <v>187534</v>
      </c>
      <c r="E33" s="80">
        <v>192188.97606000002</v>
      </c>
      <c r="F33" s="80">
        <v>216408.82142999995</v>
      </c>
      <c r="G33" s="80">
        <v>230891.71936999998</v>
      </c>
      <c r="H33" s="80">
        <v>220764.03472000003</v>
      </c>
      <c r="I33" s="80">
        <v>222520.41214999999</v>
      </c>
      <c r="J33" s="80">
        <v>218951.37502000001</v>
      </c>
      <c r="K33" s="373">
        <v>225663.09419000003</v>
      </c>
      <c r="L33" s="239">
        <f t="shared" si="6"/>
        <v>3.0653925646216869</v>
      </c>
      <c r="M33" s="48">
        <f t="shared" si="4"/>
        <v>52.855591439933328</v>
      </c>
      <c r="N33" s="14">
        <v>39635</v>
      </c>
      <c r="O33" s="14">
        <v>42096</v>
      </c>
      <c r="P33" s="14">
        <v>47050</v>
      </c>
      <c r="Q33" s="14">
        <v>51717</v>
      </c>
      <c r="R33" s="14">
        <v>58344</v>
      </c>
      <c r="S33" s="14">
        <v>61969</v>
      </c>
      <c r="T33" s="14">
        <v>70136</v>
      </c>
      <c r="U33" s="14">
        <v>79809</v>
      </c>
      <c r="V33" s="14">
        <v>82925</v>
      </c>
      <c r="W33" s="36">
        <v>83711</v>
      </c>
      <c r="X33" s="36">
        <v>84891</v>
      </c>
      <c r="Y33" s="36">
        <v>92725</v>
      </c>
      <c r="Z33" s="36">
        <v>107660</v>
      </c>
      <c r="AA33" s="36">
        <v>112297</v>
      </c>
      <c r="AB33" s="36">
        <v>119745</v>
      </c>
      <c r="AC33" s="36">
        <v>129322</v>
      </c>
      <c r="AD33" s="80">
        <v>135038</v>
      </c>
      <c r="AE33" s="80">
        <v>158477.45800000001</v>
      </c>
      <c r="AF33" s="80">
        <v>147631.56</v>
      </c>
      <c r="AG33" s="301">
        <v>129267486.11</v>
      </c>
      <c r="AH33">
        <v>129322048</v>
      </c>
      <c r="AI33" s="3">
        <f>AH33/1000</f>
        <v>129322.048</v>
      </c>
      <c r="AJ33" s="3">
        <v>135037910</v>
      </c>
      <c r="AK33" s="3">
        <f>AJ33/1000</f>
        <v>135037.91</v>
      </c>
      <c r="AL33" s="3">
        <v>158477458</v>
      </c>
      <c r="AM33" s="3">
        <f>AL33/1000</f>
        <v>158477.45800000001</v>
      </c>
      <c r="AN33" s="3">
        <v>147631560</v>
      </c>
      <c r="AO33" s="3">
        <f>AN33/1000</f>
        <v>147631.56</v>
      </c>
      <c r="AP33" s="3">
        <v>152063221</v>
      </c>
      <c r="AQ33" s="3">
        <f>AP33/1000</f>
        <v>152063.22099999999</v>
      </c>
      <c r="AR33" s="59">
        <v>168467189.69</v>
      </c>
      <c r="AS33" s="3">
        <f>AR33/1000</f>
        <v>168467.18969</v>
      </c>
      <c r="AT33" s="3">
        <v>187534332</v>
      </c>
      <c r="AU33" s="3">
        <f>AT33/1000</f>
        <v>187534.33199999999</v>
      </c>
      <c r="AV33" s="3">
        <v>192188976.06</v>
      </c>
      <c r="AW33" s="3">
        <f>AV33/1000</f>
        <v>192188.97606000002</v>
      </c>
      <c r="AX33" s="3">
        <v>216408821.42999995</v>
      </c>
      <c r="AY33" s="3">
        <f>AX33/1000</f>
        <v>216408.82142999995</v>
      </c>
      <c r="AZ33" s="3">
        <v>230891719.36999997</v>
      </c>
      <c r="BA33" s="3">
        <f>AZ33/1000</f>
        <v>230891.71936999998</v>
      </c>
      <c r="BB33" s="3">
        <v>220764034.72000003</v>
      </c>
      <c r="BC33" s="3">
        <f>BB33/1000</f>
        <v>220764.03472000003</v>
      </c>
      <c r="BD33" s="3">
        <v>222520412.14999998</v>
      </c>
      <c r="BE33" s="3">
        <f t="shared" si="13"/>
        <v>222520.41214999999</v>
      </c>
      <c r="BF33" s="3">
        <v>218951375.02000001</v>
      </c>
      <c r="BG33" s="3">
        <f t="shared" si="14"/>
        <v>218951.37502000001</v>
      </c>
      <c r="BH33" s="3">
        <v>225663094.19000003</v>
      </c>
      <c r="BI33" s="3">
        <f t="shared" si="8"/>
        <v>225663.09419000003</v>
      </c>
    </row>
    <row r="34" spans="1:61">
      <c r="A34" s="1" t="s">
        <v>25</v>
      </c>
      <c r="B34" s="80">
        <v>29776</v>
      </c>
      <c r="C34" s="80">
        <v>32409.219880000001</v>
      </c>
      <c r="D34" s="80">
        <v>39650</v>
      </c>
      <c r="E34" s="80">
        <v>52883.174310000009</v>
      </c>
      <c r="F34" s="80">
        <v>48033.557200000003</v>
      </c>
      <c r="G34" s="80">
        <v>51536.655350000001</v>
      </c>
      <c r="H34" s="80">
        <v>54489.680079999998</v>
      </c>
      <c r="I34" s="80">
        <v>50817.730009999999</v>
      </c>
      <c r="J34" s="80">
        <v>45096.262649999997</v>
      </c>
      <c r="K34" s="373">
        <v>43146.745670000004</v>
      </c>
      <c r="L34" s="239">
        <f t="shared" si="6"/>
        <v>-4.3230122973394405</v>
      </c>
      <c r="M34" s="48">
        <f t="shared" si="4"/>
        <v>47.339212264136613</v>
      </c>
      <c r="N34" s="14">
        <v>10996</v>
      </c>
      <c r="O34" s="14">
        <v>11873</v>
      </c>
      <c r="P34" s="14">
        <v>12636</v>
      </c>
      <c r="Q34" s="14">
        <v>13723</v>
      </c>
      <c r="R34" s="14">
        <v>15797</v>
      </c>
      <c r="S34" s="14">
        <v>16903</v>
      </c>
      <c r="T34" s="14">
        <v>18099</v>
      </c>
      <c r="U34" s="14">
        <v>18097</v>
      </c>
      <c r="V34" s="14">
        <v>19414</v>
      </c>
      <c r="W34" s="36">
        <v>20331</v>
      </c>
      <c r="X34" s="36">
        <v>21504</v>
      </c>
      <c r="Y34" s="36">
        <v>24092</v>
      </c>
      <c r="Z34" s="36">
        <v>24917</v>
      </c>
      <c r="AA34" s="36">
        <v>25084</v>
      </c>
      <c r="AB34" s="36">
        <v>25351</v>
      </c>
      <c r="AC34" s="36">
        <v>26133</v>
      </c>
      <c r="AD34" s="80">
        <v>26872</v>
      </c>
      <c r="AE34" s="80">
        <v>27993.216</v>
      </c>
      <c r="AF34" s="80">
        <v>29283.953000000001</v>
      </c>
      <c r="AG34" s="36">
        <v>26133445.23</v>
      </c>
      <c r="AH34">
        <v>26133445</v>
      </c>
      <c r="AI34" s="3">
        <f>AH34/1000</f>
        <v>26133.445</v>
      </c>
      <c r="AJ34" s="3">
        <v>26871577</v>
      </c>
      <c r="AK34" s="3">
        <f>AJ34/1000</f>
        <v>26871.577000000001</v>
      </c>
      <c r="AL34" s="3">
        <v>27993216</v>
      </c>
      <c r="AM34" s="3">
        <f>AL34/1000</f>
        <v>27993.216</v>
      </c>
      <c r="AN34" s="3">
        <v>29283953</v>
      </c>
      <c r="AO34" s="3">
        <f>AN34/1000</f>
        <v>29283.953000000001</v>
      </c>
      <c r="AP34" s="3">
        <v>29775925</v>
      </c>
      <c r="AQ34" s="3">
        <f>AP34/1000</f>
        <v>29775.924999999999</v>
      </c>
      <c r="AR34" s="59">
        <v>32409219.879999999</v>
      </c>
      <c r="AS34" s="3">
        <f>AR34/1000</f>
        <v>32409.219880000001</v>
      </c>
      <c r="AT34" s="3">
        <v>39650451</v>
      </c>
      <c r="AU34" s="3">
        <f>AT34/1000</f>
        <v>39650.451000000001</v>
      </c>
      <c r="AV34" s="3">
        <v>52883174.31000001</v>
      </c>
      <c r="AW34" s="3">
        <f>AV34/1000</f>
        <v>52883.174310000009</v>
      </c>
      <c r="AX34" s="3">
        <v>48033557.200000003</v>
      </c>
      <c r="AY34" s="3">
        <f>AX34/1000</f>
        <v>48033.557200000003</v>
      </c>
      <c r="AZ34" s="3">
        <v>51536655.350000001</v>
      </c>
      <c r="BA34" s="3">
        <f>AZ34/1000</f>
        <v>51536.655350000001</v>
      </c>
      <c r="BB34" s="3">
        <v>54489680.079999998</v>
      </c>
      <c r="BC34" s="3">
        <f>BB34/1000</f>
        <v>54489.680079999998</v>
      </c>
      <c r="BD34" s="3">
        <v>50817730.009999998</v>
      </c>
      <c r="BE34" s="3">
        <f t="shared" si="13"/>
        <v>50817.730009999999</v>
      </c>
      <c r="BF34" s="3">
        <v>45096262.649999999</v>
      </c>
      <c r="BG34" s="3">
        <f t="shared" si="14"/>
        <v>45096.262649999997</v>
      </c>
      <c r="BH34" s="3">
        <v>43146745.670000002</v>
      </c>
      <c r="BI34" s="3">
        <f t="shared" si="8"/>
        <v>43146.745670000004</v>
      </c>
    </row>
    <row r="35" spans="1:61">
      <c r="B35" s="80"/>
      <c r="C35" s="80"/>
      <c r="D35" s="80"/>
      <c r="E35" s="80"/>
      <c r="F35" s="80"/>
      <c r="G35" s="80"/>
      <c r="H35" s="80"/>
      <c r="I35" s="80"/>
      <c r="J35" s="80"/>
      <c r="K35" s="373"/>
      <c r="L35" s="239"/>
      <c r="M35" s="48"/>
      <c r="O35" s="14"/>
      <c r="P35" s="14"/>
      <c r="R35" s="14"/>
      <c r="S35" s="14"/>
      <c r="T35" s="14"/>
      <c r="U35" s="14"/>
      <c r="V35" s="14"/>
      <c r="W35" s="36"/>
      <c r="X35" s="36"/>
      <c r="Y35" s="36"/>
      <c r="Z35" s="36"/>
      <c r="AA35" s="36"/>
      <c r="AB35" s="36"/>
      <c r="AC35" s="36"/>
      <c r="AD35" s="80"/>
      <c r="AE35" s="80"/>
      <c r="AF35" s="80"/>
      <c r="AG35" s="36"/>
      <c r="AH35"/>
      <c r="AR35" s="59"/>
    </row>
    <row r="36" spans="1:61">
      <c r="A36" s="1" t="s">
        <v>26</v>
      </c>
      <c r="B36" s="80">
        <v>37911</v>
      </c>
      <c r="C36" s="80">
        <v>44648.16128</v>
      </c>
      <c r="D36" s="80">
        <v>48224</v>
      </c>
      <c r="E36" s="80">
        <v>49949.806990000005</v>
      </c>
      <c r="F36" s="80">
        <v>64048.579720000002</v>
      </c>
      <c r="G36" s="80">
        <v>65072.828959999999</v>
      </c>
      <c r="H36" s="80">
        <v>59275.770820000005</v>
      </c>
      <c r="I36" s="80">
        <v>58856.256740000004</v>
      </c>
      <c r="J36" s="80">
        <v>58500.765770000005</v>
      </c>
      <c r="K36" s="373">
        <v>60388.172930000001</v>
      </c>
      <c r="L36" s="239">
        <f t="shared" si="6"/>
        <v>3.226294793166423</v>
      </c>
      <c r="M36" s="48">
        <f t="shared" si="4"/>
        <v>47.934549095374535</v>
      </c>
      <c r="N36" s="14">
        <v>13502</v>
      </c>
      <c r="O36" s="14">
        <v>14178</v>
      </c>
      <c r="P36" s="14">
        <v>14839</v>
      </c>
      <c r="Q36" s="14">
        <v>17209</v>
      </c>
      <c r="R36" s="14">
        <v>18468</v>
      </c>
      <c r="S36" s="14">
        <v>22385</v>
      </c>
      <c r="T36" s="14">
        <v>27255</v>
      </c>
      <c r="U36" s="14">
        <v>24286</v>
      </c>
      <c r="V36" s="14">
        <v>23465</v>
      </c>
      <c r="W36" s="36">
        <v>28789</v>
      </c>
      <c r="X36" s="36">
        <v>28246</v>
      </c>
      <c r="Y36" s="36">
        <v>29745</v>
      </c>
      <c r="Z36" s="36">
        <v>35255</v>
      </c>
      <c r="AA36" s="36">
        <v>34685</v>
      </c>
      <c r="AB36" s="36">
        <v>34231</v>
      </c>
      <c r="AC36" s="36">
        <v>33549</v>
      </c>
      <c r="AD36" s="80">
        <v>39166</v>
      </c>
      <c r="AE36" s="80">
        <v>41302.720000000001</v>
      </c>
      <c r="AF36" s="80">
        <v>40820.872000000003</v>
      </c>
      <c r="AG36" s="301">
        <v>34553213.810000002</v>
      </c>
      <c r="AH36">
        <v>33548537</v>
      </c>
      <c r="AI36" s="3">
        <f>AH36/1000</f>
        <v>33548.536999999997</v>
      </c>
      <c r="AJ36" s="3">
        <v>39165548</v>
      </c>
      <c r="AK36" s="3">
        <f>AJ36/1000</f>
        <v>39165.548000000003</v>
      </c>
      <c r="AL36" s="3">
        <v>41302720</v>
      </c>
      <c r="AM36" s="3">
        <f>AL36/1000</f>
        <v>41302.720000000001</v>
      </c>
      <c r="AN36" s="3">
        <v>40820872</v>
      </c>
      <c r="AO36" s="3">
        <f>AN36/1000</f>
        <v>40820.872000000003</v>
      </c>
      <c r="AP36" s="3">
        <v>37911275</v>
      </c>
      <c r="AQ36" s="3">
        <f>AP36/1000</f>
        <v>37911.275000000001</v>
      </c>
      <c r="AR36" s="59">
        <v>44648161.280000001</v>
      </c>
      <c r="AS36" s="3">
        <f>AR36/1000</f>
        <v>44648.16128</v>
      </c>
      <c r="AT36" s="3">
        <v>48223911</v>
      </c>
      <c r="AU36" s="3">
        <f>AT36/1000</f>
        <v>48223.911</v>
      </c>
      <c r="AV36" s="3">
        <v>49949806.990000002</v>
      </c>
      <c r="AW36" s="3">
        <f>AV36/1000</f>
        <v>49949.806990000005</v>
      </c>
      <c r="AX36" s="3">
        <v>64048579.719999999</v>
      </c>
      <c r="AY36" s="3">
        <f>AX36/1000</f>
        <v>64048.579720000002</v>
      </c>
      <c r="AZ36" s="3">
        <v>65072828.960000001</v>
      </c>
      <c r="BA36" s="3">
        <f>AZ36/1000</f>
        <v>65072.828959999999</v>
      </c>
      <c r="BB36" s="3">
        <v>59275770.820000008</v>
      </c>
      <c r="BC36" s="3">
        <f>BB36/1000</f>
        <v>59275.770820000005</v>
      </c>
      <c r="BD36" s="3">
        <v>58856256.740000002</v>
      </c>
      <c r="BE36" s="3">
        <f t="shared" ref="BE36:BE39" si="15">BD36/1000</f>
        <v>58856.256740000004</v>
      </c>
      <c r="BF36" s="3">
        <v>58500765.770000003</v>
      </c>
      <c r="BG36" s="3">
        <f>BF36/1000</f>
        <v>58500.765770000005</v>
      </c>
      <c r="BH36" s="3">
        <v>60388172.93</v>
      </c>
      <c r="BI36" s="3">
        <f t="shared" si="8"/>
        <v>60388.172930000001</v>
      </c>
    </row>
    <row r="37" spans="1:61">
      <c r="A37" s="1" t="s">
        <v>27</v>
      </c>
      <c r="B37" s="80">
        <v>167258</v>
      </c>
      <c r="C37" s="80">
        <v>200312.27972999995</v>
      </c>
      <c r="D37" s="80">
        <v>222960</v>
      </c>
      <c r="E37" s="80">
        <v>244428.89267</v>
      </c>
      <c r="F37" s="80">
        <v>304888.68995000003</v>
      </c>
      <c r="G37" s="80">
        <v>288551.26263999991</v>
      </c>
      <c r="H37" s="80">
        <v>298571.79014999996</v>
      </c>
      <c r="I37" s="80">
        <v>312305.42418999999</v>
      </c>
      <c r="J37" s="80">
        <v>303309.51235000009</v>
      </c>
      <c r="K37" s="373">
        <v>314438.49354</v>
      </c>
      <c r="L37" s="239">
        <f t="shared" si="6"/>
        <v>3.6691830413672486</v>
      </c>
      <c r="M37" s="48">
        <f t="shared" si="4"/>
        <v>92.755968413959692</v>
      </c>
      <c r="N37" s="14">
        <v>63400</v>
      </c>
      <c r="O37" s="14">
        <v>69534</v>
      </c>
      <c r="P37" s="14">
        <v>74080</v>
      </c>
      <c r="Q37" s="14">
        <v>81377</v>
      </c>
      <c r="R37" s="14">
        <v>85996</v>
      </c>
      <c r="S37" s="14">
        <v>94108</v>
      </c>
      <c r="T37" s="14">
        <v>101700</v>
      </c>
      <c r="U37" s="14">
        <v>106274</v>
      </c>
      <c r="V37" s="14">
        <v>116212</v>
      </c>
      <c r="W37" s="36">
        <v>114433</v>
      </c>
      <c r="X37" s="36">
        <v>125303</v>
      </c>
      <c r="Y37" s="36">
        <v>124531</v>
      </c>
      <c r="Z37" s="36">
        <v>133691</v>
      </c>
      <c r="AA37" s="36">
        <v>136896</v>
      </c>
      <c r="AB37" s="36">
        <v>144029</v>
      </c>
      <c r="AC37" s="36">
        <v>155275</v>
      </c>
      <c r="AD37" s="80">
        <v>155567</v>
      </c>
      <c r="AE37" s="80">
        <v>160301.52799999999</v>
      </c>
      <c r="AF37" s="80">
        <v>163127.76</v>
      </c>
      <c r="AG37" s="301">
        <v>155014946.09</v>
      </c>
      <c r="AH37">
        <v>155274906</v>
      </c>
      <c r="AI37" s="3">
        <f>AH37/1000</f>
        <v>155274.90599999999</v>
      </c>
      <c r="AJ37" s="3">
        <v>155567344</v>
      </c>
      <c r="AK37" s="3">
        <f>AJ37/1000</f>
        <v>155567.34400000001</v>
      </c>
      <c r="AL37" s="3">
        <v>160301528</v>
      </c>
      <c r="AM37" s="3">
        <f>AL37/1000</f>
        <v>160301.52799999999</v>
      </c>
      <c r="AN37" s="3">
        <v>163127760</v>
      </c>
      <c r="AO37" s="3">
        <f>AN37/1000</f>
        <v>163127.76</v>
      </c>
      <c r="AP37" s="3">
        <v>167258205</v>
      </c>
      <c r="AQ37" s="3">
        <f>AP37/1000</f>
        <v>167258.20499999999</v>
      </c>
      <c r="AR37" s="59">
        <v>200312279.72999996</v>
      </c>
      <c r="AS37" s="3">
        <f>AR37/1000</f>
        <v>200312.27972999995</v>
      </c>
      <c r="AT37" s="3">
        <v>222959888</v>
      </c>
      <c r="AU37" s="3">
        <f>AT37/1000</f>
        <v>222959.88800000001</v>
      </c>
      <c r="AV37" s="3">
        <v>244428892.66999999</v>
      </c>
      <c r="AW37" s="3">
        <f>AV37/1000</f>
        <v>244428.89267</v>
      </c>
      <c r="AX37" s="3">
        <v>304888689.95000005</v>
      </c>
      <c r="AY37" s="3">
        <f>AX37/1000</f>
        <v>304888.68995000003</v>
      </c>
      <c r="AZ37" s="3">
        <v>288551262.63999993</v>
      </c>
      <c r="BA37" s="3">
        <f>AZ37/1000</f>
        <v>288551.26263999991</v>
      </c>
      <c r="BB37" s="3">
        <v>298571790.14999998</v>
      </c>
      <c r="BC37" s="3">
        <f>BB37/1000</f>
        <v>298571.79014999996</v>
      </c>
      <c r="BD37" s="3">
        <v>312305424.19</v>
      </c>
      <c r="BE37" s="3">
        <f t="shared" si="15"/>
        <v>312305.42418999999</v>
      </c>
      <c r="BF37" s="3">
        <v>303309512.35000008</v>
      </c>
      <c r="BG37" s="3">
        <f t="shared" ref="BG37:BG39" si="16">BF37/1000</f>
        <v>303309.51235000009</v>
      </c>
      <c r="BH37" s="3">
        <v>314438493.54000002</v>
      </c>
      <c r="BI37" s="3">
        <f t="shared" si="8"/>
        <v>314438.49354</v>
      </c>
    </row>
    <row r="38" spans="1:61">
      <c r="A38" s="1" t="s">
        <v>28</v>
      </c>
      <c r="B38" s="80">
        <v>121321</v>
      </c>
      <c r="C38" s="80">
        <v>157047.68729</v>
      </c>
      <c r="D38" s="80">
        <v>167853</v>
      </c>
      <c r="E38" s="80">
        <v>189495.80350000004</v>
      </c>
      <c r="F38" s="80">
        <v>190072.85763000001</v>
      </c>
      <c r="G38" s="80">
        <v>241545.13740999997</v>
      </c>
      <c r="H38" s="80">
        <v>241301.10037999996</v>
      </c>
      <c r="I38" s="80">
        <v>211731.60009999995</v>
      </c>
      <c r="J38" s="80">
        <v>200561.35365</v>
      </c>
      <c r="K38" s="373">
        <v>212408.83090999999</v>
      </c>
      <c r="L38" s="239">
        <f t="shared" si="6"/>
        <v>5.9071586047803804</v>
      </c>
      <c r="M38" s="48">
        <f t="shared" si="4"/>
        <v>69.132877622520567</v>
      </c>
      <c r="N38" s="14">
        <v>39222</v>
      </c>
      <c r="O38" s="14">
        <v>44137</v>
      </c>
      <c r="P38" s="14">
        <v>43510</v>
      </c>
      <c r="Q38" s="14">
        <v>48993</v>
      </c>
      <c r="R38" s="14">
        <v>54917</v>
      </c>
      <c r="S38" s="14">
        <v>61929</v>
      </c>
      <c r="T38" s="14">
        <v>67035</v>
      </c>
      <c r="U38" s="14">
        <v>66835</v>
      </c>
      <c r="V38" s="14">
        <v>71025</v>
      </c>
      <c r="W38" s="36">
        <v>76567</v>
      </c>
      <c r="X38" s="36">
        <v>83378</v>
      </c>
      <c r="Y38" s="36">
        <v>80904</v>
      </c>
      <c r="Z38" s="36">
        <v>97738</v>
      </c>
      <c r="AA38" s="36">
        <v>98556</v>
      </c>
      <c r="AB38" s="36">
        <v>126669</v>
      </c>
      <c r="AC38" s="36">
        <v>111711</v>
      </c>
      <c r="AD38" s="80">
        <v>115354</v>
      </c>
      <c r="AE38" s="80">
        <v>118450.27899999999</v>
      </c>
      <c r="AF38" s="80">
        <v>125586.955</v>
      </c>
      <c r="AG38" s="301">
        <v>114428644.84</v>
      </c>
      <c r="AH38">
        <v>111710883</v>
      </c>
      <c r="AI38" s="3">
        <f>AH38/1000</f>
        <v>111710.883</v>
      </c>
      <c r="AJ38" s="3">
        <v>115353865</v>
      </c>
      <c r="AK38" s="3">
        <f>AJ38/1000</f>
        <v>115353.86500000001</v>
      </c>
      <c r="AL38" s="3">
        <v>118450279</v>
      </c>
      <c r="AM38" s="3">
        <f>AL38/1000</f>
        <v>118450.27899999999</v>
      </c>
      <c r="AN38" s="3">
        <v>125586955</v>
      </c>
      <c r="AO38" s="3">
        <f>AN38/1000</f>
        <v>125586.955</v>
      </c>
      <c r="AP38" s="3">
        <v>121321127</v>
      </c>
      <c r="AQ38" s="3">
        <f>AP38/1000</f>
        <v>121321.12699999999</v>
      </c>
      <c r="AR38" s="59">
        <v>157047687.28999999</v>
      </c>
      <c r="AS38" s="3">
        <f>AR38/1000</f>
        <v>157047.68729</v>
      </c>
      <c r="AT38" s="3">
        <v>167852505</v>
      </c>
      <c r="AU38" s="3">
        <f>AT38/1000</f>
        <v>167852.505</v>
      </c>
      <c r="AV38" s="3">
        <v>189495803.50000003</v>
      </c>
      <c r="AW38" s="3">
        <f>AV38/1000</f>
        <v>189495.80350000004</v>
      </c>
      <c r="AX38" s="3">
        <v>190072857.63000003</v>
      </c>
      <c r="AY38" s="3">
        <f>AX38/1000</f>
        <v>190072.85763000001</v>
      </c>
      <c r="AZ38" s="3">
        <v>241545137.40999997</v>
      </c>
      <c r="BA38" s="3">
        <f>AZ38/1000</f>
        <v>241545.13740999997</v>
      </c>
      <c r="BB38" s="3">
        <v>241301100.37999997</v>
      </c>
      <c r="BC38" s="3">
        <f>BB38/1000</f>
        <v>241301.10037999996</v>
      </c>
      <c r="BD38" s="3">
        <v>211731600.09999996</v>
      </c>
      <c r="BE38" s="3">
        <f t="shared" si="15"/>
        <v>211731.60009999995</v>
      </c>
      <c r="BF38" s="3">
        <v>200561353.65000001</v>
      </c>
      <c r="BG38" s="3">
        <f t="shared" si="16"/>
        <v>200561.35365</v>
      </c>
      <c r="BH38" s="3">
        <v>212408830.91</v>
      </c>
      <c r="BI38" s="3">
        <f t="shared" si="8"/>
        <v>212408.83090999999</v>
      </c>
    </row>
    <row r="39" spans="1:61">
      <c r="A39" s="17" t="s">
        <v>29</v>
      </c>
      <c r="B39" s="176">
        <v>65741</v>
      </c>
      <c r="C39" s="176">
        <v>93044.817650000012</v>
      </c>
      <c r="D39" s="176">
        <v>97190</v>
      </c>
      <c r="E39" s="176">
        <v>102878.17758</v>
      </c>
      <c r="F39" s="176">
        <v>127587.36066999999</v>
      </c>
      <c r="G39" s="176">
        <v>140863.89058000001</v>
      </c>
      <c r="H39" s="176">
        <v>127593.74983000002</v>
      </c>
      <c r="I39" s="176">
        <v>126256.81959999999</v>
      </c>
      <c r="J39" s="176">
        <v>112852.71738000002</v>
      </c>
      <c r="K39" s="373">
        <v>109479.55111</v>
      </c>
      <c r="L39" s="239">
        <f t="shared" si="6"/>
        <v>-2.9889987129346833</v>
      </c>
      <c r="M39" s="88">
        <f t="shared" si="4"/>
        <v>74.863039671631796</v>
      </c>
      <c r="N39" s="24">
        <v>20587</v>
      </c>
      <c r="O39" s="24">
        <v>23941</v>
      </c>
      <c r="P39" s="14">
        <v>26498</v>
      </c>
      <c r="Q39" s="14">
        <v>27289</v>
      </c>
      <c r="R39" s="14">
        <v>28973</v>
      </c>
      <c r="S39" s="14">
        <v>32828</v>
      </c>
      <c r="T39" s="14">
        <v>35111</v>
      </c>
      <c r="U39" s="14">
        <v>36712</v>
      </c>
      <c r="V39" s="14">
        <v>38242</v>
      </c>
      <c r="W39" s="36">
        <v>40816</v>
      </c>
      <c r="X39" s="36">
        <v>42453</v>
      </c>
      <c r="Y39" s="36">
        <v>43622</v>
      </c>
      <c r="Z39" s="36">
        <v>53957</v>
      </c>
      <c r="AA39" s="36">
        <v>52238</v>
      </c>
      <c r="AB39" s="36">
        <v>55968</v>
      </c>
      <c r="AC39" s="36">
        <v>64967</v>
      </c>
      <c r="AD39" s="176">
        <v>61943</v>
      </c>
      <c r="AE39" s="176">
        <v>65502.133000000002</v>
      </c>
      <c r="AF39" s="176">
        <v>62608.743000000002</v>
      </c>
      <c r="AG39" s="301">
        <v>66436859.639999993</v>
      </c>
      <c r="AH39">
        <v>64966501</v>
      </c>
      <c r="AI39" s="3">
        <f>AH39/1000</f>
        <v>64966.500999999997</v>
      </c>
      <c r="AJ39" s="3">
        <v>61942542</v>
      </c>
      <c r="AK39" s="3">
        <f>AJ39/1000</f>
        <v>61942.542000000001</v>
      </c>
      <c r="AL39" s="3">
        <v>65502133</v>
      </c>
      <c r="AM39" s="3">
        <f>AL39/1000</f>
        <v>65502.133000000002</v>
      </c>
      <c r="AN39" s="3">
        <v>62608743</v>
      </c>
      <c r="AO39" s="3">
        <f>AN39/1000</f>
        <v>62608.743000000002</v>
      </c>
      <c r="AP39" s="3">
        <v>65740748</v>
      </c>
      <c r="AQ39" s="3">
        <f>AP39/1000</f>
        <v>65740.748000000007</v>
      </c>
      <c r="AR39" s="197">
        <v>93044817.650000006</v>
      </c>
      <c r="AS39" s="3">
        <f>AR39/1000</f>
        <v>93044.817650000012</v>
      </c>
      <c r="AT39" s="3">
        <v>97189784</v>
      </c>
      <c r="AU39" s="3">
        <f>AT39/1000</f>
        <v>97189.784</v>
      </c>
      <c r="AV39" s="3">
        <v>102878177.58</v>
      </c>
      <c r="AW39" s="3">
        <f>AV39/1000</f>
        <v>102878.17758</v>
      </c>
      <c r="AX39" s="3">
        <v>127587360.67</v>
      </c>
      <c r="AY39" s="3">
        <f>AX39/1000</f>
        <v>127587.36066999999</v>
      </c>
      <c r="AZ39" s="3">
        <v>140863890.58000001</v>
      </c>
      <c r="BA39" s="3">
        <f>AZ39/1000</f>
        <v>140863.89058000001</v>
      </c>
      <c r="BB39" s="3">
        <v>127593749.83000001</v>
      </c>
      <c r="BC39" s="3">
        <f>BB39/1000</f>
        <v>127593.74983000002</v>
      </c>
      <c r="BD39" s="3">
        <v>126256819.59999999</v>
      </c>
      <c r="BE39" s="3">
        <f t="shared" si="15"/>
        <v>126256.81959999999</v>
      </c>
      <c r="BF39" s="3">
        <v>112852717.38000001</v>
      </c>
      <c r="BG39" s="3">
        <f t="shared" si="16"/>
        <v>112852.71738000002</v>
      </c>
      <c r="BH39" s="3">
        <v>109479551.11</v>
      </c>
      <c r="BI39" s="3">
        <f t="shared" si="8"/>
        <v>109479.55111</v>
      </c>
    </row>
    <row r="40" spans="1:61">
      <c r="A40" s="1" t="s">
        <v>298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48"/>
      <c r="O40" s="18"/>
      <c r="P40" s="18"/>
      <c r="Q40" s="3"/>
      <c r="U40" s="18"/>
      <c r="V40" s="19"/>
      <c r="W40" s="18"/>
      <c r="X40" s="18"/>
      <c r="Y40" s="3"/>
      <c r="Z40" s="18"/>
      <c r="AC40" s="18"/>
      <c r="AD40" s="7"/>
    </row>
    <row r="41" spans="1:61">
      <c r="M41" s="48"/>
      <c r="Q41" s="3"/>
      <c r="U41" s="1"/>
      <c r="V41" s="14"/>
      <c r="Y41" s="3"/>
      <c r="Z41" s="1"/>
    </row>
    <row r="42" spans="1:61">
      <c r="A42" s="3"/>
      <c r="O42" s="14"/>
      <c r="P42" s="14"/>
      <c r="Q42" s="3"/>
      <c r="U42" s="14"/>
      <c r="V42" s="14"/>
      <c r="Y42" s="3"/>
      <c r="Z42" s="1"/>
    </row>
    <row r="43" spans="1:61">
      <c r="O43" s="14"/>
      <c r="P43" s="14"/>
      <c r="Q43" s="3"/>
      <c r="U43" s="14"/>
      <c r="V43" s="14"/>
      <c r="Y43" s="3"/>
      <c r="Z43" s="1"/>
    </row>
    <row r="44" spans="1:61">
      <c r="O44" s="14"/>
      <c r="P44" s="14"/>
      <c r="Q44" s="3"/>
      <c r="U44" s="14"/>
      <c r="V44" s="14"/>
      <c r="Y44" s="3"/>
      <c r="Z44" s="1"/>
      <c r="AQ44" s="300"/>
    </row>
    <row r="45" spans="1:61">
      <c r="O45" s="14"/>
      <c r="P45" s="14"/>
      <c r="Q45" s="3"/>
      <c r="U45" s="14"/>
      <c r="V45" s="14"/>
      <c r="Y45" s="3"/>
      <c r="Z45" s="1"/>
      <c r="AQ45" s="300"/>
    </row>
    <row r="46" spans="1:61">
      <c r="O46" s="14"/>
      <c r="P46" s="14"/>
      <c r="Q46" s="3"/>
      <c r="U46" s="14"/>
      <c r="V46" s="14"/>
      <c r="Y46" s="3"/>
      <c r="Z46" s="1"/>
      <c r="AQ46" s="300"/>
    </row>
    <row r="47" spans="1:61">
      <c r="Q47" s="3"/>
      <c r="U47" s="14"/>
      <c r="V47" s="14"/>
      <c r="Y47" s="3"/>
      <c r="Z47" s="1"/>
      <c r="AQ47" s="300"/>
    </row>
    <row r="48" spans="1:61">
      <c r="V48" s="14"/>
      <c r="W48" s="14"/>
      <c r="AQ48" s="300"/>
    </row>
    <row r="49" spans="22:43">
      <c r="V49" s="14"/>
      <c r="W49" s="14"/>
      <c r="AQ49" s="300"/>
    </row>
    <row r="50" spans="22:43">
      <c r="V50" s="14"/>
      <c r="W50" s="14"/>
      <c r="AQ50" s="300"/>
    </row>
    <row r="51" spans="22:43">
      <c r="V51" s="14"/>
      <c r="W51" s="14"/>
      <c r="AQ51" s="300"/>
    </row>
    <row r="52" spans="22:43">
      <c r="W52" s="14"/>
      <c r="AQ52" s="300"/>
    </row>
    <row r="53" spans="22:43">
      <c r="W53" s="14"/>
      <c r="AQ53" s="300"/>
    </row>
    <row r="54" spans="22:43">
      <c r="AQ54" s="300"/>
    </row>
    <row r="55" spans="22:43">
      <c r="AQ55" s="300"/>
    </row>
    <row r="56" spans="22:43">
      <c r="AQ56" s="300"/>
    </row>
    <row r="57" spans="22:43">
      <c r="AQ57" s="300"/>
    </row>
    <row r="58" spans="22:43">
      <c r="AQ58" s="300"/>
    </row>
    <row r="59" spans="22:43">
      <c r="AQ59" s="300"/>
    </row>
    <row r="60" spans="22:43">
      <c r="AQ60" s="300"/>
    </row>
    <row r="61" spans="22:43">
      <c r="AQ61" s="300"/>
    </row>
    <row r="62" spans="22:43">
      <c r="AQ62" s="300"/>
    </row>
    <row r="63" spans="22:43">
      <c r="AQ63" s="300"/>
    </row>
    <row r="64" spans="22:43">
      <c r="AQ64" s="300"/>
    </row>
    <row r="65" spans="43:43">
      <c r="AQ65" s="300"/>
    </row>
    <row r="66" spans="43:43">
      <c r="AQ66" s="300"/>
    </row>
    <row r="67" spans="43:43">
      <c r="AQ67" s="300"/>
    </row>
    <row r="68" spans="43:43">
      <c r="AQ68" s="300"/>
    </row>
    <row r="69" spans="43:43">
      <c r="AQ69" s="300"/>
    </row>
    <row r="70" spans="43:43">
      <c r="AQ70" s="300"/>
    </row>
    <row r="71" spans="43:43">
      <c r="AQ71" s="300"/>
    </row>
  </sheetData>
  <sheetProtection password="CAF5" sheet="1" objects="1" scenarios="1"/>
  <mergeCells count="3">
    <mergeCell ref="A1:L1"/>
    <mergeCell ref="A3:L3"/>
    <mergeCell ref="A4:L4"/>
  </mergeCells>
  <phoneticPr fontId="2" type="noConversion"/>
  <printOptions horizontalCentered="1"/>
  <pageMargins left="0.34" right="0.36" top="1" bottom="0.93" header="0.5" footer="0.52"/>
  <pageSetup scale="74" orientation="landscape" r:id="rId1"/>
  <headerFooter scaleWithDoc="0" alignWithMargins="0">
    <oddHeader xml:space="preserve">&amp;R
</oddHeader>
    <oddFooter>&amp;L&amp;"Arial,Italic"&amp;10MSDE - LFRO   12 / 2014&amp;C&amp;"Arial,Regular"&amp;10- 1 -&amp;R&amp;"Arial,Italic"&amp;10Selected Financial Data - Part 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BR51"/>
  <sheetViews>
    <sheetView zoomScaleNormal="100" workbookViewId="0">
      <selection sqref="A1:M1"/>
    </sheetView>
  </sheetViews>
  <sheetFormatPr defaultColWidth="10" defaultRowHeight="12.75"/>
  <cols>
    <col min="1" max="1" width="12.875" style="30" customWidth="1"/>
    <col min="2" max="11" width="12.625" style="30" customWidth="1"/>
    <col min="12" max="12" width="9.25" style="30" customWidth="1"/>
    <col min="13" max="13" width="8.375" style="30" customWidth="1"/>
    <col min="14" max="14" width="10.25" style="30" bestFit="1" customWidth="1"/>
    <col min="15" max="22" width="10.125" style="30" customWidth="1"/>
    <col min="23" max="23" width="11.75" style="30" customWidth="1"/>
    <col min="24" max="24" width="11.625" style="30" bestFit="1" customWidth="1"/>
    <col min="25" max="26" width="11.625" style="30" customWidth="1"/>
    <col min="27" max="28" width="12.625" style="30" customWidth="1"/>
    <col min="29" max="29" width="11.125" style="30" bestFit="1" customWidth="1"/>
    <col min="30" max="32" width="11.125" style="30" customWidth="1"/>
    <col min="33" max="33" width="12.125" style="30" customWidth="1"/>
    <col min="34" max="34" width="12.875" style="30" customWidth="1"/>
    <col min="35" max="37" width="10.125" style="30" customWidth="1"/>
    <col min="38" max="38" width="11.75" style="30" customWidth="1"/>
    <col min="39" max="39" width="10.125" style="30" customWidth="1"/>
    <col min="40" max="40" width="11.625" style="30" bestFit="1" customWidth="1"/>
    <col min="41" max="41" width="10.75" style="30" bestFit="1" customWidth="1"/>
    <col min="42" max="42" width="12" style="30" bestFit="1" customWidth="1"/>
    <col min="43" max="43" width="10.125" style="30" customWidth="1"/>
    <col min="44" max="44" width="11.625" style="30" bestFit="1" customWidth="1"/>
    <col min="45" max="45" width="10.75" style="30" bestFit="1" customWidth="1"/>
    <col min="46" max="46" width="10.125" style="30" customWidth="1"/>
    <col min="47" max="47" width="5.125" style="30" customWidth="1"/>
    <col min="48" max="48" width="11.625" style="30" bestFit="1" customWidth="1"/>
    <col min="49" max="49" width="10.75" style="30" bestFit="1" customWidth="1"/>
    <col min="50" max="50" width="12" style="30" bestFit="1" customWidth="1"/>
    <col min="51" max="51" width="10.125" style="30" customWidth="1"/>
    <col min="52" max="52" width="11.625" style="30" bestFit="1" customWidth="1"/>
    <col min="53" max="55" width="10.125" style="30" customWidth="1"/>
    <col min="56" max="56" width="11.625" style="30" bestFit="1" customWidth="1"/>
    <col min="57" max="57" width="10.125" style="30" customWidth="1"/>
    <col min="58" max="58" width="12" style="30" bestFit="1" customWidth="1"/>
    <col min="59" max="59" width="10.125" style="30" customWidth="1"/>
    <col min="60" max="60" width="15" style="30" bestFit="1" customWidth="1"/>
    <col min="61" max="61" width="10.75" style="30" bestFit="1" customWidth="1"/>
    <col min="62" max="62" width="12.125" style="30" customWidth="1"/>
    <col min="63" max="63" width="5.25" style="30" customWidth="1"/>
    <col min="64" max="64" width="12.625" style="30" customWidth="1"/>
    <col min="65" max="65" width="13.125" style="30" customWidth="1"/>
    <col min="66" max="66" width="12.5" style="30" customWidth="1"/>
    <col min="67" max="16384" width="10" style="30"/>
  </cols>
  <sheetData>
    <row r="1" spans="1:70" ht="15.75" customHeight="1">
      <c r="A1" s="405" t="s">
        <v>90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29"/>
      <c r="AA1" s="116"/>
      <c r="AB1" s="116"/>
    </row>
    <row r="2" spans="1:70">
      <c r="A2" s="199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34"/>
      <c r="AA2" s="116"/>
      <c r="AB2" s="116"/>
    </row>
    <row r="3" spans="1:70" s="85" customFormat="1" ht="12.75" customHeight="1">
      <c r="A3" s="405" t="s">
        <v>87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115"/>
      <c r="AA3" s="119"/>
      <c r="AB3" s="119"/>
    </row>
    <row r="4" spans="1:70" s="3" customFormat="1">
      <c r="A4" s="405" t="s">
        <v>367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115"/>
      <c r="O4" s="199"/>
      <c r="P4" s="199"/>
      <c r="Q4" s="10"/>
      <c r="R4" s="1"/>
      <c r="S4" s="1"/>
      <c r="T4" s="1"/>
      <c r="U4" s="1"/>
      <c r="V4" s="1"/>
      <c r="W4" s="1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1"/>
    </row>
    <row r="5" spans="1:70" ht="16.5" customHeight="1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234"/>
      <c r="AA5" s="234"/>
      <c r="AB5" s="234"/>
      <c r="AG5" s="342" t="s">
        <v>161</v>
      </c>
      <c r="AH5" s="40" t="s">
        <v>184</v>
      </c>
      <c r="AJ5" s="425" t="s">
        <v>194</v>
      </c>
      <c r="AK5" s="425"/>
      <c r="AL5" s="425"/>
      <c r="AN5" s="425" t="s">
        <v>208</v>
      </c>
      <c r="AO5" s="425"/>
      <c r="AP5" s="425"/>
      <c r="AR5" s="425" t="s">
        <v>243</v>
      </c>
      <c r="AS5" s="425"/>
      <c r="AT5" s="425"/>
      <c r="AV5" s="425" t="s">
        <v>256</v>
      </c>
      <c r="AW5" s="425"/>
      <c r="AX5" s="425"/>
      <c r="AZ5" s="424" t="s">
        <v>269</v>
      </c>
      <c r="BA5" s="425"/>
      <c r="BB5" s="425"/>
      <c r="BD5" s="424" t="s">
        <v>283</v>
      </c>
      <c r="BE5" s="424"/>
      <c r="BF5" s="424"/>
      <c r="BH5" s="1" t="s">
        <v>303</v>
      </c>
      <c r="BL5" s="1" t="s">
        <v>330</v>
      </c>
      <c r="BP5" s="1" t="s">
        <v>360</v>
      </c>
    </row>
    <row r="6" spans="1:70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5"/>
      <c r="AE6" s="7"/>
      <c r="AF6" s="7"/>
      <c r="AG6" s="30" t="s">
        <v>158</v>
      </c>
      <c r="AH6" s="30" t="s">
        <v>158</v>
      </c>
      <c r="AJ6" s="30" t="s">
        <v>158</v>
      </c>
      <c r="AN6" s="30" t="s">
        <v>158</v>
      </c>
      <c r="AR6" s="30" t="s">
        <v>158</v>
      </c>
      <c r="AV6" s="30" t="s">
        <v>158</v>
      </c>
      <c r="AZ6" s="30" t="s">
        <v>158</v>
      </c>
      <c r="BD6" s="30" t="s">
        <v>158</v>
      </c>
      <c r="BH6" s="30" t="s">
        <v>158</v>
      </c>
      <c r="BL6" s="30" t="s">
        <v>158</v>
      </c>
      <c r="BP6" s="30" t="s">
        <v>158</v>
      </c>
    </row>
    <row r="7" spans="1:70" ht="12.75" customHeight="1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406" t="s">
        <v>34</v>
      </c>
      <c r="M7" s="406"/>
      <c r="O7" s="33"/>
      <c r="P7" s="33"/>
      <c r="Q7" s="33"/>
      <c r="R7" s="33"/>
      <c r="T7" s="33"/>
      <c r="U7" s="33"/>
      <c r="V7" s="33"/>
      <c r="W7" s="33"/>
      <c r="X7" s="33"/>
      <c r="Y7" s="33"/>
      <c r="Z7" s="33"/>
      <c r="AD7" s="1"/>
      <c r="AE7" s="1"/>
      <c r="AF7" s="1"/>
      <c r="AG7" s="30" t="s">
        <v>159</v>
      </c>
      <c r="AH7" s="30" t="s">
        <v>159</v>
      </c>
      <c r="AJ7" s="224"/>
      <c r="AK7" s="230"/>
      <c r="AL7" s="225"/>
      <c r="AN7" s="224"/>
      <c r="AO7" s="230"/>
      <c r="AP7" s="225"/>
      <c r="AR7" s="224"/>
      <c r="AS7" s="230"/>
      <c r="AT7" s="225"/>
      <c r="AV7" s="224"/>
      <c r="AW7" s="230"/>
      <c r="AX7" s="225"/>
      <c r="AZ7" s="224"/>
      <c r="BA7" s="230"/>
      <c r="BB7" s="225"/>
      <c r="BD7" s="224"/>
      <c r="BE7" s="230"/>
      <c r="BF7" s="225"/>
      <c r="BH7" s="224"/>
      <c r="BI7" s="230"/>
      <c r="BJ7" s="225"/>
      <c r="BL7" s="224"/>
      <c r="BM7" s="230"/>
      <c r="BN7" s="225"/>
      <c r="BP7" s="224"/>
      <c r="BQ7" s="230"/>
      <c r="BR7" s="225"/>
    </row>
    <row r="8" spans="1:70" ht="13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6" t="s">
        <v>85</v>
      </c>
      <c r="M8" s="26" t="s">
        <v>86</v>
      </c>
      <c r="O8" s="33"/>
      <c r="P8" s="33"/>
      <c r="Q8" s="33"/>
      <c r="R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7"/>
      <c r="AE8" s="7"/>
      <c r="AF8" s="7"/>
      <c r="AG8" s="30" t="s">
        <v>160</v>
      </c>
      <c r="AH8" s="30" t="s">
        <v>160</v>
      </c>
      <c r="AJ8" s="226" t="s">
        <v>199</v>
      </c>
      <c r="AK8" s="231"/>
      <c r="AL8" s="227" t="s">
        <v>112</v>
      </c>
      <c r="AN8" s="226" t="s">
        <v>199</v>
      </c>
      <c r="AO8" s="231"/>
      <c r="AP8" s="227" t="s">
        <v>112</v>
      </c>
      <c r="AR8" s="226" t="s">
        <v>199</v>
      </c>
      <c r="AS8" s="231"/>
      <c r="AT8" s="227" t="s">
        <v>112</v>
      </c>
      <c r="AV8" s="226" t="s">
        <v>199</v>
      </c>
      <c r="AW8" s="231"/>
      <c r="AX8" s="227" t="s">
        <v>112</v>
      </c>
      <c r="AZ8" s="226" t="s">
        <v>199</v>
      </c>
      <c r="BA8" s="231"/>
      <c r="BB8" s="227" t="s">
        <v>112</v>
      </c>
      <c r="BD8" s="226" t="s">
        <v>199</v>
      </c>
      <c r="BE8" s="231"/>
      <c r="BF8" s="227" t="s">
        <v>112</v>
      </c>
      <c r="BH8" s="226" t="s">
        <v>199</v>
      </c>
      <c r="BI8" s="231"/>
      <c r="BJ8" s="227" t="s">
        <v>112</v>
      </c>
      <c r="BL8" s="226" t="s">
        <v>199</v>
      </c>
      <c r="BM8" s="231"/>
      <c r="BN8" s="227" t="s">
        <v>112</v>
      </c>
      <c r="BP8" s="226" t="s">
        <v>199</v>
      </c>
      <c r="BQ8" s="231"/>
      <c r="BR8" s="227" t="s">
        <v>112</v>
      </c>
    </row>
    <row r="9" spans="1:70" ht="13.5" customHeight="1" thickBot="1">
      <c r="A9" s="8" t="s">
        <v>1</v>
      </c>
      <c r="B9" s="342" t="s">
        <v>184</v>
      </c>
      <c r="C9" s="342" t="s">
        <v>194</v>
      </c>
      <c r="D9" s="342" t="s">
        <v>208</v>
      </c>
      <c r="E9" s="342" t="s">
        <v>243</v>
      </c>
      <c r="F9" s="342" t="s">
        <v>256</v>
      </c>
      <c r="G9" s="342" t="s">
        <v>269</v>
      </c>
      <c r="H9" s="342" t="s">
        <v>283</v>
      </c>
      <c r="I9" s="342" t="s">
        <v>303</v>
      </c>
      <c r="J9" s="342" t="s">
        <v>330</v>
      </c>
      <c r="K9" s="397" t="s">
        <v>360</v>
      </c>
      <c r="L9" s="9" t="s">
        <v>84</v>
      </c>
      <c r="M9" s="9" t="s">
        <v>84</v>
      </c>
      <c r="N9" s="40" t="s">
        <v>51</v>
      </c>
      <c r="O9" s="40" t="s">
        <v>35</v>
      </c>
      <c r="P9" s="40" t="s">
        <v>31</v>
      </c>
      <c r="Q9" s="44" t="s">
        <v>64</v>
      </c>
      <c r="R9" s="40" t="s">
        <v>32</v>
      </c>
      <c r="S9" s="40" t="s">
        <v>72</v>
      </c>
      <c r="T9" s="40" t="s">
        <v>67</v>
      </c>
      <c r="U9" s="40" t="s">
        <v>68</v>
      </c>
      <c r="V9" s="40" t="s">
        <v>69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06" t="s">
        <v>105</v>
      </c>
      <c r="AE9" s="342" t="s">
        <v>161</v>
      </c>
      <c r="AF9" s="26" t="s">
        <v>168</v>
      </c>
      <c r="AJ9" s="228" t="s">
        <v>200</v>
      </c>
      <c r="AK9" s="232" t="s">
        <v>128</v>
      </c>
      <c r="AL9" s="229" t="s">
        <v>160</v>
      </c>
      <c r="AN9" s="228" t="s">
        <v>200</v>
      </c>
      <c r="AO9" s="232" t="s">
        <v>128</v>
      </c>
      <c r="AP9" s="229" t="s">
        <v>160</v>
      </c>
      <c r="AR9" s="228" t="s">
        <v>200</v>
      </c>
      <c r="AS9" s="232" t="s">
        <v>128</v>
      </c>
      <c r="AT9" s="229" t="s">
        <v>160</v>
      </c>
      <c r="AV9" s="228" t="s">
        <v>200</v>
      </c>
      <c r="AW9" s="232" t="s">
        <v>128</v>
      </c>
      <c r="AX9" s="229" t="s">
        <v>160</v>
      </c>
      <c r="AZ9" s="228" t="s">
        <v>200</v>
      </c>
      <c r="BA9" s="232" t="s">
        <v>128</v>
      </c>
      <c r="BB9" s="229" t="s">
        <v>160</v>
      </c>
      <c r="BD9" s="228" t="s">
        <v>200</v>
      </c>
      <c r="BE9" s="232" t="s">
        <v>128</v>
      </c>
      <c r="BF9" s="229" t="s">
        <v>160</v>
      </c>
      <c r="BH9" s="228" t="s">
        <v>200</v>
      </c>
      <c r="BI9" s="232" t="s">
        <v>128</v>
      </c>
      <c r="BJ9" s="229" t="s">
        <v>160</v>
      </c>
      <c r="BL9" s="228" t="s">
        <v>200</v>
      </c>
      <c r="BM9" s="232" t="s">
        <v>128</v>
      </c>
      <c r="BN9" s="229" t="s">
        <v>160</v>
      </c>
      <c r="BP9" s="228" t="s">
        <v>200</v>
      </c>
      <c r="BQ9" s="232" t="s">
        <v>128</v>
      </c>
      <c r="BR9" s="229" t="s">
        <v>160</v>
      </c>
    </row>
    <row r="10" spans="1:70">
      <c r="A10" s="7" t="s">
        <v>5</v>
      </c>
      <c r="B10" s="11">
        <f>SUM(B12:B39)</f>
        <v>213000796.39999998</v>
      </c>
      <c r="C10" s="11">
        <f t="shared" ref="C10:K10" si="0">SUM(C12:C39)</f>
        <v>216085889</v>
      </c>
      <c r="D10" s="11">
        <f t="shared" si="0"/>
        <v>232956697.44999996</v>
      </c>
      <c r="E10" s="11">
        <f t="shared" si="0"/>
        <v>234873721.13</v>
      </c>
      <c r="F10" s="11">
        <f t="shared" si="0"/>
        <v>250331511.63999996</v>
      </c>
      <c r="G10" s="11">
        <f t="shared" si="0"/>
        <v>268543914.47999996</v>
      </c>
      <c r="H10" s="11">
        <f t="shared" si="0"/>
        <v>261227629.23999995</v>
      </c>
      <c r="I10" s="11">
        <f t="shared" si="0"/>
        <v>243216903.32999998</v>
      </c>
      <c r="J10" s="11">
        <f t="shared" si="0"/>
        <v>248112949.70000002</v>
      </c>
      <c r="K10" s="11">
        <f t="shared" si="0"/>
        <v>248431059.78999999</v>
      </c>
      <c r="L10" s="240">
        <f>(K10-J10)*100/J10</f>
        <v>0.12821180449654448</v>
      </c>
      <c r="M10" s="48">
        <f>(K10-AF10)*100/AF10</f>
        <v>16.633864280706518</v>
      </c>
      <c r="N10" s="35">
        <f t="shared" ref="N10:Y10" si="1">SUM(N12:N39)</f>
        <v>22792625</v>
      </c>
      <c r="O10" s="35">
        <f t="shared" si="1"/>
        <v>23124421</v>
      </c>
      <c r="P10" s="35">
        <f t="shared" si="1"/>
        <v>29051067</v>
      </c>
      <c r="Q10" s="35">
        <f t="shared" si="1"/>
        <v>35412503</v>
      </c>
      <c r="R10" s="35">
        <f t="shared" si="1"/>
        <v>40133251</v>
      </c>
      <c r="S10" s="35">
        <f t="shared" si="1"/>
        <v>52753434</v>
      </c>
      <c r="T10" s="35">
        <f t="shared" si="1"/>
        <v>67177443</v>
      </c>
      <c r="U10" s="35">
        <f t="shared" si="1"/>
        <v>75222362</v>
      </c>
      <c r="V10" s="35">
        <f t="shared" si="1"/>
        <v>71391331</v>
      </c>
      <c r="W10" s="35">
        <f t="shared" si="1"/>
        <v>83988741</v>
      </c>
      <c r="X10" s="35">
        <f t="shared" si="1"/>
        <v>89974121</v>
      </c>
      <c r="Y10" s="35">
        <f t="shared" si="1"/>
        <v>103377197</v>
      </c>
      <c r="Z10" s="35">
        <f>SUM(Z12:Z43)</f>
        <v>116431397</v>
      </c>
      <c r="AA10" s="35">
        <f>SUM(AA12:AA43)</f>
        <v>140544581</v>
      </c>
      <c r="AB10" s="35">
        <f>SUM(AB12:AB43)</f>
        <v>149634198</v>
      </c>
      <c r="AC10" s="35">
        <f>SUM(AC12:AC43)</f>
        <v>156732080</v>
      </c>
      <c r="AD10" s="11">
        <f t="shared" ref="AD10:AF10" si="2">SUM(AD12:AD43)</f>
        <v>161235753.71000004</v>
      </c>
      <c r="AE10" s="11">
        <f t="shared" si="2"/>
        <v>179169298.47999999</v>
      </c>
      <c r="AF10" s="11">
        <f t="shared" si="2"/>
        <v>213000796.39999998</v>
      </c>
      <c r="AG10" s="35">
        <f>SUM(AG12:AG43)</f>
        <v>179169298.47999999</v>
      </c>
      <c r="AH10" s="35">
        <f>SUM(AH12:AH43)</f>
        <v>213000796.39999998</v>
      </c>
      <c r="AJ10" s="30">
        <v>211618317</v>
      </c>
      <c r="AK10" s="30">
        <v>4467572.5</v>
      </c>
      <c r="AL10" s="30">
        <f>SUM(AJ10:AK10)</f>
        <v>216085889.5</v>
      </c>
      <c r="AN10" s="106">
        <f>SUM(AN12:AN39)</f>
        <v>217777559.95999998</v>
      </c>
      <c r="AO10" s="106">
        <f>SUM(AO12:AO39)</f>
        <v>15179137.49</v>
      </c>
      <c r="AP10" s="30">
        <f>SUM(AN10:AO10)</f>
        <v>232956697.44999999</v>
      </c>
      <c r="AR10" s="106">
        <f>SUM(AR12:AR39)</f>
        <v>224119104.06</v>
      </c>
      <c r="AS10" s="106">
        <f>SUM(AS12:AS39)</f>
        <v>10754617.07</v>
      </c>
      <c r="AT10" s="30">
        <f>SUM(AR10:AS10)</f>
        <v>234873721.13</v>
      </c>
      <c r="AV10" s="106">
        <f>SUM(AV12:AV39)</f>
        <v>240430195.45999995</v>
      </c>
      <c r="AW10" s="106">
        <f>SUM(AW12:AW39)</f>
        <v>9901316.1799999997</v>
      </c>
      <c r="AX10" s="30">
        <f>SUM(AV10:AW10)</f>
        <v>250331511.63999996</v>
      </c>
      <c r="AZ10" s="106">
        <f>SUM(AZ12:AZ39)</f>
        <v>268543914.47999996</v>
      </c>
      <c r="BA10" s="106">
        <f>SUM(BA12:BA39)</f>
        <v>0</v>
      </c>
      <c r="BB10" s="30">
        <f>SUM(AZ10:BA10)</f>
        <v>268543914.47999996</v>
      </c>
      <c r="BD10" s="106">
        <f>SUM(BD12:BD39)</f>
        <v>261227629.23999995</v>
      </c>
      <c r="BE10" s="106">
        <f>SUM(BE12:BE39)</f>
        <v>0</v>
      </c>
      <c r="BF10" s="106">
        <f>SUM(BF12:BF39)</f>
        <v>261227629.23999995</v>
      </c>
      <c r="BH10" s="312">
        <f t="shared" ref="BH10" si="3">SUM(BH12:BH39)</f>
        <v>233071122.12999997</v>
      </c>
      <c r="BI10" s="312">
        <f>SUM(BI12:BI39)</f>
        <v>10145781.200000001</v>
      </c>
      <c r="BJ10" s="106">
        <f>SUM(BJ12:BJ39)</f>
        <v>243216903.32999998</v>
      </c>
      <c r="BL10" s="312">
        <f t="shared" ref="BL10" si="4">SUM(BL12:BL39)</f>
        <v>236059280.35999998</v>
      </c>
      <c r="BM10" s="312">
        <f>SUM(BM12:BM39)</f>
        <v>12053669.34</v>
      </c>
      <c r="BN10" s="106">
        <f>SUM(BN12:BN39)</f>
        <v>248112949.70000002</v>
      </c>
      <c r="BP10" s="30">
        <f>SUM(BP12:BP39)</f>
        <v>232047409.86999997</v>
      </c>
      <c r="BQ10" s="30">
        <f>SUM(BQ12:BQ39)</f>
        <v>16383649.92</v>
      </c>
      <c r="BR10" s="30">
        <f>SUM(BP10:BQ10)</f>
        <v>248431059.78999996</v>
      </c>
    </row>
    <row r="11" spans="1:70">
      <c r="A11" s="1"/>
      <c r="B11" s="7"/>
      <c r="C11" s="7"/>
      <c r="D11" s="7"/>
      <c r="E11" s="7"/>
      <c r="F11" s="7"/>
      <c r="G11" s="7"/>
      <c r="H11" s="7"/>
      <c r="I11" s="7"/>
      <c r="J11" s="7"/>
      <c r="K11" s="7"/>
      <c r="L11" s="1"/>
      <c r="M11" s="14"/>
      <c r="O11" s="36"/>
      <c r="R11" s="36"/>
      <c r="S11" s="36"/>
      <c r="X11" s="36"/>
      <c r="Y11" s="36"/>
      <c r="Z11" s="41"/>
      <c r="AA11" s="33"/>
      <c r="AB11" s="33"/>
      <c r="AC11" s="33"/>
      <c r="AD11" s="7"/>
      <c r="AE11" s="7"/>
      <c r="AF11" s="7"/>
      <c r="AG11" s="33"/>
      <c r="AH11" s="33"/>
      <c r="AN11" s="41"/>
      <c r="AO11" s="41"/>
      <c r="AR11" s="41"/>
      <c r="AS11" s="41"/>
      <c r="AV11" s="41"/>
      <c r="AW11" s="41"/>
      <c r="AZ11" s="41"/>
      <c r="BA11" s="41"/>
      <c r="BH11" s="313"/>
      <c r="BI11" s="313"/>
      <c r="BL11" s="313"/>
      <c r="BM11" s="313"/>
    </row>
    <row r="12" spans="1:70">
      <c r="A12" s="1" t="s">
        <v>6</v>
      </c>
      <c r="B12" s="297">
        <v>1771864.05</v>
      </c>
      <c r="C12" s="297">
        <v>1909245</v>
      </c>
      <c r="D12" s="297">
        <v>2525419.62</v>
      </c>
      <c r="E12" s="297">
        <v>2285867.4</v>
      </c>
      <c r="F12" s="297">
        <v>2183034.27</v>
      </c>
      <c r="G12" s="297">
        <v>2762254.47</v>
      </c>
      <c r="H12" s="297">
        <v>2938981.68</v>
      </c>
      <c r="I12" s="297">
        <v>3533901.8</v>
      </c>
      <c r="J12" s="297">
        <v>3337501.62</v>
      </c>
      <c r="K12" s="374">
        <v>3432230.46</v>
      </c>
      <c r="L12" s="240">
        <f>(K12-J12)*100/J12</f>
        <v>2.8383159256713664</v>
      </c>
      <c r="M12" s="48">
        <f>(K12-AF12)*100/AF12</f>
        <v>93.707325344740752</v>
      </c>
      <c r="N12" s="36">
        <v>0</v>
      </c>
      <c r="O12" s="36">
        <v>16669</v>
      </c>
      <c r="P12" s="36">
        <v>35044</v>
      </c>
      <c r="Q12" s="36">
        <v>32587</v>
      </c>
      <c r="R12" s="36">
        <v>39369</v>
      </c>
      <c r="S12" s="36">
        <v>34701</v>
      </c>
      <c r="T12" s="36">
        <v>50054</v>
      </c>
      <c r="U12" s="36">
        <v>143690</v>
      </c>
      <c r="V12" s="36">
        <v>210139</v>
      </c>
      <c r="W12" s="36">
        <v>92019</v>
      </c>
      <c r="X12" s="36">
        <v>191126</v>
      </c>
      <c r="Y12" s="36">
        <v>160311</v>
      </c>
      <c r="Z12" s="41">
        <v>281020</v>
      </c>
      <c r="AA12" s="78">
        <v>643797</v>
      </c>
      <c r="AB12" s="78">
        <v>976023</v>
      </c>
      <c r="AC12" s="78">
        <v>1522014</v>
      </c>
      <c r="AD12" s="297">
        <v>1241064.67</v>
      </c>
      <c r="AE12" s="83">
        <v>1341555.0900000001</v>
      </c>
      <c r="AF12" s="297">
        <v>1771864.05</v>
      </c>
      <c r="AG12" s="164">
        <v>1341555.0900000001</v>
      </c>
      <c r="AH12" s="83">
        <v>1771864.05</v>
      </c>
      <c r="AK12" s="30">
        <v>1909245</v>
      </c>
      <c r="AL12" s="30">
        <f>SUM(AJ12:AK12)</f>
        <v>1909245</v>
      </c>
      <c r="AN12" s="222">
        <v>0</v>
      </c>
      <c r="AO12" s="92">
        <v>2525419.62</v>
      </c>
      <c r="AP12" s="30">
        <f>SUM(AN12:AO12)</f>
        <v>2525419.62</v>
      </c>
      <c r="AR12" s="242">
        <v>0</v>
      </c>
      <c r="AS12" s="3">
        <v>2285867.4</v>
      </c>
      <c r="AT12" s="30">
        <f>SUM(AR12:AS12)</f>
        <v>2285867.4</v>
      </c>
      <c r="AV12" s="242">
        <v>0</v>
      </c>
      <c r="AW12" s="3">
        <v>2183034.27</v>
      </c>
      <c r="AX12" s="30">
        <f>SUM(AV12:AW12)</f>
        <v>2183034.27</v>
      </c>
      <c r="AZ12" s="128">
        <v>2762254.47</v>
      </c>
      <c r="BA12" s="128">
        <v>0</v>
      </c>
      <c r="BB12" s="30">
        <f>SUM(AZ12:BA12)</f>
        <v>2762254.47</v>
      </c>
      <c r="BD12" s="281">
        <v>2938981.68</v>
      </c>
      <c r="BE12" s="128">
        <v>0</v>
      </c>
      <c r="BF12" s="30">
        <f>SUM(BD12:BE12)</f>
        <v>2938981.68</v>
      </c>
      <c r="BH12" s="128">
        <v>21514</v>
      </c>
      <c r="BI12" s="128">
        <v>3512387.8</v>
      </c>
      <c r="BJ12" s="30">
        <f t="shared" ref="BJ12:BJ39" si="5">SUM(BH12:BI12)</f>
        <v>3533901.8</v>
      </c>
      <c r="BL12" s="128">
        <v>25618</v>
      </c>
      <c r="BM12" s="128">
        <v>3311883.62</v>
      </c>
      <c r="BN12" s="30">
        <f t="shared" ref="BN12:BN16" si="6">SUM(BL12:BM12)</f>
        <v>3337501.62</v>
      </c>
      <c r="BP12" s="30">
        <v>0</v>
      </c>
      <c r="BQ12" s="30">
        <v>3432230.46</v>
      </c>
      <c r="BR12" s="30">
        <f>SUM(BP12:BQ12)</f>
        <v>3432230.46</v>
      </c>
    </row>
    <row r="13" spans="1:70">
      <c r="A13" s="1" t="s">
        <v>7</v>
      </c>
      <c r="B13" s="297">
        <v>16638996</v>
      </c>
      <c r="C13" s="297">
        <v>17288927</v>
      </c>
      <c r="D13" s="297">
        <v>18225298</v>
      </c>
      <c r="E13" s="297">
        <v>18416816.77</v>
      </c>
      <c r="F13" s="297">
        <v>20845537.470000003</v>
      </c>
      <c r="G13" s="297">
        <v>21013304.510000002</v>
      </c>
      <c r="H13" s="297">
        <v>20164018.940000001</v>
      </c>
      <c r="I13" s="297">
        <v>19846366.379999999</v>
      </c>
      <c r="J13" s="297">
        <v>20163484.800000001</v>
      </c>
      <c r="K13" s="374">
        <v>21011759.530000001</v>
      </c>
      <c r="L13" s="240">
        <f>(K13-J13)*100/J13</f>
        <v>4.2069847470016715</v>
      </c>
      <c r="M13" s="48">
        <f t="shared" ref="M13:M39" si="7">(K13-AF13)*100/AF13</f>
        <v>26.280212640233827</v>
      </c>
      <c r="N13" s="36">
        <v>1517984</v>
      </c>
      <c r="O13" s="36">
        <v>1767732</v>
      </c>
      <c r="P13" s="36">
        <v>1905586</v>
      </c>
      <c r="Q13" s="36">
        <v>2124742</v>
      </c>
      <c r="R13" s="36">
        <v>2561350</v>
      </c>
      <c r="S13" s="36">
        <v>3412380</v>
      </c>
      <c r="T13" s="36">
        <v>5486225</v>
      </c>
      <c r="U13" s="36">
        <v>6081875</v>
      </c>
      <c r="V13" s="36">
        <v>6887093</v>
      </c>
      <c r="W13" s="36">
        <v>7261753</v>
      </c>
      <c r="X13" s="36">
        <v>7649506</v>
      </c>
      <c r="Y13" s="36">
        <v>8006561</v>
      </c>
      <c r="Z13" s="41">
        <v>8361332</v>
      </c>
      <c r="AA13" s="78">
        <v>10846922</v>
      </c>
      <c r="AB13" s="78">
        <v>10128026</v>
      </c>
      <c r="AC13" s="78">
        <v>9809359</v>
      </c>
      <c r="AD13" s="297">
        <v>9411406</v>
      </c>
      <c r="AE13" s="92">
        <v>16227234.359999999</v>
      </c>
      <c r="AF13" s="297">
        <v>16638996</v>
      </c>
      <c r="AG13" s="128">
        <v>16227234.359999999</v>
      </c>
      <c r="AH13" s="92">
        <v>16638996</v>
      </c>
      <c r="AJ13" s="30">
        <v>17288927</v>
      </c>
      <c r="AK13" s="30">
        <v>0</v>
      </c>
      <c r="AL13" s="30">
        <f>SUM(AJ13:AK13)</f>
        <v>17288927</v>
      </c>
      <c r="AN13" s="92">
        <v>18225298</v>
      </c>
      <c r="AO13" s="222">
        <v>0</v>
      </c>
      <c r="AP13" s="30">
        <f>SUM(AN13:AO13)</f>
        <v>18225298</v>
      </c>
      <c r="AR13" s="242">
        <v>18416816.77</v>
      </c>
      <c r="AS13" s="3"/>
      <c r="AT13" s="30">
        <f>SUM(AR13:AS13)</f>
        <v>18416816.77</v>
      </c>
      <c r="AV13" s="242">
        <v>20646145.470000003</v>
      </c>
      <c r="AW13" s="3">
        <v>199392</v>
      </c>
      <c r="AX13" s="30">
        <f>SUM(AV13:AW13)</f>
        <v>20845537.470000003</v>
      </c>
      <c r="AZ13" s="128">
        <v>21013304.510000002</v>
      </c>
      <c r="BA13" s="128">
        <v>0</v>
      </c>
      <c r="BB13" s="30">
        <f>SUM(AZ13:BA13)</f>
        <v>21013304.510000002</v>
      </c>
      <c r="BD13" s="281">
        <v>20164018.940000001</v>
      </c>
      <c r="BE13" s="128">
        <v>0</v>
      </c>
      <c r="BF13" s="30">
        <f>SUM(BD13:BE13)</f>
        <v>20164018.940000001</v>
      </c>
      <c r="BH13" s="128">
        <v>19715181.259999998</v>
      </c>
      <c r="BI13" s="128">
        <v>131185.12</v>
      </c>
      <c r="BJ13" s="30">
        <f t="shared" si="5"/>
        <v>19846366.379999999</v>
      </c>
      <c r="BL13" s="128">
        <v>19992788.84</v>
      </c>
      <c r="BM13" s="128">
        <v>170695.96</v>
      </c>
      <c r="BN13" s="30">
        <f t="shared" si="6"/>
        <v>20163484.800000001</v>
      </c>
      <c r="BP13" s="30">
        <v>20929904.32</v>
      </c>
      <c r="BQ13" s="30">
        <v>81855.210000000006</v>
      </c>
      <c r="BR13" s="30">
        <f t="shared" ref="BR13:BR39" si="8">SUM(BP13:BQ13)</f>
        <v>21011759.530000001</v>
      </c>
    </row>
    <row r="14" spans="1:70">
      <c r="A14" s="1" t="s">
        <v>8</v>
      </c>
      <c r="B14" s="297">
        <v>50888720</v>
      </c>
      <c r="C14" s="297">
        <v>48443624</v>
      </c>
      <c r="D14" s="297">
        <v>50710255.399999999</v>
      </c>
      <c r="E14" s="297">
        <v>50374604.859999999</v>
      </c>
      <c r="F14" s="297">
        <v>53867423.950000003</v>
      </c>
      <c r="G14" s="297">
        <v>61393213.659999996</v>
      </c>
      <c r="H14" s="297">
        <v>62719663.849999994</v>
      </c>
      <c r="I14" s="297">
        <v>54679104.5</v>
      </c>
      <c r="J14" s="297">
        <v>53651710.609999999</v>
      </c>
      <c r="K14" s="374">
        <v>49358983.369999997</v>
      </c>
      <c r="L14" s="240">
        <f>(K14-J14)*100/J14</f>
        <v>-8.001100414494319</v>
      </c>
      <c r="M14" s="48">
        <f t="shared" si="7"/>
        <v>-3.006042655425412</v>
      </c>
      <c r="N14" s="36">
        <v>7772664</v>
      </c>
      <c r="O14" s="36">
        <f>6456766+1827</f>
        <v>6458593</v>
      </c>
      <c r="P14" s="36">
        <f>8509699+215</f>
        <v>8509914</v>
      </c>
      <c r="Q14" s="36">
        <v>9661899</v>
      </c>
      <c r="R14" s="36">
        <v>10587442</v>
      </c>
      <c r="S14" s="36">
        <v>13200881</v>
      </c>
      <c r="T14" s="36">
        <v>17744650</v>
      </c>
      <c r="U14" s="36">
        <v>20532167</v>
      </c>
      <c r="V14" s="36">
        <v>23243276</v>
      </c>
      <c r="W14" s="36">
        <v>22748212</v>
      </c>
      <c r="X14" s="36">
        <v>23868338</v>
      </c>
      <c r="Y14" s="36">
        <v>30556484</v>
      </c>
      <c r="Z14" s="41">
        <v>37170905</v>
      </c>
      <c r="AA14" s="78">
        <v>51823235</v>
      </c>
      <c r="AB14" s="78">
        <v>49125659</v>
      </c>
      <c r="AC14" s="78">
        <v>49291512</v>
      </c>
      <c r="AD14" s="297">
        <v>47103119</v>
      </c>
      <c r="AE14" s="92">
        <v>44372488.5</v>
      </c>
      <c r="AF14" s="297">
        <v>50888720</v>
      </c>
      <c r="AG14" s="128">
        <v>44372488.5</v>
      </c>
      <c r="AH14" s="92">
        <v>50888720</v>
      </c>
      <c r="AJ14" s="30">
        <v>46415767</v>
      </c>
      <c r="AK14" s="30">
        <v>2027857</v>
      </c>
      <c r="AL14" s="30">
        <f>SUM(AJ14:AK14)</f>
        <v>48443624</v>
      </c>
      <c r="AN14" s="92">
        <v>48767177</v>
      </c>
      <c r="AO14" s="92">
        <v>1943078.4</v>
      </c>
      <c r="AP14" s="30">
        <f>SUM(AN14:AO14)</f>
        <v>50710255.399999999</v>
      </c>
      <c r="AR14" s="242">
        <v>48788646.460000001</v>
      </c>
      <c r="AS14" s="3">
        <v>1585958.4</v>
      </c>
      <c r="AT14" s="30">
        <f>SUM(AR14:AS14)</f>
        <v>50374604.859999999</v>
      </c>
      <c r="AV14" s="242">
        <v>52274219.950000003</v>
      </c>
      <c r="AW14" s="3">
        <v>1593204</v>
      </c>
      <c r="AX14" s="30">
        <f>SUM(AV14:AW14)</f>
        <v>53867423.950000003</v>
      </c>
      <c r="AZ14" s="128">
        <v>61393213.659999996</v>
      </c>
      <c r="BA14" s="128">
        <v>0</v>
      </c>
      <c r="BB14" s="30">
        <f>SUM(AZ14:BA14)</f>
        <v>61393213.659999996</v>
      </c>
      <c r="BD14" s="281">
        <v>62719663.849999994</v>
      </c>
      <c r="BE14" s="128">
        <v>0</v>
      </c>
      <c r="BF14" s="30">
        <f>SUM(BD14:BE14)</f>
        <v>62719663.849999994</v>
      </c>
      <c r="BH14" s="128">
        <v>54587002.5</v>
      </c>
      <c r="BI14" s="128">
        <v>92102</v>
      </c>
      <c r="BJ14" s="30">
        <f t="shared" si="5"/>
        <v>54679104.5</v>
      </c>
      <c r="BL14" s="128">
        <v>53524902.609999999</v>
      </c>
      <c r="BM14" s="128">
        <v>126808</v>
      </c>
      <c r="BN14" s="30">
        <f t="shared" si="6"/>
        <v>53651710.609999999</v>
      </c>
      <c r="BP14" s="30">
        <v>49162004.369999997</v>
      </c>
      <c r="BQ14" s="30">
        <v>196979</v>
      </c>
      <c r="BR14" s="30">
        <f t="shared" si="8"/>
        <v>49358983.369999997</v>
      </c>
    </row>
    <row r="15" spans="1:70">
      <c r="A15" s="1" t="s">
        <v>9</v>
      </c>
      <c r="B15" s="297">
        <v>27857478</v>
      </c>
      <c r="C15" s="297">
        <v>29384119</v>
      </c>
      <c r="D15" s="297">
        <v>30838060</v>
      </c>
      <c r="E15" s="297">
        <v>30087053</v>
      </c>
      <c r="F15" s="297">
        <v>32282753</v>
      </c>
      <c r="G15" s="297">
        <v>34257338</v>
      </c>
      <c r="H15" s="297">
        <v>34427799.789999999</v>
      </c>
      <c r="I15" s="297">
        <v>34513993.969999999</v>
      </c>
      <c r="J15" s="297">
        <v>34744397</v>
      </c>
      <c r="K15" s="374">
        <v>35798974.899999999</v>
      </c>
      <c r="L15" s="240">
        <f>(K15-J15)*100/J15</f>
        <v>3.0352459419571982</v>
      </c>
      <c r="M15" s="48">
        <f t="shared" si="7"/>
        <v>28.507594621451371</v>
      </c>
      <c r="N15" s="36">
        <v>2594804</v>
      </c>
      <c r="O15" s="36">
        <v>3157048</v>
      </c>
      <c r="P15" s="36">
        <v>3885797</v>
      </c>
      <c r="Q15" s="36">
        <v>4934450</v>
      </c>
      <c r="R15" s="36">
        <f>38601+5887828</f>
        <v>5926429</v>
      </c>
      <c r="S15" s="36">
        <v>6592425</v>
      </c>
      <c r="T15" s="36">
        <v>8149736</v>
      </c>
      <c r="U15" s="36">
        <v>8134672</v>
      </c>
      <c r="V15" s="36">
        <v>144950</v>
      </c>
      <c r="W15" s="36">
        <v>8182438</v>
      </c>
      <c r="X15" s="36">
        <v>7312671</v>
      </c>
      <c r="Y15" s="36">
        <v>9065154</v>
      </c>
      <c r="Z15" s="41">
        <v>10411190</v>
      </c>
      <c r="AA15" s="78">
        <v>15428413</v>
      </c>
      <c r="AB15" s="78">
        <v>22378649</v>
      </c>
      <c r="AC15" s="78">
        <v>17660925</v>
      </c>
      <c r="AD15" s="297">
        <v>19995561</v>
      </c>
      <c r="AE15" s="92">
        <v>22906209.84</v>
      </c>
      <c r="AF15" s="297">
        <v>27857478</v>
      </c>
      <c r="AG15" s="128">
        <v>22906209.84</v>
      </c>
      <c r="AH15" s="92">
        <v>27857478</v>
      </c>
      <c r="AJ15" s="30">
        <v>29384119</v>
      </c>
      <c r="AK15" s="30">
        <v>0</v>
      </c>
      <c r="AL15" s="30">
        <f>SUM(AJ15:AK15)</f>
        <v>29384119</v>
      </c>
      <c r="AN15" s="92">
        <v>29156789</v>
      </c>
      <c r="AO15" s="92">
        <v>1681271</v>
      </c>
      <c r="AP15" s="30">
        <f>SUM(AN15:AO15)</f>
        <v>30838060</v>
      </c>
      <c r="AR15" s="242">
        <v>30087053</v>
      </c>
      <c r="AS15" s="3"/>
      <c r="AT15" s="30">
        <f>SUM(AR15:AS15)</f>
        <v>30087053</v>
      </c>
      <c r="AV15" s="242">
        <v>31853025</v>
      </c>
      <c r="AW15" s="3">
        <v>429728</v>
      </c>
      <c r="AX15" s="30">
        <f>SUM(AV15:AW15)</f>
        <v>32282753</v>
      </c>
      <c r="AZ15" s="128">
        <v>34257338</v>
      </c>
      <c r="BA15" s="128">
        <v>0</v>
      </c>
      <c r="BB15" s="30">
        <f>SUM(AZ15:BA15)</f>
        <v>34257338</v>
      </c>
      <c r="BD15" s="281">
        <v>34427799.789999999</v>
      </c>
      <c r="BE15" s="128">
        <v>0</v>
      </c>
      <c r="BF15" s="30">
        <f>SUM(BD15:BE15)</f>
        <v>34427799.789999999</v>
      </c>
      <c r="BH15" s="128">
        <v>34024724.969999999</v>
      </c>
      <c r="BI15" s="128">
        <v>489269</v>
      </c>
      <c r="BJ15" s="30">
        <f t="shared" si="5"/>
        <v>34513993.969999999</v>
      </c>
      <c r="BL15" s="128">
        <v>34280824</v>
      </c>
      <c r="BM15" s="128">
        <v>463573</v>
      </c>
      <c r="BN15" s="30">
        <f t="shared" si="6"/>
        <v>34744397</v>
      </c>
      <c r="BP15" s="30">
        <v>35280322.899999999</v>
      </c>
      <c r="BQ15" s="30">
        <v>518652</v>
      </c>
      <c r="BR15" s="30">
        <f t="shared" si="8"/>
        <v>35798974.899999999</v>
      </c>
    </row>
    <row r="16" spans="1:70">
      <c r="A16" s="1" t="s">
        <v>10</v>
      </c>
      <c r="B16" s="297">
        <v>2198223.5299999998</v>
      </c>
      <c r="C16" s="297">
        <v>2082749</v>
      </c>
      <c r="D16" s="297">
        <v>2005111.02</v>
      </c>
      <c r="E16" s="297">
        <v>2018274.8</v>
      </c>
      <c r="F16" s="297">
        <v>1159599.77</v>
      </c>
      <c r="G16" s="297">
        <v>2422773.34</v>
      </c>
      <c r="H16" s="297">
        <v>2341486.94</v>
      </c>
      <c r="I16" s="297">
        <v>1914125.28</v>
      </c>
      <c r="J16" s="297">
        <v>1696990.55</v>
      </c>
      <c r="K16" s="374">
        <v>2066840.6800000002</v>
      </c>
      <c r="L16" s="240">
        <f>(K16-J16)*100/J16</f>
        <v>21.794471984537577</v>
      </c>
      <c r="M16" s="48">
        <f t="shared" si="7"/>
        <v>-5.976773890687979</v>
      </c>
      <c r="N16" s="36">
        <v>45757</v>
      </c>
      <c r="O16" s="36">
        <v>67131</v>
      </c>
      <c r="P16" s="36">
        <v>126419</v>
      </c>
      <c r="Q16" s="36">
        <v>105034</v>
      </c>
      <c r="R16" s="36">
        <v>0</v>
      </c>
      <c r="S16" s="36">
        <v>165266</v>
      </c>
      <c r="T16" s="36">
        <v>220284</v>
      </c>
      <c r="U16" s="36">
        <v>400892</v>
      </c>
      <c r="V16" s="36">
        <v>506089</v>
      </c>
      <c r="W16" s="36">
        <v>458902</v>
      </c>
      <c r="X16" s="36">
        <v>449857</v>
      </c>
      <c r="Y16" s="36">
        <v>584576</v>
      </c>
      <c r="Z16" s="41">
        <v>663875</v>
      </c>
      <c r="AA16" s="78">
        <v>820639</v>
      </c>
      <c r="AB16" s="78">
        <v>864468</v>
      </c>
      <c r="AC16" s="78">
        <v>1114523</v>
      </c>
      <c r="AD16" s="297">
        <v>1664781.9</v>
      </c>
      <c r="AE16" s="92">
        <v>2052000.04</v>
      </c>
      <c r="AF16" s="297">
        <v>2198223.5299999998</v>
      </c>
      <c r="AG16" s="128">
        <v>2052000.04</v>
      </c>
      <c r="AH16" s="92">
        <v>2198223.5299999998</v>
      </c>
      <c r="AJ16" s="30">
        <v>2082749</v>
      </c>
      <c r="AK16" s="30">
        <v>0</v>
      </c>
      <c r="AL16" s="30">
        <f>SUM(AJ16:AK16)</f>
        <v>2082749</v>
      </c>
      <c r="AN16" s="92">
        <v>886193.46</v>
      </c>
      <c r="AO16" s="92">
        <v>1118917.56</v>
      </c>
      <c r="AP16" s="30">
        <f>SUM(AN16:AO16)</f>
        <v>2005111.02</v>
      </c>
      <c r="AR16" s="242">
        <v>896465.23</v>
      </c>
      <c r="AS16" s="3">
        <v>1121809.57</v>
      </c>
      <c r="AT16" s="30">
        <f>SUM(AR16:AS16)</f>
        <v>2018274.8</v>
      </c>
      <c r="AV16" s="242">
        <v>1129176.77</v>
      </c>
      <c r="AW16" s="3">
        <v>30423</v>
      </c>
      <c r="AX16" s="30">
        <f>SUM(AV16:AW16)</f>
        <v>1159599.77</v>
      </c>
      <c r="AZ16" s="128">
        <v>2422773.34</v>
      </c>
      <c r="BA16" s="128">
        <v>0</v>
      </c>
      <c r="BB16" s="30">
        <f>SUM(AZ16:BA16)</f>
        <v>2422773.34</v>
      </c>
      <c r="BD16" s="281">
        <v>2341486.94</v>
      </c>
      <c r="BE16" s="128">
        <v>0</v>
      </c>
      <c r="BF16" s="30">
        <f>SUM(BD16:BE16)</f>
        <v>2341486.94</v>
      </c>
      <c r="BH16" s="128">
        <v>1878584.28</v>
      </c>
      <c r="BI16" s="128">
        <v>35541</v>
      </c>
      <c r="BJ16" s="30">
        <f t="shared" si="5"/>
        <v>1914125.28</v>
      </c>
      <c r="BL16" s="128">
        <v>1666446.55</v>
      </c>
      <c r="BM16" s="128">
        <v>30544</v>
      </c>
      <c r="BN16" s="30">
        <f t="shared" si="6"/>
        <v>1696990.55</v>
      </c>
      <c r="BP16" s="30">
        <v>1979588.83</v>
      </c>
      <c r="BQ16" s="30">
        <v>87251.85</v>
      </c>
      <c r="BR16" s="30">
        <f t="shared" si="8"/>
        <v>2066840.6800000002</v>
      </c>
    </row>
    <row r="17" spans="1:70">
      <c r="A17" s="1"/>
      <c r="B17" s="297"/>
      <c r="C17" s="297"/>
      <c r="D17" s="297"/>
      <c r="E17" s="297"/>
      <c r="F17" s="297"/>
      <c r="G17" s="297"/>
      <c r="H17" s="297"/>
      <c r="I17" s="297"/>
      <c r="J17" s="297"/>
      <c r="K17" s="374"/>
      <c r="L17" s="48"/>
      <c r="M17" s="48"/>
      <c r="N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41"/>
      <c r="AA17" s="78"/>
      <c r="AB17" s="78"/>
      <c r="AC17" s="78"/>
      <c r="AD17" s="297"/>
      <c r="AE17" s="92"/>
      <c r="AF17" s="297"/>
      <c r="AG17" s="128"/>
      <c r="AH17" s="92"/>
      <c r="AN17" s="222"/>
      <c r="AO17" s="92"/>
      <c r="AR17" s="242"/>
      <c r="AS17" s="3"/>
      <c r="AV17" s="242"/>
      <c r="AW17" s="3"/>
      <c r="AZ17" s="259"/>
      <c r="BA17" s="128"/>
      <c r="BD17" s="284"/>
      <c r="BE17" s="128"/>
      <c r="BH17" s="284"/>
      <c r="BI17" s="128"/>
      <c r="BL17" s="284"/>
      <c r="BM17" s="284"/>
    </row>
    <row r="18" spans="1:70">
      <c r="A18" s="1" t="s">
        <v>11</v>
      </c>
      <c r="B18" s="297">
        <v>534149</v>
      </c>
      <c r="C18" s="297">
        <v>519727</v>
      </c>
      <c r="D18" s="297">
        <v>619944.1</v>
      </c>
      <c r="E18" s="297">
        <v>594956.27</v>
      </c>
      <c r="F18" s="297">
        <v>609174.85</v>
      </c>
      <c r="G18" s="297">
        <v>437126.73</v>
      </c>
      <c r="H18" s="297">
        <v>358685.87</v>
      </c>
      <c r="I18" s="297">
        <v>568497.84000000008</v>
      </c>
      <c r="J18" s="297">
        <v>1135978.94</v>
      </c>
      <c r="K18" s="374">
        <v>1452681.85</v>
      </c>
      <c r="L18" s="240">
        <f>(K18-J18)*100/J18</f>
        <v>27.879294135505731</v>
      </c>
      <c r="M18" s="48">
        <f t="shared" si="7"/>
        <v>171.96191512106176</v>
      </c>
      <c r="N18" s="36">
        <v>121103</v>
      </c>
      <c r="O18" s="36">
        <v>184756</v>
      </c>
      <c r="P18" s="36">
        <v>250226</v>
      </c>
      <c r="Q18" s="36">
        <v>228941</v>
      </c>
      <c r="R18" s="36">
        <v>131956</v>
      </c>
      <c r="S18" s="36">
        <v>167079</v>
      </c>
      <c r="T18" s="36">
        <v>255893</v>
      </c>
      <c r="U18" s="36">
        <v>193436</v>
      </c>
      <c r="V18" s="36">
        <v>164788</v>
      </c>
      <c r="W18" s="36">
        <v>149508</v>
      </c>
      <c r="X18" s="36">
        <v>157339</v>
      </c>
      <c r="Y18" s="36">
        <v>143878</v>
      </c>
      <c r="Z18" s="41">
        <v>143053</v>
      </c>
      <c r="AA18" s="78">
        <v>199524</v>
      </c>
      <c r="AB18" s="78">
        <v>224303</v>
      </c>
      <c r="AC18" s="78">
        <v>200873</v>
      </c>
      <c r="AD18" s="297">
        <v>262868.63</v>
      </c>
      <c r="AE18" s="92">
        <v>322174.26</v>
      </c>
      <c r="AF18" s="297">
        <v>534149</v>
      </c>
      <c r="AG18" s="128">
        <v>322174.26</v>
      </c>
      <c r="AH18" s="92">
        <v>534149</v>
      </c>
      <c r="AJ18" s="30">
        <v>365918</v>
      </c>
      <c r="AK18" s="30">
        <v>153809</v>
      </c>
      <c r="AL18" s="30">
        <f>SUM(AJ18:AK18)</f>
        <v>519727</v>
      </c>
      <c r="AN18" s="92">
        <v>456856.1</v>
      </c>
      <c r="AO18" s="92">
        <v>163088</v>
      </c>
      <c r="AP18" s="30">
        <f>SUM(AN18:AO18)</f>
        <v>619944.1</v>
      </c>
      <c r="AR18" s="242">
        <v>409736.23</v>
      </c>
      <c r="AS18" s="3">
        <v>185220.04</v>
      </c>
      <c r="AT18" s="30">
        <f>SUM(AR18:AS18)</f>
        <v>594956.27</v>
      </c>
      <c r="AV18" s="242">
        <v>371757.85</v>
      </c>
      <c r="AW18" s="3">
        <v>237417</v>
      </c>
      <c r="AX18" s="30">
        <f>SUM(AV18:AW18)</f>
        <v>609174.85</v>
      </c>
      <c r="AZ18" s="128">
        <v>437126.73</v>
      </c>
      <c r="BA18" s="128">
        <v>0</v>
      </c>
      <c r="BB18" s="30">
        <f>SUM(AZ18:BA18)</f>
        <v>437126.73</v>
      </c>
      <c r="BD18" s="281">
        <v>358685.87</v>
      </c>
      <c r="BE18" s="128">
        <v>0</v>
      </c>
      <c r="BF18" s="30">
        <f>SUM(BD18:BE18)</f>
        <v>358685.87</v>
      </c>
      <c r="BH18" s="128">
        <v>568497.84000000008</v>
      </c>
      <c r="BI18" s="128">
        <v>0</v>
      </c>
      <c r="BJ18" s="30">
        <f t="shared" si="5"/>
        <v>568497.84000000008</v>
      </c>
      <c r="BL18" s="128">
        <v>1135978.94</v>
      </c>
      <c r="BM18" s="128">
        <v>0</v>
      </c>
      <c r="BN18" s="30">
        <f t="shared" ref="BN18:BN22" si="9">SUM(BL18:BM18)</f>
        <v>1135978.94</v>
      </c>
      <c r="BP18" s="30">
        <v>278079</v>
      </c>
      <c r="BQ18" s="30">
        <v>1174602.8500000001</v>
      </c>
      <c r="BR18" s="30">
        <f t="shared" si="8"/>
        <v>1452681.85</v>
      </c>
    </row>
    <row r="19" spans="1:70">
      <c r="A19" s="1" t="s">
        <v>12</v>
      </c>
      <c r="B19" s="297">
        <v>5352717.97</v>
      </c>
      <c r="C19" s="297">
        <v>6023256</v>
      </c>
      <c r="D19" s="297">
        <v>6435390.5700000003</v>
      </c>
      <c r="E19" s="297">
        <v>6478287.3499999996</v>
      </c>
      <c r="F19" s="297">
        <v>6887230.3500000006</v>
      </c>
      <c r="G19" s="297">
        <v>8804352.5800000001</v>
      </c>
      <c r="H19" s="297">
        <v>8280104.7199999997</v>
      </c>
      <c r="I19" s="297">
        <v>6989445.8099999996</v>
      </c>
      <c r="J19" s="297">
        <v>5095512.04</v>
      </c>
      <c r="K19" s="374">
        <v>5111823.8499999996</v>
      </c>
      <c r="L19" s="240">
        <f>(K19-J19)*100/J19</f>
        <v>0.32012111583587954</v>
      </c>
      <c r="M19" s="48">
        <f t="shared" si="7"/>
        <v>-4.5004074817713615</v>
      </c>
      <c r="N19" s="36">
        <v>181781</v>
      </c>
      <c r="O19" s="36">
        <v>145083</v>
      </c>
      <c r="P19" s="36">
        <v>287239</v>
      </c>
      <c r="Q19" s="36">
        <v>390340</v>
      </c>
      <c r="R19" s="36">
        <v>484747</v>
      </c>
      <c r="S19" s="36">
        <v>1071070</v>
      </c>
      <c r="T19" s="36">
        <v>1309347</v>
      </c>
      <c r="U19" s="36">
        <v>1659865</v>
      </c>
      <c r="V19" s="36">
        <v>1765997</v>
      </c>
      <c r="W19" s="36">
        <v>1234230</v>
      </c>
      <c r="X19" s="36">
        <v>1513701</v>
      </c>
      <c r="Y19" s="36">
        <v>1453077</v>
      </c>
      <c r="Z19" s="41">
        <v>1538802</v>
      </c>
      <c r="AA19" s="78">
        <v>2127540</v>
      </c>
      <c r="AB19" s="78">
        <v>2884568</v>
      </c>
      <c r="AC19" s="78">
        <v>3253543</v>
      </c>
      <c r="AD19" s="297">
        <v>4117736.74</v>
      </c>
      <c r="AE19" s="92">
        <v>4687278.71</v>
      </c>
      <c r="AF19" s="297">
        <v>5352717.97</v>
      </c>
      <c r="AG19" s="128">
        <v>4687278.71</v>
      </c>
      <c r="AH19" s="92">
        <v>5352717.97</v>
      </c>
      <c r="AJ19" s="30">
        <v>5974950</v>
      </c>
      <c r="AK19" s="30">
        <v>48306</v>
      </c>
      <c r="AL19" s="30">
        <f>SUM(AJ19:AK19)</f>
        <v>6023256</v>
      </c>
      <c r="AN19" s="92">
        <v>6383567</v>
      </c>
      <c r="AO19" s="92">
        <v>51823.57</v>
      </c>
      <c r="AP19" s="30">
        <f>SUM(AN19:AO19)</f>
        <v>6435390.5700000003</v>
      </c>
      <c r="AR19" s="242">
        <v>6437594.3499999996</v>
      </c>
      <c r="AS19" s="3">
        <v>40693</v>
      </c>
      <c r="AT19" s="30">
        <f>SUM(AR19:AS19)</f>
        <v>6478287.3499999996</v>
      </c>
      <c r="AV19" s="242">
        <v>6874216.1900000004</v>
      </c>
      <c r="AW19" s="3">
        <v>13014.16</v>
      </c>
      <c r="AX19" s="30">
        <f>SUM(AV19:AW19)</f>
        <v>6887230.3500000006</v>
      </c>
      <c r="AZ19" s="128">
        <v>8804352.5800000001</v>
      </c>
      <c r="BA19" s="128">
        <v>0</v>
      </c>
      <c r="BB19" s="30">
        <f>SUM(AZ19:BA19)</f>
        <v>8804352.5800000001</v>
      </c>
      <c r="BD19" s="281">
        <v>8280104.7199999997</v>
      </c>
      <c r="BE19" s="128">
        <v>0</v>
      </c>
      <c r="BF19" s="30">
        <f>SUM(BD19:BE19)</f>
        <v>8280104.7199999997</v>
      </c>
      <c r="BH19" s="128">
        <v>6989445.8099999996</v>
      </c>
      <c r="BI19" s="128">
        <v>0</v>
      </c>
      <c r="BJ19" s="30">
        <f t="shared" si="5"/>
        <v>6989445.8099999996</v>
      </c>
      <c r="BL19" s="128">
        <v>5095512.04</v>
      </c>
      <c r="BM19" s="128">
        <v>0</v>
      </c>
      <c r="BN19" s="30">
        <f t="shared" si="9"/>
        <v>5095512.04</v>
      </c>
      <c r="BP19" s="30">
        <v>0</v>
      </c>
      <c r="BQ19" s="30">
        <v>5111823.8499999996</v>
      </c>
      <c r="BR19" s="30">
        <f t="shared" si="8"/>
        <v>5111823.8499999996</v>
      </c>
    </row>
    <row r="20" spans="1:70">
      <c r="A20" s="1" t="s">
        <v>13</v>
      </c>
      <c r="B20" s="297">
        <v>2372012.69</v>
      </c>
      <c r="C20" s="297">
        <v>2693078</v>
      </c>
      <c r="D20" s="297">
        <v>3756440.4</v>
      </c>
      <c r="E20" s="297">
        <v>3726900.32</v>
      </c>
      <c r="F20" s="297">
        <v>4081479.09</v>
      </c>
      <c r="G20" s="297">
        <v>3543263.91</v>
      </c>
      <c r="H20" s="297">
        <v>3641145.42</v>
      </c>
      <c r="I20" s="297">
        <v>3865056.74</v>
      </c>
      <c r="J20" s="297">
        <v>3507331.02</v>
      </c>
      <c r="K20" s="374">
        <v>3240748.51</v>
      </c>
      <c r="L20" s="240">
        <f>(K20-J20)*100/J20</f>
        <v>-7.6007228425220106</v>
      </c>
      <c r="M20" s="48">
        <f t="shared" si="7"/>
        <v>36.624417047279785</v>
      </c>
      <c r="N20" s="36">
        <v>179330</v>
      </c>
      <c r="O20" s="36">
        <v>109835</v>
      </c>
      <c r="P20" s="36">
        <v>177766</v>
      </c>
      <c r="Q20" s="36">
        <v>253429</v>
      </c>
      <c r="R20" s="36">
        <v>320346</v>
      </c>
      <c r="S20" s="36">
        <v>307692</v>
      </c>
      <c r="T20" s="36">
        <v>425132</v>
      </c>
      <c r="U20" s="36">
        <v>452140</v>
      </c>
      <c r="V20" s="36">
        <v>539188</v>
      </c>
      <c r="W20" s="36">
        <v>497511</v>
      </c>
      <c r="X20" s="36">
        <v>431503</v>
      </c>
      <c r="Y20" s="36">
        <v>581970</v>
      </c>
      <c r="Z20" s="41">
        <v>721794</v>
      </c>
      <c r="AA20" s="78">
        <v>657215</v>
      </c>
      <c r="AB20" s="78">
        <v>723817</v>
      </c>
      <c r="AC20" s="78">
        <v>884360</v>
      </c>
      <c r="AD20" s="297">
        <v>1341863.93</v>
      </c>
      <c r="AE20" s="92">
        <v>1837268.47</v>
      </c>
      <c r="AF20" s="297">
        <v>2372012.69</v>
      </c>
      <c r="AG20" s="128">
        <v>1837268.47</v>
      </c>
      <c r="AH20" s="92">
        <v>2372012.69</v>
      </c>
      <c r="AJ20" s="30">
        <v>2693078</v>
      </c>
      <c r="AK20" s="30">
        <v>0</v>
      </c>
      <c r="AL20" s="30">
        <f>SUM(AJ20:AK20)</f>
        <v>2693078</v>
      </c>
      <c r="AN20" s="92">
        <v>3756440.4</v>
      </c>
      <c r="AO20" s="222">
        <v>0</v>
      </c>
      <c r="AP20" s="30">
        <f>SUM(AN20:AO20)</f>
        <v>3756440.4</v>
      </c>
      <c r="AR20" s="242">
        <v>3726900.32</v>
      </c>
      <c r="AS20" s="3">
        <v>0</v>
      </c>
      <c r="AT20" s="30">
        <f>SUM(AR20:AS20)</f>
        <v>3726900.32</v>
      </c>
      <c r="AV20" s="242">
        <v>4081479.09</v>
      </c>
      <c r="AW20" s="3">
        <v>0</v>
      </c>
      <c r="AX20" s="30">
        <f>SUM(AV20:AW20)</f>
        <v>4081479.09</v>
      </c>
      <c r="AZ20" s="128">
        <v>3543263.91</v>
      </c>
      <c r="BA20" s="128">
        <v>0</v>
      </c>
      <c r="BB20" s="30">
        <f>SUM(AZ20:BA20)</f>
        <v>3543263.91</v>
      </c>
      <c r="BD20" s="281">
        <v>3641145.42</v>
      </c>
      <c r="BE20" s="128">
        <v>0</v>
      </c>
      <c r="BF20" s="30">
        <f>SUM(BD20:BE20)</f>
        <v>3641145.42</v>
      </c>
      <c r="BH20" s="128">
        <v>3865056.74</v>
      </c>
      <c r="BI20" s="128">
        <v>0</v>
      </c>
      <c r="BJ20" s="30">
        <f t="shared" si="5"/>
        <v>3865056.74</v>
      </c>
      <c r="BL20" s="128">
        <v>3507331.02</v>
      </c>
      <c r="BM20" s="128">
        <v>0</v>
      </c>
      <c r="BN20" s="30">
        <f t="shared" si="9"/>
        <v>3507331.02</v>
      </c>
      <c r="BP20" s="30">
        <v>3240748.51</v>
      </c>
      <c r="BQ20" s="30">
        <v>0</v>
      </c>
      <c r="BR20" s="30">
        <f t="shared" si="8"/>
        <v>3240748.51</v>
      </c>
    </row>
    <row r="21" spans="1:70">
      <c r="A21" s="1" t="s">
        <v>14</v>
      </c>
      <c r="B21" s="297">
        <v>3038027.57</v>
      </c>
      <c r="C21" s="297">
        <v>3105690</v>
      </c>
      <c r="D21" s="297">
        <v>2703639.71</v>
      </c>
      <c r="E21" s="297">
        <v>2960669.83</v>
      </c>
      <c r="F21" s="297">
        <v>2925826.03</v>
      </c>
      <c r="G21" s="297">
        <v>2956789.26</v>
      </c>
      <c r="H21" s="297">
        <v>3308499.12</v>
      </c>
      <c r="I21" s="297">
        <v>3002508.24</v>
      </c>
      <c r="J21" s="297">
        <v>3327565.66</v>
      </c>
      <c r="K21" s="374">
        <v>3734027.53</v>
      </c>
      <c r="L21" s="240">
        <f>(K21-J21)*100/J21</f>
        <v>12.214991724611066</v>
      </c>
      <c r="M21" s="48">
        <f t="shared" si="7"/>
        <v>22.909599862518693</v>
      </c>
      <c r="N21" s="36">
        <v>150526</v>
      </c>
      <c r="O21" s="36">
        <v>94954</v>
      </c>
      <c r="P21" s="36">
        <v>215374</v>
      </c>
      <c r="Q21" s="36">
        <v>299312</v>
      </c>
      <c r="R21" s="36">
        <v>388379</v>
      </c>
      <c r="S21" s="36">
        <v>856539</v>
      </c>
      <c r="T21" s="36">
        <v>1094396</v>
      </c>
      <c r="U21" s="36">
        <v>1202585</v>
      </c>
      <c r="V21" s="36">
        <v>1083193</v>
      </c>
      <c r="W21" s="36">
        <v>1034116</v>
      </c>
      <c r="X21" s="36">
        <v>702142</v>
      </c>
      <c r="Y21" s="36">
        <v>1079942</v>
      </c>
      <c r="Z21" s="41">
        <v>1695340</v>
      </c>
      <c r="AA21" s="78">
        <v>2180167</v>
      </c>
      <c r="AB21" s="78">
        <v>1919332</v>
      </c>
      <c r="AC21" s="78">
        <v>2602218</v>
      </c>
      <c r="AD21" s="297">
        <v>2595986.17</v>
      </c>
      <c r="AE21" s="92">
        <v>2422764.4300000002</v>
      </c>
      <c r="AF21" s="297">
        <v>3038027.57</v>
      </c>
      <c r="AG21" s="128">
        <v>2422764.4300000002</v>
      </c>
      <c r="AH21" s="92">
        <v>3038027.57</v>
      </c>
      <c r="AJ21" s="30">
        <v>2980146</v>
      </c>
      <c r="AK21" s="30">
        <v>125544</v>
      </c>
      <c r="AL21" s="30">
        <f>SUM(AJ21:AK21)</f>
        <v>3105690</v>
      </c>
      <c r="AN21" s="92">
        <v>2665818.65</v>
      </c>
      <c r="AO21" s="92">
        <v>37821.06</v>
      </c>
      <c r="AP21" s="30">
        <f>SUM(AN21:AO21)</f>
        <v>2703639.71</v>
      </c>
      <c r="AR21" s="242">
        <v>2959419.83</v>
      </c>
      <c r="AS21" s="3">
        <v>1250</v>
      </c>
      <c r="AT21" s="30">
        <f>SUM(AR21:AS21)</f>
        <v>2960669.83</v>
      </c>
      <c r="AV21" s="242">
        <v>2925826.03</v>
      </c>
      <c r="AW21" s="3">
        <v>0</v>
      </c>
      <c r="AX21" s="30">
        <f>SUM(AV21:AW21)</f>
        <v>2925826.03</v>
      </c>
      <c r="AZ21" s="128">
        <v>2956789.26</v>
      </c>
      <c r="BA21" s="128">
        <v>0</v>
      </c>
      <c r="BB21" s="30">
        <f>SUM(AZ21:BA21)</f>
        <v>2956789.26</v>
      </c>
      <c r="BD21" s="281">
        <v>3308499.12</v>
      </c>
      <c r="BE21" s="128">
        <v>0</v>
      </c>
      <c r="BF21" s="30">
        <f>SUM(BD21:BE21)</f>
        <v>3308499.12</v>
      </c>
      <c r="BH21" s="128">
        <v>3002508.24</v>
      </c>
      <c r="BI21" s="128">
        <v>0</v>
      </c>
      <c r="BJ21" s="30">
        <f t="shared" si="5"/>
        <v>3002508.24</v>
      </c>
      <c r="BL21" s="128">
        <v>3327565.66</v>
      </c>
      <c r="BM21" s="128">
        <v>0</v>
      </c>
      <c r="BN21" s="30">
        <f t="shared" si="9"/>
        <v>3327565.66</v>
      </c>
      <c r="BP21" s="30">
        <v>3060534.53</v>
      </c>
      <c r="BQ21" s="30">
        <v>673493</v>
      </c>
      <c r="BR21" s="30">
        <f t="shared" si="8"/>
        <v>3734027.53</v>
      </c>
    </row>
    <row r="22" spans="1:70">
      <c r="A22" s="1" t="s">
        <v>15</v>
      </c>
      <c r="B22" s="298">
        <v>0</v>
      </c>
      <c r="C22" s="298">
        <v>0</v>
      </c>
      <c r="D22" s="298">
        <v>0</v>
      </c>
      <c r="E22" s="298">
        <v>0</v>
      </c>
      <c r="F22" s="298">
        <v>0</v>
      </c>
      <c r="G22" s="298">
        <v>0</v>
      </c>
      <c r="H22" s="298">
        <v>0</v>
      </c>
      <c r="I22" s="298">
        <v>0</v>
      </c>
      <c r="J22" s="298">
        <v>0</v>
      </c>
      <c r="K22" s="324">
        <v>0</v>
      </c>
      <c r="L22" s="243" t="s">
        <v>118</v>
      </c>
      <c r="M22" s="401" t="s">
        <v>118</v>
      </c>
      <c r="N22" s="36">
        <v>48031</v>
      </c>
      <c r="O22" s="36">
        <v>49884</v>
      </c>
      <c r="P22" s="36">
        <v>4649</v>
      </c>
      <c r="Q22" s="36">
        <v>52811</v>
      </c>
      <c r="R22" s="36">
        <v>56187</v>
      </c>
      <c r="S22" s="36">
        <v>66560</v>
      </c>
      <c r="T22" s="36">
        <v>98653</v>
      </c>
      <c r="U22" s="36">
        <v>31491</v>
      </c>
      <c r="V22" s="41">
        <v>0</v>
      </c>
      <c r="W22" s="41">
        <v>0</v>
      </c>
      <c r="X22" s="36">
        <v>36257</v>
      </c>
      <c r="Y22" s="36">
        <v>9012</v>
      </c>
      <c r="Z22" s="41">
        <v>-17769</v>
      </c>
      <c r="AA22" s="78">
        <v>7883</v>
      </c>
      <c r="AB22" s="78">
        <v>70811</v>
      </c>
      <c r="AC22" s="78">
        <v>57045</v>
      </c>
      <c r="AD22" s="298">
        <v>0</v>
      </c>
      <c r="AE22" s="92">
        <v>0</v>
      </c>
      <c r="AF22" s="298">
        <v>0</v>
      </c>
      <c r="AG22" s="128">
        <v>0</v>
      </c>
      <c r="AH22" s="92">
        <v>0</v>
      </c>
      <c r="AJ22" s="30">
        <v>0</v>
      </c>
      <c r="AK22" s="30">
        <v>0</v>
      </c>
      <c r="AL22" s="30">
        <f>SUM(AJ22:AK22)</f>
        <v>0</v>
      </c>
      <c r="AN22" s="222">
        <v>0</v>
      </c>
      <c r="AO22" s="222">
        <v>0</v>
      </c>
      <c r="AP22" s="30">
        <f>SUM(AN22:AO22)</f>
        <v>0</v>
      </c>
      <c r="AR22" s="242">
        <v>0</v>
      </c>
      <c r="AS22" s="3">
        <v>0</v>
      </c>
      <c r="AT22" s="30">
        <f>SUM(AR22:AS22)</f>
        <v>0</v>
      </c>
      <c r="AV22" s="242">
        <v>0</v>
      </c>
      <c r="AW22" s="3">
        <v>0</v>
      </c>
      <c r="AX22" s="30">
        <f>SUM(AV22:AW22)</f>
        <v>0</v>
      </c>
      <c r="AZ22" s="128">
        <v>0</v>
      </c>
      <c r="BA22" s="128">
        <v>0</v>
      </c>
      <c r="BB22" s="30">
        <f>SUM(AZ22:BA22)</f>
        <v>0</v>
      </c>
      <c r="BD22" s="281">
        <v>0</v>
      </c>
      <c r="BE22" s="128">
        <v>0</v>
      </c>
      <c r="BF22" s="30">
        <f>SUM(BD22:BE22)</f>
        <v>0</v>
      </c>
      <c r="BH22" s="128">
        <v>0</v>
      </c>
      <c r="BI22" s="128">
        <v>0</v>
      </c>
      <c r="BJ22" s="30">
        <f t="shared" si="5"/>
        <v>0</v>
      </c>
      <c r="BL22" s="128">
        <v>0</v>
      </c>
      <c r="BM22" s="128">
        <v>0</v>
      </c>
      <c r="BN22" s="30">
        <f t="shared" si="9"/>
        <v>0</v>
      </c>
      <c r="BP22" s="30">
        <v>0</v>
      </c>
      <c r="BQ22" s="30">
        <v>0</v>
      </c>
      <c r="BR22" s="30">
        <f t="shared" si="8"/>
        <v>0</v>
      </c>
    </row>
    <row r="23" spans="1:70">
      <c r="A23" s="1"/>
      <c r="B23" s="297"/>
      <c r="C23" s="297"/>
      <c r="D23" s="297"/>
      <c r="E23" s="297"/>
      <c r="F23" s="297"/>
      <c r="G23" s="297"/>
      <c r="H23" s="297"/>
      <c r="I23" s="297"/>
      <c r="J23" s="297"/>
      <c r="K23" s="374"/>
      <c r="L23" s="48"/>
      <c r="M23" s="48"/>
      <c r="N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41"/>
      <c r="AA23" s="78"/>
      <c r="AB23" s="78"/>
      <c r="AC23" s="78"/>
      <c r="AD23" s="297"/>
      <c r="AE23" s="92"/>
      <c r="AF23" s="297"/>
      <c r="AG23" s="128"/>
      <c r="AH23" s="92"/>
      <c r="AN23" s="222"/>
      <c r="AO23" s="222"/>
      <c r="AR23" s="242"/>
      <c r="AS23" s="3"/>
      <c r="AV23" s="242"/>
      <c r="AW23" s="3"/>
      <c r="AZ23" s="259"/>
      <c r="BA23" s="128"/>
      <c r="BD23" s="284"/>
      <c r="BE23" s="128"/>
      <c r="BH23" s="284"/>
      <c r="BI23" s="128"/>
      <c r="BL23" s="284"/>
      <c r="BM23" s="284"/>
    </row>
    <row r="24" spans="1:70">
      <c r="A24" s="1" t="s">
        <v>16</v>
      </c>
      <c r="B24" s="297">
        <v>3198938.99</v>
      </c>
      <c r="C24" s="297">
        <v>4028699</v>
      </c>
      <c r="D24" s="297">
        <v>4027647.78</v>
      </c>
      <c r="E24" s="297">
        <v>4206221.29</v>
      </c>
      <c r="F24" s="297">
        <v>5184362.46</v>
      </c>
      <c r="G24" s="297">
        <v>5986600.2000000002</v>
      </c>
      <c r="H24" s="297">
        <v>5960383.1500000004</v>
      </c>
      <c r="I24" s="297">
        <v>6570471.5</v>
      </c>
      <c r="J24" s="297">
        <v>7398685.9900000002</v>
      </c>
      <c r="K24" s="374">
        <v>7654043.46</v>
      </c>
      <c r="L24" s="240">
        <f>(K24-J24)*100/J24</f>
        <v>3.4513894811205486</v>
      </c>
      <c r="M24" s="48">
        <f t="shared" si="7"/>
        <v>139.26819123236857</v>
      </c>
      <c r="N24" s="36">
        <v>328177</v>
      </c>
      <c r="O24" s="36">
        <v>150315</v>
      </c>
      <c r="P24" s="36">
        <v>131216</v>
      </c>
      <c r="Q24" s="36">
        <v>268296</v>
      </c>
      <c r="R24" s="36">
        <v>332961</v>
      </c>
      <c r="S24" s="36">
        <v>624832</v>
      </c>
      <c r="T24" s="36">
        <v>435158</v>
      </c>
      <c r="U24" s="36">
        <v>421635</v>
      </c>
      <c r="V24" s="36">
        <v>497751</v>
      </c>
      <c r="W24" s="36">
        <v>1086657</v>
      </c>
      <c r="X24" s="36">
        <v>1247218</v>
      </c>
      <c r="Y24" s="36">
        <v>1426190</v>
      </c>
      <c r="Z24" s="41">
        <v>2605232</v>
      </c>
      <c r="AA24" s="78">
        <v>2549045</v>
      </c>
      <c r="AB24" s="78">
        <v>2562879</v>
      </c>
      <c r="AC24" s="78">
        <v>2259436</v>
      </c>
      <c r="AD24" s="297">
        <v>1686186.95</v>
      </c>
      <c r="AE24" s="92">
        <v>1988703.58</v>
      </c>
      <c r="AF24" s="297">
        <v>3198938.99</v>
      </c>
      <c r="AG24" s="128">
        <v>1988703.58</v>
      </c>
      <c r="AH24" s="92">
        <v>3198938.99</v>
      </c>
      <c r="AJ24" s="30">
        <v>4028699</v>
      </c>
      <c r="AK24" s="30">
        <v>0</v>
      </c>
      <c r="AL24" s="30">
        <f>SUM(AJ24:AK24)</f>
        <v>4028699</v>
      </c>
      <c r="AN24" s="92">
        <v>4027647.78</v>
      </c>
      <c r="AO24" s="92">
        <v>0</v>
      </c>
      <c r="AP24" s="30">
        <f>SUM(AN24:AO24)</f>
        <v>4027647.78</v>
      </c>
      <c r="AR24" s="242">
        <v>4206221.29</v>
      </c>
      <c r="AS24" s="3">
        <v>0</v>
      </c>
      <c r="AT24" s="30">
        <f>SUM(AR24:AS24)</f>
        <v>4206221.29</v>
      </c>
      <c r="AV24" s="242">
        <v>5184362.46</v>
      </c>
      <c r="AW24" s="3">
        <v>0</v>
      </c>
      <c r="AX24" s="30">
        <f>SUM(AV24:AW24)</f>
        <v>5184362.46</v>
      </c>
      <c r="AZ24" s="128">
        <v>5986600.2000000002</v>
      </c>
      <c r="BA24" s="128">
        <v>0</v>
      </c>
      <c r="BB24" s="30">
        <f>SUM(AZ24:BA24)</f>
        <v>5986600.2000000002</v>
      </c>
      <c r="BD24" s="281">
        <v>5960383.1500000004</v>
      </c>
      <c r="BE24" s="128">
        <v>0</v>
      </c>
      <c r="BF24" s="30">
        <f>SUM(BD24:BE24)</f>
        <v>5960383.1500000004</v>
      </c>
      <c r="BH24" s="128">
        <v>6537828.5</v>
      </c>
      <c r="BI24" s="128">
        <v>32643</v>
      </c>
      <c r="BJ24" s="30">
        <f t="shared" si="5"/>
        <v>6570471.5</v>
      </c>
      <c r="BL24" s="128">
        <v>7398685.9900000002</v>
      </c>
      <c r="BM24" s="128">
        <v>0</v>
      </c>
      <c r="BN24" s="30">
        <f t="shared" ref="BN24:BN28" si="10">SUM(BL24:BM24)</f>
        <v>7398685.9900000002</v>
      </c>
      <c r="BP24" s="30">
        <v>7654043.46</v>
      </c>
      <c r="BQ24" s="30">
        <v>0</v>
      </c>
      <c r="BR24" s="30">
        <f t="shared" si="8"/>
        <v>7654043.46</v>
      </c>
    </row>
    <row r="25" spans="1:70">
      <c r="A25" s="1" t="s">
        <v>17</v>
      </c>
      <c r="B25" s="297">
        <v>176852.13</v>
      </c>
      <c r="C25" s="297">
        <v>206745</v>
      </c>
      <c r="D25" s="297">
        <v>265347.88</v>
      </c>
      <c r="E25" s="297">
        <v>415119.86</v>
      </c>
      <c r="F25" s="297">
        <v>555015.42000000004</v>
      </c>
      <c r="G25" s="297">
        <v>585277.53</v>
      </c>
      <c r="H25" s="297">
        <v>771348.01</v>
      </c>
      <c r="I25" s="297">
        <v>724015.55</v>
      </c>
      <c r="J25" s="297">
        <v>867919.02</v>
      </c>
      <c r="K25" s="374">
        <v>730981.88</v>
      </c>
      <c r="L25" s="240">
        <f>(K25-J25)*100/J25</f>
        <v>-15.777640176614636</v>
      </c>
      <c r="M25" s="48">
        <f t="shared" si="7"/>
        <v>313.3294181981297</v>
      </c>
      <c r="N25" s="36">
        <v>43595</v>
      </c>
      <c r="O25" s="36">
        <v>46144</v>
      </c>
      <c r="P25" s="36">
        <v>44081</v>
      </c>
      <c r="Q25" s="36">
        <v>26444</v>
      </c>
      <c r="R25" s="36">
        <v>37515</v>
      </c>
      <c r="S25" s="36">
        <v>64595</v>
      </c>
      <c r="T25" s="36">
        <v>140928</v>
      </c>
      <c r="U25" s="36">
        <v>50012</v>
      </c>
      <c r="V25" s="36">
        <v>55643</v>
      </c>
      <c r="W25" s="36">
        <v>36456</v>
      </c>
      <c r="X25" s="36">
        <v>136142</v>
      </c>
      <c r="Y25" s="36">
        <v>145987</v>
      </c>
      <c r="Z25" s="41">
        <v>22079</v>
      </c>
      <c r="AA25" s="78">
        <v>34624</v>
      </c>
      <c r="AB25" s="78">
        <v>80166</v>
      </c>
      <c r="AC25" s="157">
        <v>0</v>
      </c>
      <c r="AD25" s="297">
        <v>100947.23</v>
      </c>
      <c r="AE25" s="92">
        <v>110086.24</v>
      </c>
      <c r="AF25" s="297">
        <v>176852.13</v>
      </c>
      <c r="AG25" s="128">
        <v>110086.24</v>
      </c>
      <c r="AH25" s="92">
        <v>176852.13</v>
      </c>
      <c r="AJ25" s="30">
        <v>206745</v>
      </c>
      <c r="AK25" s="30">
        <v>0</v>
      </c>
      <c r="AL25" s="30">
        <f>SUM(AJ25:AK25)</f>
        <v>206745</v>
      </c>
      <c r="AN25" s="92">
        <v>258943.66</v>
      </c>
      <c r="AO25" s="92">
        <v>6404.22</v>
      </c>
      <c r="AP25" s="30">
        <f>SUM(AN25:AO25)</f>
        <v>265347.88</v>
      </c>
      <c r="AR25" s="242">
        <v>415119.86</v>
      </c>
      <c r="AS25" s="3">
        <v>0</v>
      </c>
      <c r="AT25" s="30">
        <f>SUM(AR25:AS25)</f>
        <v>415119.86</v>
      </c>
      <c r="AV25" s="242">
        <v>555015.42000000004</v>
      </c>
      <c r="AW25" s="3">
        <v>0</v>
      </c>
      <c r="AX25" s="30">
        <f>SUM(AV25:AW25)</f>
        <v>555015.42000000004</v>
      </c>
      <c r="AZ25" s="128">
        <v>585277.53</v>
      </c>
      <c r="BA25" s="128">
        <v>0</v>
      </c>
      <c r="BB25" s="30">
        <f>SUM(AZ25:BA25)</f>
        <v>585277.53</v>
      </c>
      <c r="BD25" s="281">
        <v>771348.01</v>
      </c>
      <c r="BE25" s="128">
        <v>0</v>
      </c>
      <c r="BF25" s="30">
        <f>SUM(BD25:BE25)</f>
        <v>771348.01</v>
      </c>
      <c r="BH25" s="128">
        <v>724015.55</v>
      </c>
      <c r="BI25" s="128">
        <v>0</v>
      </c>
      <c r="BJ25" s="30">
        <f t="shared" si="5"/>
        <v>724015.55</v>
      </c>
      <c r="BL25" s="128">
        <v>867919.02</v>
      </c>
      <c r="BM25" s="128">
        <v>0</v>
      </c>
      <c r="BN25" s="30">
        <f t="shared" si="10"/>
        <v>867919.02</v>
      </c>
      <c r="BP25" s="30">
        <v>728367.46</v>
      </c>
      <c r="BQ25" s="30">
        <v>2614.42</v>
      </c>
      <c r="BR25" s="30">
        <f t="shared" si="8"/>
        <v>730981.88</v>
      </c>
    </row>
    <row r="26" spans="1:70">
      <c r="A26" s="1" t="s">
        <v>18</v>
      </c>
      <c r="B26" s="297">
        <v>6673444</v>
      </c>
      <c r="C26" s="297">
        <v>7151683</v>
      </c>
      <c r="D26" s="297">
        <v>8289305</v>
      </c>
      <c r="E26" s="297">
        <v>9272055.379999999</v>
      </c>
      <c r="F26" s="297">
        <v>9548022.8399999999</v>
      </c>
      <c r="G26" s="297">
        <v>10572669.190000001</v>
      </c>
      <c r="H26" s="297">
        <v>10417298.17</v>
      </c>
      <c r="I26" s="297">
        <v>12002690.26</v>
      </c>
      <c r="J26" s="297">
        <v>13587730.469999999</v>
      </c>
      <c r="K26" s="374">
        <v>14116953.110000001</v>
      </c>
      <c r="L26" s="240">
        <f>(K26-J26)*100/J26</f>
        <v>3.8948567692629723</v>
      </c>
      <c r="M26" s="48">
        <f t="shared" si="7"/>
        <v>111.5392458526662</v>
      </c>
      <c r="N26" s="36">
        <v>411710</v>
      </c>
      <c r="O26" s="36">
        <v>507120</v>
      </c>
      <c r="P26" s="36">
        <v>541671</v>
      </c>
      <c r="Q26" s="36">
        <v>530262</v>
      </c>
      <c r="R26" s="36">
        <v>531444</v>
      </c>
      <c r="S26" s="36">
        <v>1102569</v>
      </c>
      <c r="T26" s="36">
        <v>1285983</v>
      </c>
      <c r="U26" s="36">
        <v>1930766</v>
      </c>
      <c r="V26" s="36">
        <v>1591834</v>
      </c>
      <c r="W26" s="36">
        <v>1211765</v>
      </c>
      <c r="X26" s="36">
        <v>1361041</v>
      </c>
      <c r="Y26" s="36">
        <v>2303965</v>
      </c>
      <c r="Z26" s="41">
        <v>2921430</v>
      </c>
      <c r="AA26" s="78">
        <v>3106594</v>
      </c>
      <c r="AB26" s="78">
        <v>3146102</v>
      </c>
      <c r="AC26" s="78">
        <v>3467646</v>
      </c>
      <c r="AD26" s="297">
        <v>4067039.94</v>
      </c>
      <c r="AE26" s="92">
        <v>4825533.1900000004</v>
      </c>
      <c r="AF26" s="297">
        <v>6673444</v>
      </c>
      <c r="AG26" s="128">
        <v>4825533.1900000004</v>
      </c>
      <c r="AH26" s="92">
        <v>6673444</v>
      </c>
      <c r="AJ26" s="30">
        <v>7151683</v>
      </c>
      <c r="AK26" s="30">
        <v>0</v>
      </c>
      <c r="AL26" s="30">
        <f>SUM(AJ26:AK26)</f>
        <v>7151683</v>
      </c>
      <c r="AN26" s="92">
        <v>8289305</v>
      </c>
      <c r="AO26" s="222">
        <v>0</v>
      </c>
      <c r="AP26" s="30">
        <f>SUM(AN26:AO26)</f>
        <v>8289305</v>
      </c>
      <c r="AR26" s="242">
        <v>9272055.379999999</v>
      </c>
      <c r="AS26" s="3">
        <v>0</v>
      </c>
      <c r="AT26" s="30">
        <f>SUM(AR26:AS26)</f>
        <v>9272055.379999999</v>
      </c>
      <c r="AV26" s="242">
        <v>9548022.8399999999</v>
      </c>
      <c r="AW26" s="3">
        <v>0</v>
      </c>
      <c r="AX26" s="30">
        <f>SUM(AV26:AW26)</f>
        <v>9548022.8399999999</v>
      </c>
      <c r="AZ26" s="128">
        <v>10572669.190000001</v>
      </c>
      <c r="BA26" s="128">
        <v>0</v>
      </c>
      <c r="BB26" s="30">
        <f>SUM(AZ26:BA26)</f>
        <v>10572669.190000001</v>
      </c>
      <c r="BD26" s="281">
        <v>10417298.17</v>
      </c>
      <c r="BE26" s="128">
        <v>0</v>
      </c>
      <c r="BF26" s="30">
        <f>SUM(BD26:BE26)</f>
        <v>10417298.17</v>
      </c>
      <c r="BH26" s="128">
        <v>11717752</v>
      </c>
      <c r="BI26" s="128">
        <v>284938.26</v>
      </c>
      <c r="BJ26" s="30">
        <f t="shared" si="5"/>
        <v>12002690.26</v>
      </c>
      <c r="BL26" s="128">
        <v>13403341.289999999</v>
      </c>
      <c r="BM26" s="128">
        <v>184389.18</v>
      </c>
      <c r="BN26" s="30">
        <f t="shared" si="10"/>
        <v>13587730.469999999</v>
      </c>
      <c r="BP26" s="30">
        <v>13772569.630000001</v>
      </c>
      <c r="BQ26" s="30">
        <v>344383.48000000004</v>
      </c>
      <c r="BR26" s="30">
        <f t="shared" si="8"/>
        <v>14116953.110000001</v>
      </c>
    </row>
    <row r="27" spans="1:70">
      <c r="A27" s="1" t="s">
        <v>19</v>
      </c>
      <c r="B27" s="297">
        <v>8231032</v>
      </c>
      <c r="C27" s="297">
        <v>4171756</v>
      </c>
      <c r="D27" s="297">
        <v>7211097</v>
      </c>
      <c r="E27" s="297">
        <v>7226502.4000000004</v>
      </c>
      <c r="F27" s="297">
        <v>7469855.1299999999</v>
      </c>
      <c r="G27" s="297">
        <v>8430665.3499999996</v>
      </c>
      <c r="H27" s="297">
        <v>8987678.0899999999</v>
      </c>
      <c r="I27" s="297">
        <v>9257563.0399999991</v>
      </c>
      <c r="J27" s="297">
        <v>9814065.0700000003</v>
      </c>
      <c r="K27" s="374">
        <v>9478868.3200000003</v>
      </c>
      <c r="L27" s="240">
        <f>(K27-J27)*100/J27</f>
        <v>-3.415473074706239</v>
      </c>
      <c r="M27" s="48">
        <f t="shared" si="7"/>
        <v>15.160144195770352</v>
      </c>
      <c r="N27" s="36">
        <v>606739</v>
      </c>
      <c r="O27" s="36">
        <v>686639</v>
      </c>
      <c r="P27" s="36">
        <v>761930</v>
      </c>
      <c r="Q27" s="36">
        <v>1525385</v>
      </c>
      <c r="R27" s="36">
        <v>832944</v>
      </c>
      <c r="S27" s="36">
        <v>2888853</v>
      </c>
      <c r="T27" s="36">
        <v>2658892</v>
      </c>
      <c r="U27" s="36">
        <v>2581864</v>
      </c>
      <c r="V27" s="36">
        <v>2583143</v>
      </c>
      <c r="W27" s="36">
        <v>2740671</v>
      </c>
      <c r="X27" s="36">
        <v>2508611</v>
      </c>
      <c r="Y27" s="36">
        <v>2830848</v>
      </c>
      <c r="Z27" s="41">
        <v>2825398</v>
      </c>
      <c r="AA27" s="78">
        <v>42514</v>
      </c>
      <c r="AB27" s="157">
        <v>0</v>
      </c>
      <c r="AC27" s="78">
        <v>4670868</v>
      </c>
      <c r="AD27" s="297">
        <v>5489616</v>
      </c>
      <c r="AE27" s="92">
        <v>3145354.99</v>
      </c>
      <c r="AF27" s="297">
        <v>8231032</v>
      </c>
      <c r="AG27" s="128">
        <v>3145354.99</v>
      </c>
      <c r="AH27" s="92">
        <v>8231032</v>
      </c>
      <c r="AJ27" s="30">
        <v>4143873.07</v>
      </c>
      <c r="AK27" s="30">
        <v>27882.5</v>
      </c>
      <c r="AL27" s="30">
        <f>SUM(AJ27:AK27)</f>
        <v>4171755.57</v>
      </c>
      <c r="AN27" s="92">
        <v>20251</v>
      </c>
      <c r="AO27" s="92">
        <v>7190846</v>
      </c>
      <c r="AP27" s="30">
        <f>SUM(AN27:AO27)</f>
        <v>7211097</v>
      </c>
      <c r="AR27" s="242">
        <v>3335234.4</v>
      </c>
      <c r="AS27" s="3">
        <v>3891268</v>
      </c>
      <c r="AT27" s="30">
        <f>SUM(AR27:AS27)</f>
        <v>7226502.4000000004</v>
      </c>
      <c r="AV27" s="242">
        <v>2884203.13</v>
      </c>
      <c r="AW27" s="3">
        <v>4585652</v>
      </c>
      <c r="AX27" s="30">
        <f>SUM(AV27:AW27)</f>
        <v>7469855.1299999999</v>
      </c>
      <c r="AZ27" s="128">
        <v>8430665.3499999996</v>
      </c>
      <c r="BA27" s="128">
        <v>0</v>
      </c>
      <c r="BB27" s="30">
        <f>SUM(AZ27:BA27)</f>
        <v>8430665.3499999996</v>
      </c>
      <c r="BD27" s="281">
        <v>8987678.0899999999</v>
      </c>
      <c r="BE27" s="128">
        <v>0</v>
      </c>
      <c r="BF27" s="30">
        <f>SUM(BD27:BE27)</f>
        <v>8987678.0899999999</v>
      </c>
      <c r="BH27" s="128">
        <v>4350893.0399999991</v>
      </c>
      <c r="BI27" s="128">
        <v>4906670</v>
      </c>
      <c r="BJ27" s="30">
        <f t="shared" si="5"/>
        <v>9257563.0399999991</v>
      </c>
      <c r="BL27" s="128">
        <v>3058224.07</v>
      </c>
      <c r="BM27" s="128">
        <v>6755841</v>
      </c>
      <c r="BN27" s="30">
        <f t="shared" si="10"/>
        <v>9814065.0700000003</v>
      </c>
      <c r="BP27" s="30">
        <v>6075993.3899999997</v>
      </c>
      <c r="BQ27" s="30">
        <v>3402874.93</v>
      </c>
      <c r="BR27" s="30">
        <f t="shared" si="8"/>
        <v>9478868.3200000003</v>
      </c>
    </row>
    <row r="28" spans="1:70">
      <c r="A28" s="1" t="s">
        <v>20</v>
      </c>
      <c r="B28" s="297">
        <v>63179</v>
      </c>
      <c r="C28" s="297">
        <v>56897</v>
      </c>
      <c r="D28" s="297">
        <v>125223</v>
      </c>
      <c r="E28" s="297">
        <v>139219</v>
      </c>
      <c r="F28" s="297">
        <v>20207</v>
      </c>
      <c r="G28" s="297">
        <v>21705</v>
      </c>
      <c r="H28" s="297">
        <v>39374.009999999995</v>
      </c>
      <c r="I28" s="297">
        <v>287754.23</v>
      </c>
      <c r="J28" s="297">
        <v>282472.40000000002</v>
      </c>
      <c r="K28" s="374">
        <v>484734.69</v>
      </c>
      <c r="L28" s="240">
        <f>(K28-J28)*100/J28</f>
        <v>71.604266469927666</v>
      </c>
      <c r="M28" s="48">
        <f t="shared" si="7"/>
        <v>667.24020639769549</v>
      </c>
      <c r="N28" s="36">
        <v>34080</v>
      </c>
      <c r="O28" s="36">
        <v>13038</v>
      </c>
      <c r="P28" s="36">
        <v>15000</v>
      </c>
      <c r="Q28" s="36">
        <v>18253</v>
      </c>
      <c r="R28" s="36">
        <v>43395</v>
      </c>
      <c r="S28" s="36">
        <v>30650</v>
      </c>
      <c r="T28" s="36">
        <v>62989</v>
      </c>
      <c r="U28" s="36">
        <v>10081</v>
      </c>
      <c r="V28" s="36">
        <v>15044</v>
      </c>
      <c r="W28" s="36">
        <v>15088</v>
      </c>
      <c r="X28" s="36">
        <v>22870</v>
      </c>
      <c r="Y28" s="36">
        <v>33411</v>
      </c>
      <c r="Z28" s="41">
        <v>37208</v>
      </c>
      <c r="AA28" s="78">
        <v>70149</v>
      </c>
      <c r="AB28" s="78">
        <v>35524</v>
      </c>
      <c r="AC28" s="78">
        <v>54210</v>
      </c>
      <c r="AD28" s="297">
        <v>27250</v>
      </c>
      <c r="AE28" s="92">
        <v>101585</v>
      </c>
      <c r="AF28" s="297">
        <v>63179</v>
      </c>
      <c r="AG28" s="128">
        <v>101585</v>
      </c>
      <c r="AH28" s="92">
        <v>63179</v>
      </c>
      <c r="AJ28" s="30">
        <v>0</v>
      </c>
      <c r="AK28" s="30">
        <v>56897</v>
      </c>
      <c r="AL28" s="30">
        <f>SUM(AJ28:AK28)</f>
        <v>56897</v>
      </c>
      <c r="AN28" s="92">
        <v>14833</v>
      </c>
      <c r="AO28" s="92">
        <v>110390</v>
      </c>
      <c r="AP28" s="30">
        <f>SUM(AN28:AO28)</f>
        <v>125223</v>
      </c>
      <c r="AR28" s="242">
        <v>0</v>
      </c>
      <c r="AS28" s="3">
        <v>139219</v>
      </c>
      <c r="AT28" s="30">
        <f>SUM(AR28:AS28)</f>
        <v>139219</v>
      </c>
      <c r="AV28" s="242">
        <v>0</v>
      </c>
      <c r="AW28" s="3">
        <v>20207</v>
      </c>
      <c r="AX28" s="30">
        <f>SUM(AV28:AW28)</f>
        <v>20207</v>
      </c>
      <c r="AZ28" s="128">
        <v>21705</v>
      </c>
      <c r="BA28" s="128">
        <v>0</v>
      </c>
      <c r="BB28" s="30">
        <f>SUM(AZ28:BA28)</f>
        <v>21705</v>
      </c>
      <c r="BD28" s="281">
        <v>39374.009999999995</v>
      </c>
      <c r="BE28" s="128">
        <v>0</v>
      </c>
      <c r="BF28" s="30">
        <f>SUM(BD28:BE28)</f>
        <v>39374.009999999995</v>
      </c>
      <c r="BH28" s="128">
        <v>0</v>
      </c>
      <c r="BI28" s="128">
        <v>287754.23</v>
      </c>
      <c r="BJ28" s="30">
        <f t="shared" si="5"/>
        <v>287754.23</v>
      </c>
      <c r="BL28" s="128">
        <v>0</v>
      </c>
      <c r="BM28" s="128">
        <v>282472.40000000002</v>
      </c>
      <c r="BN28" s="30">
        <f t="shared" si="10"/>
        <v>282472.40000000002</v>
      </c>
      <c r="BP28" s="30">
        <v>0</v>
      </c>
      <c r="BQ28" s="30">
        <v>484734.69</v>
      </c>
      <c r="BR28" s="30">
        <f t="shared" si="8"/>
        <v>484734.69</v>
      </c>
    </row>
    <row r="29" spans="1:70">
      <c r="A29" s="1"/>
      <c r="B29" s="297"/>
      <c r="C29" s="297"/>
      <c r="D29" s="297"/>
      <c r="E29" s="297"/>
      <c r="F29" s="297"/>
      <c r="G29" s="297"/>
      <c r="H29" s="297"/>
      <c r="I29" s="297"/>
      <c r="J29" s="297"/>
      <c r="K29" s="374"/>
      <c r="L29" s="48"/>
      <c r="M29" s="48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41"/>
      <c r="AA29" s="3"/>
      <c r="AB29" s="78"/>
      <c r="AC29" s="78"/>
      <c r="AD29" s="297"/>
      <c r="AE29" s="92"/>
      <c r="AF29" s="297"/>
      <c r="AG29" s="128"/>
      <c r="AH29" s="92"/>
      <c r="AN29" s="92"/>
      <c r="AO29" s="92"/>
      <c r="AR29" s="242"/>
      <c r="AS29" s="3"/>
      <c r="AV29" s="242"/>
      <c r="AW29" s="3"/>
      <c r="AZ29" s="259"/>
      <c r="BA29" s="128"/>
      <c r="BD29" s="284"/>
      <c r="BE29" s="128"/>
      <c r="BH29" s="284"/>
      <c r="BI29" s="128"/>
      <c r="BL29" s="284"/>
      <c r="BM29" s="284"/>
    </row>
    <row r="30" spans="1:70">
      <c r="A30" s="1" t="s">
        <v>21</v>
      </c>
      <c r="B30" s="297">
        <v>29381340</v>
      </c>
      <c r="C30" s="297">
        <v>31019017</v>
      </c>
      <c r="D30" s="297">
        <v>31359590</v>
      </c>
      <c r="E30" s="297">
        <v>33050703.27</v>
      </c>
      <c r="F30" s="297">
        <v>37759535.109999999</v>
      </c>
      <c r="G30" s="297">
        <v>40719695.340000004</v>
      </c>
      <c r="H30" s="297">
        <v>35385058.839999996</v>
      </c>
      <c r="I30" s="297">
        <v>33454890.699999999</v>
      </c>
      <c r="J30" s="297">
        <v>35826077.480000004</v>
      </c>
      <c r="K30" s="374">
        <v>36421431.130000003</v>
      </c>
      <c r="L30" s="240">
        <f>(K30-J30)*100/J30</f>
        <v>1.6617885402954207</v>
      </c>
      <c r="M30" s="48">
        <f t="shared" si="7"/>
        <v>23.96109615831001</v>
      </c>
      <c r="N30" s="36">
        <v>5799578</v>
      </c>
      <c r="O30" s="36">
        <v>6222306</v>
      </c>
      <c r="P30" s="36">
        <v>7063556</v>
      </c>
      <c r="Q30" s="36">
        <v>8277745</v>
      </c>
      <c r="R30" s="36">
        <v>9004374</v>
      </c>
      <c r="S30" s="36">
        <v>10729839</v>
      </c>
      <c r="T30" s="36">
        <v>12542026</v>
      </c>
      <c r="U30" s="36">
        <v>13840827</v>
      </c>
      <c r="V30" s="36">
        <v>14781298</v>
      </c>
      <c r="W30" s="36">
        <v>17753000</v>
      </c>
      <c r="X30" s="36">
        <v>19173780</v>
      </c>
      <c r="Y30" s="36">
        <v>20080952</v>
      </c>
      <c r="Z30" s="41">
        <v>19714560</v>
      </c>
      <c r="AA30" s="30">
        <v>17383405</v>
      </c>
      <c r="AB30" s="78">
        <v>18369620</v>
      </c>
      <c r="AC30" s="78">
        <v>18929685</v>
      </c>
      <c r="AD30" s="297">
        <v>20044203</v>
      </c>
      <c r="AE30" s="92">
        <v>24852540.41</v>
      </c>
      <c r="AF30" s="297">
        <v>29381340</v>
      </c>
      <c r="AG30" s="128">
        <v>24852540.41</v>
      </c>
      <c r="AH30" s="92">
        <v>29381340</v>
      </c>
      <c r="AJ30" s="30">
        <v>30927436</v>
      </c>
      <c r="AK30" s="30">
        <v>91581</v>
      </c>
      <c r="AL30" s="30">
        <f>SUM(AJ30:AK30)</f>
        <v>31019017</v>
      </c>
      <c r="AN30" s="92">
        <v>31259394</v>
      </c>
      <c r="AO30" s="92">
        <v>100196</v>
      </c>
      <c r="AP30" s="30">
        <f>SUM(AN30:AO30)</f>
        <v>31359590</v>
      </c>
      <c r="AR30" s="242">
        <v>32941497.829999998</v>
      </c>
      <c r="AS30" s="3">
        <v>109205.44</v>
      </c>
      <c r="AT30" s="30">
        <f>SUM(AR30:AS30)</f>
        <v>33050703.27</v>
      </c>
      <c r="AV30" s="242">
        <v>37656847.950000003</v>
      </c>
      <c r="AW30" s="3">
        <v>102687.16</v>
      </c>
      <c r="AX30" s="30">
        <f>SUM(AV30:AW30)</f>
        <v>37759535.109999999</v>
      </c>
      <c r="AZ30" s="128">
        <v>40719695.340000004</v>
      </c>
      <c r="BA30" s="128">
        <v>0</v>
      </c>
      <c r="BB30" s="30">
        <f>SUM(AZ30:BA30)</f>
        <v>40719695.340000004</v>
      </c>
      <c r="BD30" s="281">
        <v>35385058.839999996</v>
      </c>
      <c r="BE30" s="128">
        <v>0</v>
      </c>
      <c r="BF30" s="30">
        <f>SUM(BD30:BE30)</f>
        <v>35385058.839999996</v>
      </c>
      <c r="BH30" s="128">
        <v>33320975.57</v>
      </c>
      <c r="BI30" s="128">
        <v>133915.13</v>
      </c>
      <c r="BJ30" s="30">
        <f t="shared" si="5"/>
        <v>33454890.699999999</v>
      </c>
      <c r="BL30" s="128">
        <v>35710310.270000003</v>
      </c>
      <c r="BM30" s="128">
        <v>115767.21</v>
      </c>
      <c r="BN30" s="30">
        <f t="shared" ref="BN30:BN34" si="11">SUM(BL30:BM30)</f>
        <v>35826077.480000004</v>
      </c>
      <c r="BP30" s="30">
        <v>36329881.810000002</v>
      </c>
      <c r="BQ30" s="30">
        <v>91549.32</v>
      </c>
      <c r="BR30" s="30">
        <f t="shared" si="8"/>
        <v>36421431.130000003</v>
      </c>
    </row>
    <row r="31" spans="1:70">
      <c r="A31" s="1" t="s">
        <v>22</v>
      </c>
      <c r="B31" s="297">
        <v>47828432</v>
      </c>
      <c r="C31" s="297">
        <v>50889116</v>
      </c>
      <c r="D31" s="297">
        <v>56768991</v>
      </c>
      <c r="E31" s="297">
        <v>55443706.789999999</v>
      </c>
      <c r="F31" s="297">
        <v>57061689.850000001</v>
      </c>
      <c r="G31" s="297">
        <v>57461907.780000001</v>
      </c>
      <c r="H31" s="297">
        <v>55386735.229999997</v>
      </c>
      <c r="I31" s="297">
        <v>47081874.859999999</v>
      </c>
      <c r="J31" s="297">
        <v>48705525.100000001</v>
      </c>
      <c r="K31" s="374">
        <v>48645688.880000003</v>
      </c>
      <c r="L31" s="240">
        <f>(K31-J31)*100/J31</f>
        <v>-0.12285304362727999</v>
      </c>
      <c r="M31" s="48">
        <f t="shared" si="7"/>
        <v>1.7087260565012934</v>
      </c>
      <c r="N31" s="36">
        <v>2700637</v>
      </c>
      <c r="O31" s="36">
        <v>3346119</v>
      </c>
      <c r="P31" s="36">
        <v>4673824</v>
      </c>
      <c r="Q31" s="36">
        <v>6427852</v>
      </c>
      <c r="R31" s="36">
        <v>7907276</v>
      </c>
      <c r="S31" s="36">
        <v>9832657</v>
      </c>
      <c r="T31" s="36">
        <v>13519630</v>
      </c>
      <c r="U31" s="36">
        <v>15319170</v>
      </c>
      <c r="V31" s="36">
        <v>15774410</v>
      </c>
      <c r="W31" s="36">
        <v>17849810</v>
      </c>
      <c r="X31" s="36">
        <v>20724566</v>
      </c>
      <c r="Y31" s="36">
        <v>22761440</v>
      </c>
      <c r="Z31" s="41">
        <v>24630996</v>
      </c>
      <c r="AA31" s="30">
        <v>28849186</v>
      </c>
      <c r="AB31" s="78">
        <v>32255290</v>
      </c>
      <c r="AC31" s="78">
        <v>36555275</v>
      </c>
      <c r="AD31" s="297">
        <v>37365921</v>
      </c>
      <c r="AE31" s="92">
        <v>42537598.770000003</v>
      </c>
      <c r="AF31" s="297">
        <v>47828432</v>
      </c>
      <c r="AG31" s="128">
        <v>42537598.770000003</v>
      </c>
      <c r="AH31" s="92">
        <v>47828432</v>
      </c>
      <c r="AJ31" s="30">
        <v>50889116</v>
      </c>
      <c r="AK31" s="30">
        <v>0</v>
      </c>
      <c r="AL31" s="30">
        <f>SUM(AJ31:AK31)</f>
        <v>50889116</v>
      </c>
      <c r="AN31" s="92">
        <v>56768991</v>
      </c>
      <c r="AO31" s="222">
        <v>0</v>
      </c>
      <c r="AP31" s="30">
        <f>SUM(AN31:AO31)</f>
        <v>56768991</v>
      </c>
      <c r="AR31" s="242">
        <v>55443706.789999999</v>
      </c>
      <c r="AS31" s="3">
        <v>0</v>
      </c>
      <c r="AT31" s="30">
        <f>SUM(AR31:AS31)</f>
        <v>55443706.789999999</v>
      </c>
      <c r="AV31" s="242">
        <v>57061689.850000001</v>
      </c>
      <c r="AW31" s="3">
        <v>0</v>
      </c>
      <c r="AX31" s="30">
        <f>SUM(AV31:AW31)</f>
        <v>57061689.850000001</v>
      </c>
      <c r="AZ31" s="128">
        <v>57461907.780000001</v>
      </c>
      <c r="BA31" s="128">
        <v>0</v>
      </c>
      <c r="BB31" s="30">
        <f>SUM(AZ31:BA31)</f>
        <v>57461907.780000001</v>
      </c>
      <c r="BD31" s="281">
        <v>55386735.229999997</v>
      </c>
      <c r="BE31" s="128">
        <v>0</v>
      </c>
      <c r="BF31" s="30">
        <f>SUM(BD31:BE31)</f>
        <v>55386735.229999997</v>
      </c>
      <c r="BH31" s="128">
        <v>47081874.859999999</v>
      </c>
      <c r="BI31" s="128">
        <v>0</v>
      </c>
      <c r="BJ31" s="30">
        <f t="shared" si="5"/>
        <v>47081874.859999999</v>
      </c>
      <c r="BL31" s="128">
        <v>48705525.100000001</v>
      </c>
      <c r="BM31" s="128">
        <v>0</v>
      </c>
      <c r="BN31" s="30">
        <f t="shared" si="11"/>
        <v>48705525.100000001</v>
      </c>
      <c r="BP31" s="30">
        <v>48645688.880000003</v>
      </c>
      <c r="BQ31" s="30">
        <v>0</v>
      </c>
      <c r="BR31" s="30">
        <f t="shared" si="8"/>
        <v>48645688.880000003</v>
      </c>
    </row>
    <row r="32" spans="1:70">
      <c r="A32" s="1" t="s">
        <v>23</v>
      </c>
      <c r="B32" s="297">
        <v>748786.09</v>
      </c>
      <c r="C32" s="297">
        <v>947180</v>
      </c>
      <c r="D32" s="297">
        <v>733942.51</v>
      </c>
      <c r="E32" s="297">
        <v>781392.16</v>
      </c>
      <c r="F32" s="297">
        <v>699281.7</v>
      </c>
      <c r="G32" s="297">
        <v>596586.29</v>
      </c>
      <c r="H32" s="297">
        <v>498307.01</v>
      </c>
      <c r="I32" s="297">
        <v>606989.46</v>
      </c>
      <c r="J32" s="297">
        <v>466302.37</v>
      </c>
      <c r="K32" s="374">
        <v>371505.16</v>
      </c>
      <c r="L32" s="240">
        <f>(K32-J32)*100/J32</f>
        <v>-20.329557836045314</v>
      </c>
      <c r="M32" s="48">
        <f t="shared" si="7"/>
        <v>-50.385675567237101</v>
      </c>
      <c r="N32" s="36">
        <v>0</v>
      </c>
      <c r="O32" s="36">
        <v>10337</v>
      </c>
      <c r="P32" s="36">
        <v>0</v>
      </c>
      <c r="Q32" s="36">
        <v>1600</v>
      </c>
      <c r="R32" s="36">
        <v>0</v>
      </c>
      <c r="S32" s="36">
        <v>435053</v>
      </c>
      <c r="T32" s="36">
        <v>302315</v>
      </c>
      <c r="U32" s="36">
        <v>636028</v>
      </c>
      <c r="V32" s="41">
        <v>0</v>
      </c>
      <c r="W32" s="41">
        <v>0</v>
      </c>
      <c r="X32" s="36">
        <v>283125</v>
      </c>
      <c r="Y32" s="41">
        <v>0</v>
      </c>
      <c r="Z32" s="41">
        <v>121000</v>
      </c>
      <c r="AA32" s="78">
        <v>709327</v>
      </c>
      <c r="AB32" s="78">
        <v>609990</v>
      </c>
      <c r="AC32" s="78">
        <v>514990</v>
      </c>
      <c r="AD32" s="297">
        <v>410242.65</v>
      </c>
      <c r="AE32" s="92">
        <v>486535.77</v>
      </c>
      <c r="AF32" s="297">
        <v>748786.09</v>
      </c>
      <c r="AG32" s="128">
        <v>486535.77</v>
      </c>
      <c r="AH32" s="92">
        <v>748786.09</v>
      </c>
      <c r="AJ32" s="30">
        <v>947180</v>
      </c>
      <c r="AK32" s="30">
        <v>0</v>
      </c>
      <c r="AL32" s="30">
        <f>SUM(AJ32:AK32)</f>
        <v>947180</v>
      </c>
      <c r="AN32" s="92">
        <v>733942.51</v>
      </c>
      <c r="AO32" s="222">
        <v>0</v>
      </c>
      <c r="AP32" s="30">
        <f>SUM(AN32:AO32)</f>
        <v>733942.51</v>
      </c>
      <c r="AR32" s="242">
        <v>0</v>
      </c>
      <c r="AS32" s="3">
        <v>781392.16</v>
      </c>
      <c r="AT32" s="30">
        <f>SUM(AR32:AS32)</f>
        <v>781392.16</v>
      </c>
      <c r="AV32" s="242">
        <v>699281.7</v>
      </c>
      <c r="AW32" s="3">
        <v>0</v>
      </c>
      <c r="AX32" s="30">
        <f>SUM(AV32:AW32)</f>
        <v>699281.7</v>
      </c>
      <c r="AZ32" s="128">
        <v>596586.29</v>
      </c>
      <c r="BA32" s="128">
        <v>0</v>
      </c>
      <c r="BB32" s="30">
        <f>SUM(AZ32:BA32)</f>
        <v>596586.29</v>
      </c>
      <c r="BD32" s="281">
        <v>498307.01</v>
      </c>
      <c r="BE32" s="128">
        <v>0</v>
      </c>
      <c r="BF32" s="30">
        <f>SUM(BD32:BE32)</f>
        <v>498307.01</v>
      </c>
      <c r="BH32" s="128">
        <v>606989.46</v>
      </c>
      <c r="BI32" s="128">
        <v>0</v>
      </c>
      <c r="BJ32" s="30">
        <f t="shared" si="5"/>
        <v>606989.46</v>
      </c>
      <c r="BL32" s="128">
        <v>466302.37</v>
      </c>
      <c r="BM32" s="128">
        <v>0</v>
      </c>
      <c r="BN32" s="30">
        <f t="shared" si="11"/>
        <v>466302.37</v>
      </c>
      <c r="BP32" s="30">
        <v>371505.16</v>
      </c>
      <c r="BQ32" s="30">
        <v>0</v>
      </c>
      <c r="BR32" s="30">
        <f t="shared" si="8"/>
        <v>371505.16</v>
      </c>
    </row>
    <row r="33" spans="1:70">
      <c r="A33" s="1" t="s">
        <v>24</v>
      </c>
      <c r="B33" s="297">
        <v>1373877.74</v>
      </c>
      <c r="C33" s="297">
        <v>1659207</v>
      </c>
      <c r="D33" s="297">
        <v>1880338.51</v>
      </c>
      <c r="E33" s="297">
        <v>2269863.7400000002</v>
      </c>
      <c r="F33" s="297">
        <v>1453267.11</v>
      </c>
      <c r="G33" s="297">
        <v>1765943.8</v>
      </c>
      <c r="H33" s="297">
        <v>1468435.54</v>
      </c>
      <c r="I33" s="297">
        <v>1411554.26</v>
      </c>
      <c r="J33" s="297">
        <v>1348566.23</v>
      </c>
      <c r="K33" s="374">
        <v>1494117.62</v>
      </c>
      <c r="L33" s="240">
        <f>(K33-J33)*100/J33</f>
        <v>10.793047220231825</v>
      </c>
      <c r="M33" s="48">
        <f t="shared" si="7"/>
        <v>8.7518617195151673</v>
      </c>
      <c r="N33" s="36">
        <v>41512</v>
      </c>
      <c r="O33" s="36">
        <v>0</v>
      </c>
      <c r="P33" s="36">
        <v>95220</v>
      </c>
      <c r="Q33" s="36">
        <v>232305</v>
      </c>
      <c r="R33" s="36">
        <v>297955</v>
      </c>
      <c r="S33" s="36">
        <v>365209</v>
      </c>
      <c r="T33" s="36">
        <v>446914</v>
      </c>
      <c r="U33" s="36">
        <v>646917</v>
      </c>
      <c r="V33" s="36">
        <v>696876</v>
      </c>
      <c r="W33" s="36">
        <v>559530</v>
      </c>
      <c r="X33" s="36">
        <v>790806</v>
      </c>
      <c r="Y33" s="36">
        <v>713350</v>
      </c>
      <c r="Z33" s="41">
        <v>709701</v>
      </c>
      <c r="AA33" s="78">
        <v>736769</v>
      </c>
      <c r="AB33" s="78">
        <v>763189</v>
      </c>
      <c r="AC33" s="78">
        <v>749661</v>
      </c>
      <c r="AD33" s="297">
        <v>835864.66</v>
      </c>
      <c r="AE33" s="92">
        <v>1043329.92</v>
      </c>
      <c r="AF33" s="297">
        <v>1373877.74</v>
      </c>
      <c r="AG33" s="128">
        <v>1043329.92</v>
      </c>
      <c r="AH33" s="92">
        <v>1373877.74</v>
      </c>
      <c r="AJ33" s="30">
        <v>1659207</v>
      </c>
      <c r="AK33" s="30">
        <v>0</v>
      </c>
      <c r="AL33" s="30">
        <f>SUM(AJ33:AK33)</f>
        <v>1659207</v>
      </c>
      <c r="AN33" s="92">
        <v>1846417.51</v>
      </c>
      <c r="AO33" s="92">
        <v>33921</v>
      </c>
      <c r="AP33" s="30">
        <f>SUM(AN33:AO33)</f>
        <v>1880338.51</v>
      </c>
      <c r="AR33" s="242">
        <v>1746423.61</v>
      </c>
      <c r="AS33" s="3">
        <v>523440.13</v>
      </c>
      <c r="AT33" s="30">
        <f>SUM(AR33:AS33)</f>
        <v>2269863.7400000002</v>
      </c>
      <c r="AV33" s="242">
        <v>1360022.76</v>
      </c>
      <c r="AW33" s="3">
        <v>93244.35</v>
      </c>
      <c r="AX33" s="30">
        <f>SUM(AV33:AW33)</f>
        <v>1453267.11</v>
      </c>
      <c r="AZ33" s="128">
        <v>1765943.8</v>
      </c>
      <c r="BA33" s="128">
        <v>0</v>
      </c>
      <c r="BB33" s="30">
        <f>SUM(AZ33:BA33)</f>
        <v>1765943.8</v>
      </c>
      <c r="BD33" s="281">
        <v>1468435.54</v>
      </c>
      <c r="BE33" s="128">
        <v>0</v>
      </c>
      <c r="BF33" s="30">
        <f>SUM(BD33:BE33)</f>
        <v>1468435.54</v>
      </c>
      <c r="BH33" s="128">
        <v>1338324.26</v>
      </c>
      <c r="BI33" s="128">
        <v>73230</v>
      </c>
      <c r="BJ33" s="30">
        <f t="shared" si="5"/>
        <v>1411554.26</v>
      </c>
      <c r="BL33" s="128">
        <v>1251310.55</v>
      </c>
      <c r="BM33" s="128">
        <v>97255.679999999993</v>
      </c>
      <c r="BN33" s="30">
        <f t="shared" si="11"/>
        <v>1348566.23</v>
      </c>
      <c r="BP33" s="30">
        <v>1340501.08</v>
      </c>
      <c r="BQ33" s="30">
        <v>153616.54</v>
      </c>
      <c r="BR33" s="30">
        <f t="shared" si="8"/>
        <v>1494117.62</v>
      </c>
    </row>
    <row r="34" spans="1:70">
      <c r="A34" s="1" t="s">
        <v>25</v>
      </c>
      <c r="B34" s="297">
        <v>109411.2</v>
      </c>
      <c r="C34" s="297">
        <v>16853</v>
      </c>
      <c r="D34" s="297">
        <v>2925</v>
      </c>
      <c r="E34" s="297">
        <v>0</v>
      </c>
      <c r="F34" s="298">
        <v>0</v>
      </c>
      <c r="G34" s="298">
        <v>0</v>
      </c>
      <c r="H34" s="298">
        <v>0</v>
      </c>
      <c r="I34" s="298">
        <v>0</v>
      </c>
      <c r="J34" s="298">
        <v>13500</v>
      </c>
      <c r="K34" s="374">
        <v>693490.22</v>
      </c>
      <c r="L34" s="244">
        <f>(K34-J34)*100/J34</f>
        <v>5036.9645925925925</v>
      </c>
      <c r="M34" s="48">
        <f t="shared" si="7"/>
        <v>533.83841873592462</v>
      </c>
      <c r="N34" s="36">
        <v>0</v>
      </c>
      <c r="O34" s="36">
        <v>0</v>
      </c>
      <c r="P34" s="36">
        <v>0</v>
      </c>
      <c r="Q34" s="36">
        <v>20816</v>
      </c>
      <c r="R34" s="36">
        <v>0</v>
      </c>
      <c r="S34" s="36">
        <v>0</v>
      </c>
      <c r="T34" s="41">
        <v>0</v>
      </c>
      <c r="U34" s="41">
        <v>0</v>
      </c>
      <c r="V34" s="41">
        <v>0</v>
      </c>
      <c r="W34" s="157">
        <v>0</v>
      </c>
      <c r="X34" s="41">
        <v>0</v>
      </c>
      <c r="Y34" s="41">
        <v>0</v>
      </c>
      <c r="Z34" s="41">
        <v>77035</v>
      </c>
      <c r="AA34" s="78">
        <v>69272</v>
      </c>
      <c r="AB34" s="78">
        <v>32866</v>
      </c>
      <c r="AC34" s="78">
        <v>158356</v>
      </c>
      <c r="AD34" s="297">
        <v>157968.06</v>
      </c>
      <c r="AE34" s="92">
        <v>224500.75</v>
      </c>
      <c r="AF34" s="297">
        <v>109411.2</v>
      </c>
      <c r="AG34" s="128">
        <v>224500.75</v>
      </c>
      <c r="AH34" s="92">
        <v>109411.2</v>
      </c>
      <c r="AJ34" s="30">
        <v>16853</v>
      </c>
      <c r="AK34" s="30">
        <v>0</v>
      </c>
      <c r="AL34" s="30">
        <f>SUM(AJ34:AK34)</f>
        <v>16853</v>
      </c>
      <c r="AN34" s="92">
        <v>0</v>
      </c>
      <c r="AO34" s="92">
        <v>2925</v>
      </c>
      <c r="AP34" s="30">
        <f>SUM(AN34:AO34)</f>
        <v>2925</v>
      </c>
      <c r="AR34" s="242">
        <v>0</v>
      </c>
      <c r="AS34" s="3">
        <v>0</v>
      </c>
      <c r="AT34" s="30">
        <f>SUM(AR34:AS34)</f>
        <v>0</v>
      </c>
      <c r="AV34" s="242">
        <v>0</v>
      </c>
      <c r="AW34" s="3">
        <v>0</v>
      </c>
      <c r="AX34" s="30">
        <f>SUM(AV34:AW34)</f>
        <v>0</v>
      </c>
      <c r="AZ34" s="128">
        <v>0</v>
      </c>
      <c r="BA34" s="128">
        <v>0</v>
      </c>
      <c r="BB34" s="30">
        <f>SUM(AZ34:BA34)</f>
        <v>0</v>
      </c>
      <c r="BD34" s="281">
        <v>0</v>
      </c>
      <c r="BE34" s="128">
        <v>0</v>
      </c>
      <c r="BF34" s="30">
        <f>SUM(BD34:BE34)</f>
        <v>0</v>
      </c>
      <c r="BH34" s="128">
        <v>0</v>
      </c>
      <c r="BI34" s="128">
        <v>0</v>
      </c>
      <c r="BJ34" s="30">
        <f t="shared" si="5"/>
        <v>0</v>
      </c>
      <c r="BL34" s="128">
        <v>13500</v>
      </c>
      <c r="BM34" s="128">
        <v>0</v>
      </c>
      <c r="BN34" s="30">
        <f t="shared" si="11"/>
        <v>13500</v>
      </c>
      <c r="BP34" s="30">
        <v>441000</v>
      </c>
      <c r="BQ34" s="30">
        <v>252490.22</v>
      </c>
      <c r="BR34" s="30">
        <f t="shared" si="8"/>
        <v>693490.22</v>
      </c>
    </row>
    <row r="35" spans="1:70">
      <c r="A35" s="1"/>
      <c r="B35" s="297"/>
      <c r="C35" s="297"/>
      <c r="D35" s="297"/>
      <c r="E35" s="297"/>
      <c r="F35" s="297"/>
      <c r="G35" s="297"/>
      <c r="H35" s="297"/>
      <c r="I35" s="297"/>
      <c r="J35" s="297"/>
      <c r="K35" s="374"/>
      <c r="L35" s="48"/>
      <c r="M35" s="48"/>
      <c r="O35" s="36"/>
      <c r="P35" s="36"/>
      <c r="R35" s="36"/>
      <c r="S35" s="36"/>
      <c r="T35" s="36"/>
      <c r="U35" s="36"/>
      <c r="V35" s="36"/>
      <c r="W35" s="36"/>
      <c r="X35" s="36"/>
      <c r="Y35" s="36"/>
      <c r="Z35" s="41"/>
      <c r="AA35" s="78"/>
      <c r="AB35" s="78"/>
      <c r="AC35" s="78"/>
      <c r="AD35" s="297"/>
      <c r="AE35" s="92"/>
      <c r="AF35" s="297"/>
      <c r="AG35" s="128"/>
      <c r="AH35" s="92"/>
      <c r="AN35" s="222"/>
      <c r="AO35" s="222"/>
      <c r="AR35" s="242"/>
      <c r="AS35" s="3"/>
      <c r="AV35" s="242"/>
      <c r="AW35" s="3"/>
      <c r="AZ35" s="259"/>
      <c r="BA35" s="128"/>
      <c r="BD35" s="284"/>
      <c r="BE35" s="128"/>
      <c r="BH35" s="284"/>
      <c r="BI35" s="128"/>
      <c r="BL35" s="284"/>
      <c r="BM35" s="284"/>
    </row>
    <row r="36" spans="1:70">
      <c r="A36" s="1" t="s">
        <v>26</v>
      </c>
      <c r="B36" s="298">
        <v>0</v>
      </c>
      <c r="C36" s="298">
        <v>0</v>
      </c>
      <c r="D36" s="298">
        <v>29046.15</v>
      </c>
      <c r="E36" s="298">
        <v>0</v>
      </c>
      <c r="F36" s="298">
        <v>50855</v>
      </c>
      <c r="G36" s="298">
        <v>50414.400000000001</v>
      </c>
      <c r="H36" s="298">
        <v>0</v>
      </c>
      <c r="I36" s="298">
        <v>1559</v>
      </c>
      <c r="J36" s="298">
        <v>625</v>
      </c>
      <c r="K36" s="374">
        <v>147</v>
      </c>
      <c r="L36" s="243">
        <f>(K36-J36)*100/J36</f>
        <v>-76.48</v>
      </c>
      <c r="M36" s="401" t="s">
        <v>118</v>
      </c>
      <c r="N36" s="36">
        <v>86048</v>
      </c>
      <c r="O36" s="36">
        <v>90718</v>
      </c>
      <c r="P36" s="36">
        <v>134279</v>
      </c>
      <c r="Q36" s="36">
        <v>0</v>
      </c>
      <c r="R36" s="36">
        <v>0</v>
      </c>
      <c r="S36" s="36">
        <v>67738</v>
      </c>
      <c r="T36" s="36">
        <v>121954</v>
      </c>
      <c r="U36" s="41">
        <v>0</v>
      </c>
      <c r="V36" s="36">
        <v>95126</v>
      </c>
      <c r="W36" s="41">
        <v>0</v>
      </c>
      <c r="X36" s="36">
        <v>31986</v>
      </c>
      <c r="Y36" s="41">
        <v>0</v>
      </c>
      <c r="Z36" s="41">
        <v>0</v>
      </c>
      <c r="AA36" s="78">
        <v>9000</v>
      </c>
      <c r="AB36" s="41">
        <v>0</v>
      </c>
      <c r="AC36" s="78">
        <v>400</v>
      </c>
      <c r="AD36" s="298">
        <v>0</v>
      </c>
      <c r="AE36" s="92">
        <v>0</v>
      </c>
      <c r="AF36" s="298">
        <v>0</v>
      </c>
      <c r="AG36" s="128">
        <v>0</v>
      </c>
      <c r="AH36" s="92">
        <v>0</v>
      </c>
      <c r="AJ36" s="30">
        <v>0</v>
      </c>
      <c r="AK36" s="30">
        <v>0</v>
      </c>
      <c r="AL36" s="30">
        <f>SUM(AJ36:AK36)</f>
        <v>0</v>
      </c>
      <c r="AN36" s="223">
        <v>29046.15</v>
      </c>
      <c r="AO36" s="222">
        <v>0</v>
      </c>
      <c r="AP36" s="30">
        <f>SUM(AN36:AO36)</f>
        <v>29046.15</v>
      </c>
      <c r="AR36" s="242">
        <v>0</v>
      </c>
      <c r="AS36" s="3">
        <v>0</v>
      </c>
      <c r="AT36" s="30">
        <f>SUM(AR36:AS36)</f>
        <v>0</v>
      </c>
      <c r="AV36" s="242">
        <v>50855</v>
      </c>
      <c r="AW36" s="3">
        <v>0</v>
      </c>
      <c r="AX36" s="30">
        <f>SUM(AV36:AW36)</f>
        <v>50855</v>
      </c>
      <c r="AZ36" s="260">
        <v>50414.400000000001</v>
      </c>
      <c r="BA36" s="128">
        <v>0</v>
      </c>
      <c r="BB36" s="30">
        <f>SUM(AZ36:BA36)</f>
        <v>50414.400000000001</v>
      </c>
      <c r="BD36" s="285">
        <v>0</v>
      </c>
      <c r="BE36" s="128">
        <v>0</v>
      </c>
      <c r="BF36" s="30">
        <f>SUM(BD36:BE36)</f>
        <v>0</v>
      </c>
      <c r="BH36" s="260">
        <v>0</v>
      </c>
      <c r="BI36" s="128">
        <v>1559</v>
      </c>
      <c r="BJ36" s="30">
        <f t="shared" si="5"/>
        <v>1559</v>
      </c>
      <c r="BL36" s="260">
        <v>0</v>
      </c>
      <c r="BM36" s="128">
        <v>625</v>
      </c>
      <c r="BN36" s="30">
        <f t="shared" ref="BN36:BN39" si="12">SUM(BL36:BM36)</f>
        <v>625</v>
      </c>
      <c r="BP36" s="30">
        <v>0</v>
      </c>
      <c r="BQ36" s="30">
        <v>147</v>
      </c>
      <c r="BR36" s="30">
        <f t="shared" si="8"/>
        <v>147</v>
      </c>
    </row>
    <row r="37" spans="1:70">
      <c r="A37" s="1" t="s">
        <v>27</v>
      </c>
      <c r="B37" s="297">
        <v>4048694</v>
      </c>
      <c r="C37" s="297">
        <v>3948202</v>
      </c>
      <c r="D37" s="297">
        <v>3927976.79</v>
      </c>
      <c r="E37" s="297">
        <v>4581386</v>
      </c>
      <c r="F37" s="297">
        <v>5299359</v>
      </c>
      <c r="G37" s="297">
        <v>4560296.8500000006</v>
      </c>
      <c r="H37" s="297">
        <v>3463617</v>
      </c>
      <c r="I37" s="297">
        <v>2692006.32</v>
      </c>
      <c r="J37" s="297">
        <v>2662977.16</v>
      </c>
      <c r="K37" s="374">
        <v>2518564.4899999993</v>
      </c>
      <c r="L37" s="243">
        <f t="shared" ref="L37:L39" si="13">(K37-J37)*100/J37</f>
        <v>-5.4229781677887487</v>
      </c>
      <c r="M37" s="48">
        <f t="shared" si="7"/>
        <v>-37.793162684065543</v>
      </c>
      <c r="N37" s="36">
        <v>128569</v>
      </c>
      <c r="O37" s="36">
        <v>0</v>
      </c>
      <c r="P37" s="36">
        <v>0</v>
      </c>
      <c r="Q37" s="36">
        <v>0</v>
      </c>
      <c r="R37" s="36">
        <f>152092+497090</f>
        <v>649182</v>
      </c>
      <c r="S37" s="36">
        <v>736846</v>
      </c>
      <c r="T37" s="36">
        <v>826284</v>
      </c>
      <c r="U37" s="36">
        <v>952249</v>
      </c>
      <c r="V37" s="36">
        <v>755493</v>
      </c>
      <c r="W37" s="36">
        <v>1077075</v>
      </c>
      <c r="X37" s="36">
        <v>1180638</v>
      </c>
      <c r="Y37" s="36">
        <v>1275796</v>
      </c>
      <c r="Z37" s="41">
        <v>1648940</v>
      </c>
      <c r="AA37" s="78">
        <v>2109561</v>
      </c>
      <c r="AB37" s="78">
        <v>2162953</v>
      </c>
      <c r="AC37" s="78">
        <v>2688713</v>
      </c>
      <c r="AD37" s="297">
        <v>3044373</v>
      </c>
      <c r="AE37" s="92">
        <v>3231808</v>
      </c>
      <c r="AF37" s="297">
        <v>4048694</v>
      </c>
      <c r="AG37" s="128">
        <v>3231808</v>
      </c>
      <c r="AH37" s="92">
        <v>4048694</v>
      </c>
      <c r="AJ37" s="30">
        <v>3929767</v>
      </c>
      <c r="AK37" s="30">
        <v>18435</v>
      </c>
      <c r="AL37" s="30">
        <f>SUM(AJ37:AK37)</f>
        <v>3948202</v>
      </c>
      <c r="AN37" s="92">
        <v>3909125.79</v>
      </c>
      <c r="AO37" s="92">
        <v>18851</v>
      </c>
      <c r="AP37" s="30">
        <f>SUM(AN37:AO37)</f>
        <v>3927976.79</v>
      </c>
      <c r="AR37" s="242">
        <v>4544396</v>
      </c>
      <c r="AS37" s="3">
        <v>36990</v>
      </c>
      <c r="AT37" s="30">
        <f>SUM(AR37:AS37)</f>
        <v>4581386</v>
      </c>
      <c r="AV37" s="242">
        <v>5274048</v>
      </c>
      <c r="AW37" s="3">
        <v>25311</v>
      </c>
      <c r="AX37" s="30">
        <f>SUM(AV37:AW37)</f>
        <v>5299359</v>
      </c>
      <c r="AZ37" s="128">
        <v>4560296.8500000006</v>
      </c>
      <c r="BA37" s="128">
        <v>0</v>
      </c>
      <c r="BB37" s="30">
        <f>SUM(AZ37:BA37)</f>
        <v>4560296.8500000006</v>
      </c>
      <c r="BD37" s="281">
        <v>3463617</v>
      </c>
      <c r="BE37" s="128">
        <v>0</v>
      </c>
      <c r="BF37" s="30">
        <f>SUM(BD37:BE37)</f>
        <v>3463617</v>
      </c>
      <c r="BH37" s="128">
        <v>2650657.0499999998</v>
      </c>
      <c r="BI37" s="128">
        <v>41349.269999999997</v>
      </c>
      <c r="BJ37" s="30">
        <f t="shared" si="5"/>
        <v>2692006.32</v>
      </c>
      <c r="BL37" s="128">
        <v>2627194.04</v>
      </c>
      <c r="BM37" s="128">
        <v>35783.120000000003</v>
      </c>
      <c r="BN37" s="30">
        <f t="shared" si="12"/>
        <v>2662977.16</v>
      </c>
      <c r="BP37" s="30">
        <v>2474363.4399999995</v>
      </c>
      <c r="BQ37" s="30">
        <v>44201.05</v>
      </c>
      <c r="BR37" s="30">
        <f t="shared" si="8"/>
        <v>2518564.4899999993</v>
      </c>
    </row>
    <row r="38" spans="1:70">
      <c r="A38" s="1" t="s">
        <v>28</v>
      </c>
      <c r="B38" s="298">
        <v>450215.46</v>
      </c>
      <c r="C38" s="298">
        <v>505722</v>
      </c>
      <c r="D38" s="298">
        <v>471287.61</v>
      </c>
      <c r="E38" s="298">
        <v>515436.24</v>
      </c>
      <c r="F38" s="298">
        <v>357901.24</v>
      </c>
      <c r="G38" s="298">
        <v>175101.46</v>
      </c>
      <c r="H38" s="298">
        <v>627034.74</v>
      </c>
      <c r="I38" s="298">
        <v>134777.53</v>
      </c>
      <c r="J38" s="298">
        <v>360456.81</v>
      </c>
      <c r="K38" s="374">
        <v>464913.03</v>
      </c>
      <c r="L38" s="243">
        <f t="shared" si="13"/>
        <v>28.978844927357603</v>
      </c>
      <c r="M38" s="48">
        <f t="shared" si="7"/>
        <v>3.2645635936180439</v>
      </c>
      <c r="N38" s="36">
        <v>0</v>
      </c>
      <c r="O38" s="36">
        <v>0</v>
      </c>
      <c r="P38" s="36">
        <v>185266</v>
      </c>
      <c r="Q38" s="36">
        <v>0</v>
      </c>
      <c r="R38" s="36">
        <v>0</v>
      </c>
      <c r="S38" s="36">
        <v>0</v>
      </c>
      <c r="T38" s="41">
        <v>0</v>
      </c>
      <c r="U38" s="41">
        <v>0</v>
      </c>
      <c r="V38" s="41">
        <v>0</v>
      </c>
      <c r="W38" s="41">
        <v>0</v>
      </c>
      <c r="X38" s="36">
        <v>200898</v>
      </c>
      <c r="Y38" s="36">
        <v>164293</v>
      </c>
      <c r="Z38" s="41">
        <v>148276</v>
      </c>
      <c r="AA38" s="78">
        <v>139800</v>
      </c>
      <c r="AB38" s="78">
        <v>126513</v>
      </c>
      <c r="AC38" s="78">
        <v>166235</v>
      </c>
      <c r="AD38" s="297">
        <v>178035.68</v>
      </c>
      <c r="AE38" s="92">
        <v>408297.64</v>
      </c>
      <c r="AF38" s="297">
        <v>450215.46</v>
      </c>
      <c r="AG38" s="128">
        <v>408297.64</v>
      </c>
      <c r="AH38" s="92">
        <v>450215.46</v>
      </c>
      <c r="AJ38" s="30">
        <v>497706</v>
      </c>
      <c r="AK38" s="30">
        <v>8016</v>
      </c>
      <c r="AL38" s="30">
        <f>SUM(AJ38:AK38)</f>
        <v>505722</v>
      </c>
      <c r="AN38" s="92">
        <v>321522.95</v>
      </c>
      <c r="AO38" s="92">
        <v>149764.66</v>
      </c>
      <c r="AP38" s="30">
        <f>SUM(AN38:AO38)</f>
        <v>471287.61</v>
      </c>
      <c r="AR38" s="242">
        <v>491816.71</v>
      </c>
      <c r="AS38" s="3">
        <v>23619.53</v>
      </c>
      <c r="AT38" s="30">
        <f>SUM(AR38:AS38)</f>
        <v>515436.24</v>
      </c>
      <c r="AV38" s="242">
        <v>0</v>
      </c>
      <c r="AW38" s="3">
        <v>357901.24</v>
      </c>
      <c r="AX38" s="30">
        <f>SUM(AV38:AW38)</f>
        <v>357901.24</v>
      </c>
      <c r="AZ38" s="128">
        <v>175101.46</v>
      </c>
      <c r="BA38" s="128">
        <v>0</v>
      </c>
      <c r="BB38" s="30">
        <f>SUM(AZ38:BA38)</f>
        <v>175101.46</v>
      </c>
      <c r="BD38" s="281">
        <v>627034.74</v>
      </c>
      <c r="BE38" s="128">
        <v>0</v>
      </c>
      <c r="BF38" s="30">
        <f>SUM(BD38:BE38)</f>
        <v>627034.74</v>
      </c>
      <c r="BH38" s="128">
        <v>89296.2</v>
      </c>
      <c r="BI38" s="128">
        <v>45481.33</v>
      </c>
      <c r="BJ38" s="30">
        <f t="shared" si="5"/>
        <v>134777.53</v>
      </c>
      <c r="BL38" s="128">
        <v>0</v>
      </c>
      <c r="BM38" s="128">
        <v>360456.81</v>
      </c>
      <c r="BN38" s="30">
        <f t="shared" si="12"/>
        <v>360456.81</v>
      </c>
      <c r="BP38" s="30">
        <v>280577.38</v>
      </c>
      <c r="BQ38" s="30">
        <v>184335.65</v>
      </c>
      <c r="BR38" s="30">
        <f t="shared" si="8"/>
        <v>464913.03</v>
      </c>
    </row>
    <row r="39" spans="1:70">
      <c r="A39" s="17" t="s">
        <v>29</v>
      </c>
      <c r="B39" s="299">
        <v>64404.98</v>
      </c>
      <c r="C39" s="299">
        <v>34397</v>
      </c>
      <c r="D39" s="299">
        <v>44420.4</v>
      </c>
      <c r="E39" s="299">
        <v>28684.400000000001</v>
      </c>
      <c r="F39" s="299">
        <v>30101</v>
      </c>
      <c r="G39" s="299">
        <v>26634.83</v>
      </c>
      <c r="H39" s="299">
        <v>41973.120000000003</v>
      </c>
      <c r="I39" s="299">
        <v>77756.06</v>
      </c>
      <c r="J39" s="299">
        <v>117574.36</v>
      </c>
      <c r="K39" s="375">
        <v>147550.12</v>
      </c>
      <c r="L39" s="402">
        <f t="shared" si="13"/>
        <v>25.495150473283456</v>
      </c>
      <c r="M39" s="88">
        <f t="shared" si="7"/>
        <v>129.09737725250434</v>
      </c>
      <c r="N39" s="174">
        <v>0</v>
      </c>
      <c r="O39" s="174">
        <v>0</v>
      </c>
      <c r="P39" s="36">
        <v>7010</v>
      </c>
      <c r="Q39" s="79">
        <v>0</v>
      </c>
      <c r="R39" s="79">
        <v>0</v>
      </c>
      <c r="S39" s="71">
        <v>0</v>
      </c>
      <c r="T39" s="93">
        <v>0</v>
      </c>
      <c r="U39" s="93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157">
        <v>0</v>
      </c>
      <c r="AB39" s="79">
        <v>193450</v>
      </c>
      <c r="AC39" s="78">
        <v>120233</v>
      </c>
      <c r="AD39" s="299">
        <v>93717.5</v>
      </c>
      <c r="AE39" s="107">
        <v>44450.52</v>
      </c>
      <c r="AF39" s="299">
        <v>64404.98</v>
      </c>
      <c r="AG39" s="129">
        <v>44450.52</v>
      </c>
      <c r="AH39" s="107">
        <v>64404.98</v>
      </c>
      <c r="AJ39" s="30">
        <v>34397.449999999997</v>
      </c>
      <c r="AK39" s="30">
        <v>0</v>
      </c>
      <c r="AL39" s="30">
        <f>SUM(AJ39:AK39)</f>
        <v>34397.449999999997</v>
      </c>
      <c r="AN39" s="107">
        <v>0</v>
      </c>
      <c r="AO39" s="107">
        <v>44420.4</v>
      </c>
      <c r="AP39" s="30">
        <f>SUM(AN39:AO39)</f>
        <v>44420.4</v>
      </c>
      <c r="AR39" s="242">
        <v>0</v>
      </c>
      <c r="AS39" s="3">
        <v>28684.400000000001</v>
      </c>
      <c r="AT39" s="30">
        <f>SUM(AR39:AS39)</f>
        <v>28684.400000000001</v>
      </c>
      <c r="AV39" s="242">
        <v>0</v>
      </c>
      <c r="AW39" s="3">
        <v>30101</v>
      </c>
      <c r="AX39" s="30">
        <f>SUM(AV39:AW39)</f>
        <v>30101</v>
      </c>
      <c r="AZ39" s="129">
        <v>26634.83</v>
      </c>
      <c r="BA39" s="129">
        <v>0</v>
      </c>
      <c r="BB39" s="30">
        <f>SUM(AZ39:BA39)</f>
        <v>26634.83</v>
      </c>
      <c r="BD39" s="282">
        <v>41973.120000000003</v>
      </c>
      <c r="BE39" s="129">
        <v>0</v>
      </c>
      <c r="BF39" s="30">
        <f>SUM(BD39:BE39)</f>
        <v>41973.120000000003</v>
      </c>
      <c r="BH39" s="129">
        <v>0</v>
      </c>
      <c r="BI39" s="129">
        <v>77756.06</v>
      </c>
      <c r="BJ39" s="42">
        <f t="shared" si="5"/>
        <v>77756.06</v>
      </c>
      <c r="BL39" s="129">
        <v>0</v>
      </c>
      <c r="BM39" s="129">
        <v>117574.36</v>
      </c>
      <c r="BN39" s="42">
        <f t="shared" si="12"/>
        <v>117574.36</v>
      </c>
      <c r="BP39" s="30">
        <v>1735.72</v>
      </c>
      <c r="BQ39" s="30">
        <v>145814.39999999999</v>
      </c>
      <c r="BR39" s="30">
        <f t="shared" si="8"/>
        <v>147550.12</v>
      </c>
    </row>
    <row r="40" spans="1:70">
      <c r="A40" s="1" t="s">
        <v>232</v>
      </c>
      <c r="B40" s="18"/>
      <c r="C40" s="18"/>
      <c r="D40" s="18"/>
      <c r="E40" s="18"/>
      <c r="F40" s="18"/>
      <c r="G40" s="7"/>
      <c r="H40" s="7"/>
      <c r="I40" s="7"/>
      <c r="J40" s="7"/>
      <c r="K40" s="7"/>
      <c r="L40" s="7"/>
      <c r="M40" s="7"/>
      <c r="N40" s="15"/>
      <c r="P40" s="37"/>
      <c r="Q40" s="37"/>
      <c r="R40" s="37"/>
      <c r="W40" s="37"/>
      <c r="X40" s="43"/>
      <c r="Y40" s="70"/>
      <c r="Z40" s="70"/>
      <c r="AA40" s="37"/>
      <c r="AB40" s="33"/>
      <c r="AC40" s="70"/>
      <c r="AD40" s="70"/>
      <c r="AE40" s="70"/>
      <c r="AF40" s="70"/>
      <c r="AG40" s="70"/>
    </row>
    <row r="41" spans="1:70">
      <c r="A41" s="296" t="s">
        <v>233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5"/>
      <c r="X41" s="36"/>
      <c r="Y41" s="36"/>
      <c r="Z41" s="36"/>
      <c r="AC41" s="36"/>
      <c r="AD41" s="36"/>
      <c r="AE41" s="36"/>
      <c r="AF41" s="36"/>
      <c r="AG41" s="36"/>
    </row>
    <row r="42" spans="1:7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P42" s="36"/>
      <c r="Q42" s="36"/>
      <c r="R42" s="36"/>
      <c r="W42" s="36"/>
      <c r="X42" s="36"/>
      <c r="Y42" s="36"/>
      <c r="Z42" s="36"/>
      <c r="AC42" s="36"/>
      <c r="AD42" s="36"/>
      <c r="AE42" s="36"/>
      <c r="AF42" s="36"/>
      <c r="AG42" s="36"/>
    </row>
    <row r="43" spans="1:70">
      <c r="P43" s="36"/>
      <c r="Q43" s="36"/>
      <c r="R43" s="36"/>
      <c r="W43" s="36"/>
    </row>
    <row r="44" spans="1:70">
      <c r="P44" s="36"/>
      <c r="Q44" s="36"/>
      <c r="R44" s="36"/>
      <c r="W44" s="36"/>
    </row>
    <row r="45" spans="1:70">
      <c r="P45" s="36"/>
      <c r="Q45" s="36"/>
      <c r="R45" s="36"/>
      <c r="W45" s="36"/>
    </row>
    <row r="46" spans="1:70">
      <c r="P46" s="36"/>
      <c r="Q46" s="36"/>
      <c r="R46" s="36"/>
      <c r="W46" s="36"/>
    </row>
    <row r="47" spans="1:70">
      <c r="W47" s="36"/>
    </row>
    <row r="48" spans="1:70">
      <c r="W48" s="36"/>
    </row>
    <row r="49" spans="23:23">
      <c r="W49" s="36"/>
    </row>
    <row r="50" spans="23:23">
      <c r="W50" s="36"/>
    </row>
    <row r="51" spans="23:23">
      <c r="W51" s="36"/>
    </row>
  </sheetData>
  <sheetProtection password="CAF5" sheet="1" objects="1" scenarios="1"/>
  <mergeCells count="10">
    <mergeCell ref="L7:M7"/>
    <mergeCell ref="AJ5:AL5"/>
    <mergeCell ref="AR5:AT5"/>
    <mergeCell ref="A3:L3"/>
    <mergeCell ref="A4:M4"/>
    <mergeCell ref="BD5:BF5"/>
    <mergeCell ref="AZ5:BB5"/>
    <mergeCell ref="A1:M1"/>
    <mergeCell ref="AV5:AX5"/>
    <mergeCell ref="AN5:AP5"/>
  </mergeCells>
  <phoneticPr fontId="2" type="noConversion"/>
  <pageMargins left="0.49" right="0.5" top="1" bottom="1" header="0.5" footer="0.5"/>
  <pageSetup scale="76" orientation="landscape" r:id="rId1"/>
  <headerFooter scaleWithDoc="0" alignWithMargins="0">
    <oddFooter>&amp;L&amp;"Arial,Italic"&amp;10MSDE - LFRO  12 / 2014&amp;C&amp;"Arial,Regular"&amp;10- 10 -&amp;R&amp;"Arial,Italic"&amp;10Selected Financial Data - Part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Z51"/>
  <sheetViews>
    <sheetView zoomScaleNormal="100" workbookViewId="0"/>
  </sheetViews>
  <sheetFormatPr defaultColWidth="10" defaultRowHeight="12.75"/>
  <cols>
    <col min="1" max="1" width="13.25" style="1" customWidth="1"/>
    <col min="2" max="11" width="12.625" style="1" customWidth="1"/>
    <col min="12" max="12" width="9.5" style="1" customWidth="1"/>
    <col min="13" max="13" width="6.625" style="1" customWidth="1"/>
    <col min="14" max="14" width="9.375" style="1" bestFit="1" customWidth="1"/>
    <col min="15" max="20" width="10.125" style="1" customWidth="1"/>
    <col min="21" max="22" width="10.125" style="3" customWidth="1"/>
    <col min="23" max="23" width="10.125" style="1" customWidth="1"/>
    <col min="24" max="24" width="11.75" style="1" customWidth="1"/>
    <col min="25" max="25" width="12.5" style="1" customWidth="1"/>
    <col min="26" max="26" width="10.875" style="3" bestFit="1" customWidth="1"/>
    <col min="27" max="29" width="10.875" style="3" customWidth="1"/>
    <col min="30" max="37" width="12.5" style="3" customWidth="1"/>
    <col min="38" max="38" width="6" style="3" customWidth="1"/>
    <col min="39" max="39" width="12.375" style="3" customWidth="1"/>
    <col min="40" max="40" width="8.875" style="3" bestFit="1" customWidth="1"/>
    <col min="41" max="41" width="16.5" style="3" customWidth="1"/>
    <col min="42" max="42" width="10.375" style="3" customWidth="1"/>
    <col min="43" max="43" width="7.5" style="3" customWidth="1"/>
    <col min="44" max="44" width="6" style="3" customWidth="1"/>
    <col min="45" max="45" width="15.375" style="3" customWidth="1"/>
    <col min="46" max="46" width="11.625" style="3" customWidth="1"/>
    <col min="47" max="47" width="12.875" style="3" customWidth="1"/>
    <col min="48" max="48" width="14.5" style="3" customWidth="1"/>
    <col min="49" max="49" width="11.25" style="3" customWidth="1"/>
    <col min="50" max="51" width="10.125" style="3" customWidth="1"/>
    <col min="52" max="52" width="12.5" style="3" bestFit="1" customWidth="1"/>
    <col min="53" max="53" width="11.125" style="3" customWidth="1"/>
    <col min="54" max="54" width="12.75" style="3" customWidth="1"/>
    <col min="55" max="55" width="13.875" style="3" customWidth="1"/>
    <col min="56" max="56" width="13.25" style="3" customWidth="1"/>
    <col min="57" max="57" width="10.125" style="3" customWidth="1"/>
    <col min="58" max="58" width="14.5" style="3" customWidth="1"/>
    <col min="59" max="59" width="10.125" style="3" customWidth="1"/>
    <col min="60" max="60" width="11" style="3" customWidth="1"/>
    <col min="61" max="61" width="12" style="3" customWidth="1"/>
    <col min="62" max="63" width="10.125" style="3" customWidth="1"/>
    <col min="64" max="64" width="14.375" style="3" customWidth="1"/>
    <col min="65" max="65" width="10.125" style="3" customWidth="1"/>
    <col min="66" max="66" width="11.25" style="3" customWidth="1"/>
    <col min="67" max="67" width="13" style="3" bestFit="1" customWidth="1"/>
    <col min="68" max="69" width="10.125" style="3" customWidth="1"/>
    <col min="70" max="70" width="12.125" style="3" customWidth="1"/>
    <col min="71" max="71" width="11.625" style="3" customWidth="1"/>
    <col min="72" max="72" width="15.125" style="3" customWidth="1"/>
    <col min="73" max="73" width="13" style="3" bestFit="1" customWidth="1"/>
    <col min="74" max="74" width="10" style="3"/>
    <col min="75" max="75" width="4.375" style="3" customWidth="1"/>
    <col min="76" max="76" width="16.375" style="3" customWidth="1"/>
    <col min="77" max="77" width="10" style="3"/>
    <col min="78" max="78" width="12.75" style="3" bestFit="1" customWidth="1"/>
    <col min="79" max="79" width="13" style="3" bestFit="1" customWidth="1"/>
    <col min="80" max="80" width="9" style="3" bestFit="1" customWidth="1"/>
    <col min="81" max="81" width="10" style="3"/>
    <col min="82" max="82" width="14.375" style="3" customWidth="1"/>
    <col min="83" max="83" width="10" style="3"/>
    <col min="84" max="84" width="13.125" style="3" customWidth="1"/>
    <col min="85" max="85" width="11.75" style="3" customWidth="1"/>
    <col min="86" max="86" width="10" style="3"/>
    <col min="87" max="87" width="4.375" style="3" customWidth="1"/>
    <col min="88" max="88" width="12.375" style="3" customWidth="1"/>
    <col min="89" max="89" width="10" style="3"/>
    <col min="90" max="90" width="13.125" style="3" customWidth="1"/>
    <col min="91" max="91" width="13" style="3" bestFit="1" customWidth="1"/>
    <col min="92" max="92" width="10" style="3"/>
    <col min="93" max="93" width="7.125" style="3" customWidth="1"/>
    <col min="94" max="94" width="13.625" style="3" customWidth="1"/>
    <col min="95" max="95" width="10" style="3"/>
    <col min="96" max="96" width="13.125" style="3" customWidth="1"/>
    <col min="97" max="97" width="12.5" style="3" customWidth="1"/>
    <col min="98" max="101" width="10" style="3"/>
    <col min="102" max="102" width="12.75" style="3" bestFit="1" customWidth="1"/>
    <col min="103" max="16384" width="10" style="3"/>
  </cols>
  <sheetData>
    <row r="1" spans="1:104" ht="15.75" customHeight="1">
      <c r="A1" s="115" t="s">
        <v>89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68"/>
      <c r="O1" s="10"/>
      <c r="P1" s="10"/>
      <c r="W1" s="3"/>
      <c r="X1" s="3"/>
      <c r="Y1" s="3"/>
    </row>
    <row r="2" spans="1:104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W2" s="2"/>
      <c r="X2" s="2"/>
      <c r="Y2" s="2"/>
      <c r="CJ2" s="162">
        <f>CJ10-CJ11</f>
        <v>4110886069.8599997</v>
      </c>
      <c r="CL2" s="237">
        <f>CL10-CL11</f>
        <v>1119528355.95</v>
      </c>
    </row>
    <row r="3" spans="1:104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68"/>
      <c r="O3" s="10"/>
      <c r="P3" s="10"/>
      <c r="W3" s="3"/>
      <c r="X3" s="3"/>
      <c r="Y3" s="3"/>
    </row>
    <row r="4" spans="1:104">
      <c r="A4" s="405" t="s">
        <v>367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115"/>
      <c r="O4" s="199"/>
      <c r="P4" s="199"/>
      <c r="Q4" s="10"/>
      <c r="U4" s="1"/>
      <c r="V4" s="1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21" t="s">
        <v>355</v>
      </c>
      <c r="AR4" s="2"/>
      <c r="AS4" s="2"/>
      <c r="AT4" s="2"/>
      <c r="AU4" s="2"/>
      <c r="AV4" s="2"/>
      <c r="AW4" s="2"/>
      <c r="AX4" s="1"/>
      <c r="CP4" s="3" t="s">
        <v>330</v>
      </c>
      <c r="CV4" s="3" t="s">
        <v>360</v>
      </c>
    </row>
    <row r="5" spans="1:104" ht="13.5" thickBot="1">
      <c r="AG5" s="221" t="s">
        <v>336</v>
      </c>
      <c r="AM5" s="389" t="s">
        <v>152</v>
      </c>
      <c r="AN5" s="389"/>
      <c r="AO5" s="389"/>
      <c r="AS5" s="221" t="s">
        <v>337</v>
      </c>
      <c r="AZ5" s="430" t="s">
        <v>155</v>
      </c>
      <c r="BA5" s="430"/>
      <c r="BB5" s="430"/>
      <c r="BC5" s="430"/>
      <c r="BF5" s="3" t="s">
        <v>155</v>
      </c>
      <c r="BL5" s="3" t="s">
        <v>155</v>
      </c>
      <c r="BR5" s="3" t="s">
        <v>273</v>
      </c>
      <c r="BX5" s="3" t="s">
        <v>274</v>
      </c>
      <c r="CD5" s="3" t="s">
        <v>287</v>
      </c>
      <c r="CJ5" s="3" t="s">
        <v>313</v>
      </c>
      <c r="CP5" s="3" t="s">
        <v>354</v>
      </c>
      <c r="CV5" s="3" t="s">
        <v>354</v>
      </c>
    </row>
    <row r="6" spans="1:104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7"/>
      <c r="AG6" s="426" t="s">
        <v>152</v>
      </c>
      <c r="AH6" s="426"/>
      <c r="AI6" s="426"/>
      <c r="AL6" s="7"/>
      <c r="AM6" s="390" t="s">
        <v>141</v>
      </c>
      <c r="AN6" s="390"/>
      <c r="AO6" s="391" t="s">
        <v>154</v>
      </c>
      <c r="AP6" s="3" t="s">
        <v>156</v>
      </c>
      <c r="AR6" s="7"/>
      <c r="AS6" s="346" t="s">
        <v>152</v>
      </c>
      <c r="AT6" s="346"/>
      <c r="AU6" s="346"/>
      <c r="AZ6" s="426" t="s">
        <v>152</v>
      </c>
      <c r="BA6" s="426"/>
      <c r="BB6" s="426"/>
      <c r="BF6" s="3" t="s">
        <v>152</v>
      </c>
      <c r="BL6" s="3" t="s">
        <v>152</v>
      </c>
      <c r="BR6" s="3" t="s">
        <v>152</v>
      </c>
      <c r="BX6" s="3" t="s">
        <v>152</v>
      </c>
      <c r="CD6" s="3" t="s">
        <v>152</v>
      </c>
      <c r="CJ6" s="3" t="s">
        <v>152</v>
      </c>
      <c r="CP6" s="3" t="s">
        <v>152</v>
      </c>
      <c r="CV6" s="3" t="s">
        <v>152</v>
      </c>
    </row>
    <row r="7" spans="1:104">
      <c r="L7" s="6" t="s">
        <v>34</v>
      </c>
      <c r="M7" s="6"/>
      <c r="U7" s="1"/>
      <c r="V7" s="1"/>
      <c r="Z7" s="1"/>
      <c r="AA7" s="1"/>
      <c r="AB7" s="1"/>
      <c r="AC7" s="1"/>
      <c r="AD7" s="1"/>
      <c r="AE7" s="1"/>
      <c r="AF7" s="1"/>
      <c r="AG7" s="427" t="s">
        <v>141</v>
      </c>
      <c r="AH7" s="427"/>
      <c r="AI7" s="428" t="s">
        <v>154</v>
      </c>
      <c r="AJ7" s="3" t="s">
        <v>156</v>
      </c>
      <c r="AL7" s="1"/>
      <c r="AM7" s="113"/>
      <c r="AN7" s="113"/>
      <c r="AO7" s="386"/>
      <c r="AP7" s="3" t="s">
        <v>157</v>
      </c>
      <c r="AR7" s="1"/>
      <c r="AS7" s="343" t="s">
        <v>141</v>
      </c>
      <c r="AT7" s="343"/>
      <c r="AU7" s="344" t="s">
        <v>154</v>
      </c>
      <c r="AV7" s="3" t="s">
        <v>156</v>
      </c>
      <c r="AZ7" s="427" t="s">
        <v>141</v>
      </c>
      <c r="BA7" s="427"/>
      <c r="BB7" s="428" t="s">
        <v>154</v>
      </c>
      <c r="BC7" s="3" t="s">
        <v>156</v>
      </c>
      <c r="BF7" s="3" t="s">
        <v>141</v>
      </c>
      <c r="BH7" s="3" t="s">
        <v>154</v>
      </c>
      <c r="BI7" s="3" t="s">
        <v>156</v>
      </c>
      <c r="BL7" s="3" t="s">
        <v>141</v>
      </c>
      <c r="BN7" s="3" t="s">
        <v>154</v>
      </c>
      <c r="BO7" s="3" t="s">
        <v>156</v>
      </c>
      <c r="BR7" s="3" t="s">
        <v>141</v>
      </c>
      <c r="BT7" s="3" t="s">
        <v>154</v>
      </c>
      <c r="BU7" s="3" t="s">
        <v>156</v>
      </c>
      <c r="BX7" s="3" t="s">
        <v>141</v>
      </c>
      <c r="BZ7" s="3" t="s">
        <v>154</v>
      </c>
      <c r="CA7" s="3" t="s">
        <v>156</v>
      </c>
      <c r="CD7" s="3" t="s">
        <v>141</v>
      </c>
      <c r="CF7" s="3" t="s">
        <v>154</v>
      </c>
      <c r="CG7" s="3" t="s">
        <v>156</v>
      </c>
      <c r="CJ7" s="3" t="s">
        <v>141</v>
      </c>
      <c r="CL7" s="3" t="s">
        <v>154</v>
      </c>
      <c r="CM7" s="3" t="s">
        <v>156</v>
      </c>
      <c r="CP7" s="3" t="s">
        <v>141</v>
      </c>
      <c r="CR7" s="3" t="s">
        <v>154</v>
      </c>
      <c r="CS7" s="3" t="s">
        <v>156</v>
      </c>
      <c r="CV7" s="3" t="s">
        <v>141</v>
      </c>
      <c r="CX7" s="3" t="s">
        <v>154</v>
      </c>
      <c r="CY7" s="3" t="s">
        <v>156</v>
      </c>
    </row>
    <row r="8" spans="1:10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O8" s="7"/>
      <c r="P8" s="7"/>
      <c r="Q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13"/>
      <c r="AH8" s="113"/>
      <c r="AI8" s="417"/>
      <c r="AJ8" s="3" t="s">
        <v>157</v>
      </c>
      <c r="AL8" s="7"/>
      <c r="AM8" s="384" t="s">
        <v>112</v>
      </c>
      <c r="AN8" s="384" t="s">
        <v>153</v>
      </c>
      <c r="AO8" s="392"/>
      <c r="AR8" s="7"/>
      <c r="AS8" s="113"/>
      <c r="AT8" s="113"/>
      <c r="AU8" s="340"/>
      <c r="AV8" s="3" t="s">
        <v>157</v>
      </c>
      <c r="AZ8" s="113"/>
      <c r="BA8" s="113"/>
      <c r="BB8" s="417"/>
      <c r="BC8" s="3" t="s">
        <v>157</v>
      </c>
      <c r="BI8" s="3" t="s">
        <v>157</v>
      </c>
      <c r="BO8" s="3" t="s">
        <v>157</v>
      </c>
      <c r="BU8" s="3" t="s">
        <v>157</v>
      </c>
      <c r="CA8" s="3" t="s">
        <v>157</v>
      </c>
      <c r="CG8" s="3" t="s">
        <v>157</v>
      </c>
      <c r="CM8" s="3" t="s">
        <v>157</v>
      </c>
      <c r="CS8" s="3" t="s">
        <v>157</v>
      </c>
      <c r="CY8" s="3" t="s">
        <v>157</v>
      </c>
    </row>
    <row r="9" spans="1:104" ht="13.5" thickBot="1">
      <c r="A9" s="8" t="s">
        <v>1</v>
      </c>
      <c r="B9" s="342" t="s">
        <v>184</v>
      </c>
      <c r="C9" s="342" t="s">
        <v>194</v>
      </c>
      <c r="D9" s="342" t="s">
        <v>208</v>
      </c>
      <c r="E9" s="342" t="s">
        <v>243</v>
      </c>
      <c r="F9" s="342" t="s">
        <v>256</v>
      </c>
      <c r="G9" s="342" t="s">
        <v>269</v>
      </c>
      <c r="H9" s="342" t="s">
        <v>283</v>
      </c>
      <c r="I9" s="342" t="s">
        <v>303</v>
      </c>
      <c r="J9" s="342" t="s">
        <v>330</v>
      </c>
      <c r="K9" s="397" t="s">
        <v>360</v>
      </c>
      <c r="L9" s="9" t="s">
        <v>84</v>
      </c>
      <c r="M9" s="9" t="s">
        <v>84</v>
      </c>
      <c r="N9" s="10" t="s">
        <v>2</v>
      </c>
      <c r="O9" s="9" t="s">
        <v>35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8" t="s">
        <v>65</v>
      </c>
      <c r="V9" s="8" t="s">
        <v>66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06" t="s">
        <v>105</v>
      </c>
      <c r="AE9" s="342" t="s">
        <v>161</v>
      </c>
      <c r="AF9" s="387" t="s">
        <v>168</v>
      </c>
      <c r="AG9" s="339" t="s">
        <v>112</v>
      </c>
      <c r="AH9" s="339" t="s">
        <v>153</v>
      </c>
      <c r="AI9" s="429"/>
      <c r="AL9" s="33"/>
      <c r="AM9" s="33"/>
      <c r="AN9" s="33"/>
      <c r="AO9" s="33"/>
      <c r="AP9" s="33"/>
      <c r="AQ9" s="33"/>
      <c r="AR9" s="33"/>
      <c r="AS9" s="339" t="s">
        <v>112</v>
      </c>
      <c r="AT9" s="339" t="s">
        <v>153</v>
      </c>
      <c r="AU9" s="345"/>
      <c r="AZ9" s="114" t="s">
        <v>112</v>
      </c>
      <c r="BA9" s="114" t="s">
        <v>153</v>
      </c>
      <c r="BB9" s="429"/>
      <c r="BF9" s="3" t="s">
        <v>112</v>
      </c>
      <c r="BG9" s="3" t="s">
        <v>153</v>
      </c>
      <c r="BL9" s="3" t="s">
        <v>112</v>
      </c>
      <c r="BM9" s="3" t="s">
        <v>153</v>
      </c>
      <c r="BR9" s="3" t="s">
        <v>112</v>
      </c>
      <c r="BS9" s="3" t="s">
        <v>153</v>
      </c>
      <c r="BX9" s="3" t="s">
        <v>112</v>
      </c>
      <c r="BY9" s="3" t="s">
        <v>153</v>
      </c>
      <c r="CD9" s="3" t="s">
        <v>112</v>
      </c>
      <c r="CE9" s="3" t="s">
        <v>153</v>
      </c>
      <c r="CJ9" s="3" t="s">
        <v>112</v>
      </c>
      <c r="CK9" s="3" t="s">
        <v>153</v>
      </c>
      <c r="CP9" s="3" t="s">
        <v>112</v>
      </c>
      <c r="CQ9" s="3" t="s">
        <v>153</v>
      </c>
      <c r="CV9" s="3" t="s">
        <v>112</v>
      </c>
      <c r="CW9" s="3" t="s">
        <v>153</v>
      </c>
    </row>
    <row r="10" spans="1:104" ht="13.5" thickTop="1">
      <c r="A10" s="7" t="s">
        <v>5</v>
      </c>
      <c r="B10" s="11">
        <f t="shared" ref="B10:E10" si="0">SUM(B12:B39)</f>
        <v>3839435</v>
      </c>
      <c r="C10" s="11">
        <f t="shared" si="0"/>
        <v>3990917</v>
      </c>
      <c r="D10" s="11">
        <f t="shared" si="0"/>
        <v>4255030.0019500004</v>
      </c>
      <c r="E10" s="11">
        <f t="shared" si="0"/>
        <v>5039446.4982400006</v>
      </c>
      <c r="F10" s="11">
        <f t="shared" ref="F10:K10" si="1">SUM(F12:F39)</f>
        <v>5027416.756980001</v>
      </c>
      <c r="G10" s="11">
        <f t="shared" si="1"/>
        <v>5204234.3016299997</v>
      </c>
      <c r="H10" s="11">
        <f t="shared" si="1"/>
        <v>5268329.5315399999</v>
      </c>
      <c r="I10" s="11">
        <f t="shared" si="1"/>
        <v>5228142.7744000014</v>
      </c>
      <c r="J10" s="11">
        <f t="shared" si="1"/>
        <v>5127670.6140600014</v>
      </c>
      <c r="K10" s="11">
        <f t="shared" si="1"/>
        <v>5188169.0240899995</v>
      </c>
      <c r="L10" s="240">
        <f>(K10-J10)*100/J10</f>
        <v>1.1798419708183332</v>
      </c>
      <c r="M10" s="366">
        <f>(K10-AF10)*100/AF10</f>
        <v>37.245993219058782</v>
      </c>
      <c r="N10" s="13">
        <f>SUM(N12:N43)</f>
        <v>1282917</v>
      </c>
      <c r="O10" s="13">
        <f t="shared" ref="O10:Y10" si="2">SUM(O12:O43)</f>
        <v>5579035.7744000005</v>
      </c>
      <c r="P10" s="13">
        <f t="shared" si="2"/>
        <v>1528036</v>
      </c>
      <c r="Q10" s="13">
        <f t="shared" si="2"/>
        <v>1665323</v>
      </c>
      <c r="R10" s="13">
        <f t="shared" si="2"/>
        <v>1846471</v>
      </c>
      <c r="S10" s="13">
        <f t="shared" si="2"/>
        <v>2024270</v>
      </c>
      <c r="T10" s="13">
        <f t="shared" si="2"/>
        <v>2206209</v>
      </c>
      <c r="U10" s="13">
        <f t="shared" si="2"/>
        <v>2247637</v>
      </c>
      <c r="V10" s="13">
        <f t="shared" si="2"/>
        <v>2325522</v>
      </c>
      <c r="W10" s="13">
        <f t="shared" si="2"/>
        <v>2424857.7760000005</v>
      </c>
      <c r="X10" s="13">
        <f t="shared" si="2"/>
        <v>2598041.9869999997</v>
      </c>
      <c r="Y10" s="13">
        <f t="shared" si="2"/>
        <v>2696981.12</v>
      </c>
      <c r="Z10" s="11">
        <f>SUM(Z12:Z39)</f>
        <v>2800462</v>
      </c>
      <c r="AA10" s="11">
        <f>SUM(AA12:AA39)</f>
        <v>2677189</v>
      </c>
      <c r="AB10" s="11">
        <f>SUM(AB12:AB39)</f>
        <v>2839856</v>
      </c>
      <c r="AC10" s="11">
        <f>SUM(AC12:AC39)</f>
        <v>3014910.9699999997</v>
      </c>
      <c r="AD10" s="11">
        <f t="shared" ref="AD10:AF10" si="3">SUM(AD12:AD39)</f>
        <v>3303979</v>
      </c>
      <c r="AE10" s="11">
        <f t="shared" si="3"/>
        <v>3585204.5459000007</v>
      </c>
      <c r="AF10" s="11">
        <f t="shared" si="3"/>
        <v>3780197.0770899998</v>
      </c>
      <c r="AG10" s="11">
        <f>SUM(AG12:AG39)</f>
        <v>2930868457.0099998</v>
      </c>
      <c r="AH10" s="11">
        <f>SUM(AH12:AH39)</f>
        <v>6449074.0800000001</v>
      </c>
      <c r="AI10" s="11">
        <f>SUM(AI12:AI39)</f>
        <v>660785162.97000015</v>
      </c>
      <c r="AJ10" s="11">
        <f>SUM(AJ12:AJ39)</f>
        <v>3585204545.9000001</v>
      </c>
      <c r="AK10" s="11">
        <f>SUM(AK12:AK39)</f>
        <v>3585204.5459000007</v>
      </c>
      <c r="AL10" s="11"/>
      <c r="AM10" s="3">
        <f>SUM(AM12:AM39)</f>
        <v>3077351480.9799995</v>
      </c>
      <c r="AN10" s="3">
        <f t="shared" ref="AN10:AQ10" si="4">SUM(AN12:AN39)</f>
        <v>5748537.9500000011</v>
      </c>
      <c r="AO10" s="3">
        <f t="shared" si="4"/>
        <v>708594134.05999994</v>
      </c>
      <c r="AP10" s="3">
        <f t="shared" si="4"/>
        <v>3780197077.0899987</v>
      </c>
      <c r="AQ10" s="3">
        <f t="shared" si="4"/>
        <v>3780197.0770899993</v>
      </c>
      <c r="AR10" s="11"/>
      <c r="AS10" s="11">
        <f>SUM(AS12:AS39)</f>
        <v>3129196588</v>
      </c>
      <c r="AT10" s="11">
        <f>SUM(AT12:AT39)</f>
        <v>6721794.6200000001</v>
      </c>
      <c r="AU10" s="11">
        <f>SUM(AU12:AU39)</f>
        <v>716960852.77999997</v>
      </c>
      <c r="AV10" s="11">
        <f>SUM(AV12:AV39)</f>
        <v>3839435646.1599998</v>
      </c>
      <c r="AW10" s="11">
        <f>SUM(AW12:AW39)</f>
        <v>3839435.6461599995</v>
      </c>
      <c r="AZ10" s="11">
        <f>SUM(AZ12:AZ39)</f>
        <v>3225104541</v>
      </c>
      <c r="BA10" s="11">
        <f>SUM(BA12:BA39)</f>
        <v>5711754.7499999991</v>
      </c>
      <c r="BB10" s="11">
        <f>SUM(BB12:BB39)</f>
        <v>771524617.13</v>
      </c>
      <c r="BC10" s="11">
        <f>SUM(BC12:BC39)</f>
        <v>3990917403.3800011</v>
      </c>
      <c r="BD10" s="11">
        <f>SUM(BD12:BD39)</f>
        <v>3990917.40338</v>
      </c>
      <c r="BF10" s="233">
        <f>SUM(BF12:BF39)</f>
        <v>3424356935.019999</v>
      </c>
      <c r="BG10" s="233">
        <f>SUM(BG12:BG39)</f>
        <v>5749994.7000000002</v>
      </c>
      <c r="BH10" s="233">
        <f>SUM(BH12:BH39)</f>
        <v>836423061.62999988</v>
      </c>
      <c r="BI10" s="233">
        <f>SUM(BI12:BI39)</f>
        <v>4255030001.9499998</v>
      </c>
      <c r="BJ10" s="233">
        <f>SUM(BJ12:BJ39)</f>
        <v>4255030.0019500004</v>
      </c>
      <c r="BL10" s="233">
        <f>SUM(BL12:BL39)</f>
        <v>4116776614.7800002</v>
      </c>
      <c r="BM10" s="233">
        <f>SUM(BM12:BM39)</f>
        <v>5543501.3000000007</v>
      </c>
      <c r="BN10" s="233">
        <f>SUM(BN12:BN39)</f>
        <v>928213384.76000011</v>
      </c>
      <c r="BO10" s="233">
        <f>SUM(BO12:BO39)</f>
        <v>5039446498.2400007</v>
      </c>
      <c r="BP10" s="233">
        <f>SUM(BP12:BP39)</f>
        <v>5039446.4982400006</v>
      </c>
      <c r="BR10" s="233">
        <f>SUM(BR12:BR39)</f>
        <v>4010881499.8600006</v>
      </c>
      <c r="BS10" s="233">
        <f>SUM(BS12:BS39)</f>
        <v>4971358.0299999993</v>
      </c>
      <c r="BT10" s="233">
        <f>SUM(BT12:BT39)</f>
        <v>1021506615.1500001</v>
      </c>
      <c r="BU10" s="233">
        <f>SUM(BU12:BU39)</f>
        <v>5027416756.9800014</v>
      </c>
      <c r="BV10" s="233">
        <f>SUM(BV12:BV39)</f>
        <v>5027416.756980001</v>
      </c>
      <c r="BX10" s="233">
        <f>SUM(BX12:BX39)</f>
        <v>4130247054.2799997</v>
      </c>
      <c r="BY10" s="233">
        <f>SUM(BY12:BY39)</f>
        <v>4255833.05</v>
      </c>
      <c r="BZ10" s="233">
        <f>SUM(BZ12:BZ39)</f>
        <v>1078243080.4000001</v>
      </c>
      <c r="CA10" s="233">
        <f>SUM(CA12:CA39)</f>
        <v>5204234301.6300011</v>
      </c>
      <c r="CB10" s="233">
        <f>SUM(CB12:CB39)</f>
        <v>5204234.3016299997</v>
      </c>
      <c r="CD10" s="233">
        <f>SUM(CD12:CD39)</f>
        <v>4155249582.8699999</v>
      </c>
      <c r="CE10" s="233">
        <f>SUM(CE12:CE39)</f>
        <v>3981738.1899999995</v>
      </c>
      <c r="CF10" s="233">
        <f>SUM(CF12:CF39)</f>
        <v>1117061686.8599997</v>
      </c>
      <c r="CG10" s="233">
        <f>SUM(CG12:CG39)</f>
        <v>5268329531.5400019</v>
      </c>
      <c r="CH10" s="233">
        <f>SUM(CH12:CH39)</f>
        <v>5268329.5315399999</v>
      </c>
      <c r="CJ10" s="233">
        <f>SUM(CJ12:CJ39)</f>
        <v>4110886069.8599997</v>
      </c>
      <c r="CK10" s="233">
        <f>SUM(CK12:CK39)</f>
        <v>2271651.41</v>
      </c>
      <c r="CL10" s="233">
        <f>SUM(CL12:CL39)</f>
        <v>1119528355.95</v>
      </c>
      <c r="CM10" s="233">
        <f>SUM(CM12:CM39)</f>
        <v>5228142774.3999996</v>
      </c>
      <c r="CN10" s="233">
        <f>SUM(CN12:CN39)</f>
        <v>5228142.7744000014</v>
      </c>
      <c r="CP10" s="233">
        <f>SUM(CP12:CP39)</f>
        <v>4007386545.6999998</v>
      </c>
      <c r="CQ10" s="233">
        <f>SUM(CQ12:CQ39)</f>
        <v>2138830.92</v>
      </c>
      <c r="CR10" s="233">
        <f>SUM(CR12:CR39)</f>
        <v>1122422899.2800002</v>
      </c>
      <c r="CS10" s="233">
        <f>SUM(CS12:CS39)</f>
        <v>5127670614.0599995</v>
      </c>
      <c r="CT10" s="233">
        <f>SUM(CT12:CT39)</f>
        <v>5127670.6140600005</v>
      </c>
      <c r="CV10" s="3">
        <f>SUM(CV12:CV39)</f>
        <v>4050865850.1800008</v>
      </c>
      <c r="CW10" s="3">
        <f t="shared" ref="CW10:CZ10" si="5">SUM(CW12:CW39)</f>
        <v>1775792.65</v>
      </c>
      <c r="CX10" s="3">
        <f t="shared" si="5"/>
        <v>1139078966.5600002</v>
      </c>
      <c r="CY10" s="3">
        <f t="shared" si="5"/>
        <v>5188169024.0899992</v>
      </c>
      <c r="CZ10" s="3">
        <f t="shared" si="5"/>
        <v>5188169.0240899995</v>
      </c>
    </row>
    <row r="11" spans="1:104">
      <c r="M11" s="14"/>
      <c r="O11" s="14"/>
      <c r="R11" s="14"/>
      <c r="S11" s="14"/>
      <c r="U11" s="1"/>
      <c r="V11" s="1"/>
      <c r="X11" s="21"/>
      <c r="Y11" s="14"/>
      <c r="Z11" s="14"/>
      <c r="AA11" s="14"/>
      <c r="AB11" s="1"/>
      <c r="AC11" s="1"/>
      <c r="AD11" s="1"/>
      <c r="AE11" s="1"/>
      <c r="AF11" s="1"/>
      <c r="AL11" s="14"/>
      <c r="AO11" s="14"/>
      <c r="AP11" s="14"/>
      <c r="AQ11" s="14"/>
      <c r="AR11" s="14"/>
    </row>
    <row r="12" spans="1:104">
      <c r="A12" s="1" t="s">
        <v>6</v>
      </c>
      <c r="B12" s="1">
        <v>41874</v>
      </c>
      <c r="C12" s="1">
        <v>43869</v>
      </c>
      <c r="D12" s="1">
        <v>46213.281630000012</v>
      </c>
      <c r="E12" s="1">
        <v>54763.816230000004</v>
      </c>
      <c r="F12" s="1">
        <v>52158.789989999997</v>
      </c>
      <c r="G12" s="1">
        <v>55655.175739999991</v>
      </c>
      <c r="H12" s="1">
        <v>56252.210859999999</v>
      </c>
      <c r="I12" s="1">
        <v>56311.856409999986</v>
      </c>
      <c r="J12" s="1">
        <v>52371.661220000002</v>
      </c>
      <c r="K12" s="1">
        <v>55061.286549999997</v>
      </c>
      <c r="L12" s="240">
        <f>(K12-J12)*100/J12</f>
        <v>5.1356502110971141</v>
      </c>
      <c r="M12" s="48">
        <f>(K12-AF12)*100/AF12</f>
        <v>34.476996167518827</v>
      </c>
      <c r="N12" s="14">
        <v>19003</v>
      </c>
      <c r="O12" s="14">
        <v>20242</v>
      </c>
      <c r="P12" s="14">
        <v>21445</v>
      </c>
      <c r="Q12" s="27">
        <v>22670</v>
      </c>
      <c r="R12" s="27">
        <v>24640</v>
      </c>
      <c r="S12" s="27">
        <v>26265</v>
      </c>
      <c r="T12" s="27">
        <v>27530</v>
      </c>
      <c r="U12" s="27">
        <v>28661</v>
      </c>
      <c r="V12" s="27">
        <v>29133</v>
      </c>
      <c r="W12" s="27">
        <f>27113.852+3903.364</f>
        <v>31017.216</v>
      </c>
      <c r="X12" s="36">
        <f>28369.44+4251.064</f>
        <v>32620.504000000001</v>
      </c>
      <c r="Y12" s="14">
        <f>29346.709+4674.629</f>
        <v>34021.337999999996</v>
      </c>
      <c r="Z12" s="14">
        <v>34369</v>
      </c>
      <c r="AA12" s="14">
        <v>33772</v>
      </c>
      <c r="AB12" s="1">
        <v>35496</v>
      </c>
      <c r="AC12" s="1">
        <v>36350</v>
      </c>
      <c r="AD12" s="1">
        <v>36871</v>
      </c>
      <c r="AE12" s="1">
        <v>39824.415829999998</v>
      </c>
      <c r="AF12" s="1">
        <v>40944.762390000004</v>
      </c>
      <c r="AG12" s="128">
        <v>32128942.810000002</v>
      </c>
      <c r="AH12" s="128">
        <v>118487.16</v>
      </c>
      <c r="AI12" s="128">
        <v>7813960.1799999997</v>
      </c>
      <c r="AJ12" s="3">
        <f>AG12-AH12+AI12</f>
        <v>39824415.829999998</v>
      </c>
      <c r="AK12" s="3">
        <f>AJ12/1000</f>
        <v>39824.415829999998</v>
      </c>
      <c r="AL12" s="14"/>
      <c r="AM12" s="11">
        <v>33206435.069999989</v>
      </c>
      <c r="AN12" s="11">
        <v>122031.47</v>
      </c>
      <c r="AO12" s="14">
        <v>7860358.7900000019</v>
      </c>
      <c r="AP12" s="14">
        <f>AM12-AN12+AO12</f>
        <v>40944762.389999993</v>
      </c>
      <c r="AQ12" s="14">
        <f>AP12/1000</f>
        <v>40944.762389999996</v>
      </c>
      <c r="AR12" s="14"/>
      <c r="AS12" s="3">
        <v>33974534</v>
      </c>
      <c r="AT12" s="3">
        <v>125360.44</v>
      </c>
      <c r="AU12" s="3">
        <v>8025130</v>
      </c>
      <c r="AV12" s="3">
        <f>AS12-AT12+AU12</f>
        <v>41874303.560000002</v>
      </c>
      <c r="AW12" s="3">
        <f>AV12/1000</f>
        <v>41874.30356</v>
      </c>
      <c r="AZ12" s="3">
        <v>34912483</v>
      </c>
      <c r="BA12" s="3">
        <v>141365</v>
      </c>
      <c r="BB12" s="3">
        <v>9098377</v>
      </c>
      <c r="BC12" s="3">
        <f>AZ12-BA12+BB12</f>
        <v>43869495</v>
      </c>
      <c r="BD12" s="3">
        <f>BC12/1000</f>
        <v>43869.495000000003</v>
      </c>
      <c r="BF12" s="3">
        <v>37083559.030000009</v>
      </c>
      <c r="BG12" s="3">
        <v>162723.47</v>
      </c>
      <c r="BH12" s="3">
        <v>9292446.0700000003</v>
      </c>
      <c r="BI12" s="3">
        <f>BF12-BG12+BH12</f>
        <v>46213281.63000001</v>
      </c>
      <c r="BJ12" s="3">
        <f>BI12/1000</f>
        <v>46213.281630000012</v>
      </c>
      <c r="BL12" s="3">
        <v>44759335.300000004</v>
      </c>
      <c r="BM12" s="3">
        <v>208411.12</v>
      </c>
      <c r="BN12" s="3">
        <v>10212892.050000001</v>
      </c>
      <c r="BO12" s="3">
        <f>BL12-BM12+BN12</f>
        <v>54763816.230000004</v>
      </c>
      <c r="BP12" s="3">
        <f>BO12/1000</f>
        <v>54763.816230000004</v>
      </c>
      <c r="BR12" s="3">
        <v>41460933.539999992</v>
      </c>
      <c r="BS12" s="3">
        <v>217859.51</v>
      </c>
      <c r="BT12" s="3">
        <v>10915715.960000003</v>
      </c>
      <c r="BU12" s="3">
        <f>BR12-BS12+BT12</f>
        <v>52158789.989999995</v>
      </c>
      <c r="BV12" s="3">
        <f>BU12/1000</f>
        <v>52158.789989999997</v>
      </c>
      <c r="BX12" s="3">
        <v>44899637.719999999</v>
      </c>
      <c r="BY12" s="3">
        <v>236274.7</v>
      </c>
      <c r="BZ12" s="3">
        <v>10991812.720000001</v>
      </c>
      <c r="CA12" s="3">
        <f>BX12-BY12+BZ12</f>
        <v>55655175.739999995</v>
      </c>
      <c r="CB12" s="3">
        <f>CA12/1000</f>
        <v>55655.175739999991</v>
      </c>
      <c r="CD12" s="3">
        <v>45065493.999999993</v>
      </c>
      <c r="CE12" s="3">
        <v>222095.87</v>
      </c>
      <c r="CF12" s="3">
        <v>11408812.73</v>
      </c>
      <c r="CG12" s="3">
        <f>CD12-CE12+CF12</f>
        <v>56252210.859999999</v>
      </c>
      <c r="CH12" s="3">
        <f>CG12/1000</f>
        <v>56252.210859999999</v>
      </c>
      <c r="CJ12" s="3">
        <v>45070270.559999995</v>
      </c>
      <c r="CK12" s="3">
        <v>211833.34</v>
      </c>
      <c r="CL12" s="3">
        <v>11453419.189999999</v>
      </c>
      <c r="CM12" s="3">
        <f t="shared" ref="CM12:CM16" si="6">CJ12-CK12+CL12</f>
        <v>56311856.409999989</v>
      </c>
      <c r="CN12" s="3">
        <f t="shared" ref="CN12:CN16" si="7">CM12/1000</f>
        <v>56311.856409999986</v>
      </c>
      <c r="CP12" s="3">
        <v>41154029.629999995</v>
      </c>
      <c r="CQ12" s="3">
        <v>198281.52</v>
      </c>
      <c r="CR12" s="3">
        <v>11415913.109999999</v>
      </c>
      <c r="CS12" s="3">
        <f t="shared" ref="CS12:CS16" si="8">CP12-CQ12+CR12</f>
        <v>52371661.219999991</v>
      </c>
      <c r="CT12" s="3">
        <f t="shared" ref="CT12:CT16" si="9">CS12/1000</f>
        <v>52371.661219999995</v>
      </c>
      <c r="CV12" s="3">
        <v>43673167.199999996</v>
      </c>
      <c r="CW12" s="3">
        <v>216886.31</v>
      </c>
      <c r="CX12" s="3">
        <v>11605005.66</v>
      </c>
      <c r="CY12" s="3">
        <f>CV12-CW12+CX12</f>
        <v>55061286.549999997</v>
      </c>
      <c r="CZ12" s="3">
        <f>CY12/1000</f>
        <v>55061.286549999997</v>
      </c>
    </row>
    <row r="13" spans="1:104">
      <c r="A13" s="1" t="s">
        <v>7</v>
      </c>
      <c r="B13" s="1">
        <v>298203</v>
      </c>
      <c r="C13" s="1">
        <v>316152</v>
      </c>
      <c r="D13" s="1">
        <v>339474.22856999992</v>
      </c>
      <c r="E13" s="1">
        <v>405419.5317900001</v>
      </c>
      <c r="F13" s="1">
        <v>416325.10983999993</v>
      </c>
      <c r="G13" s="1">
        <v>440868.43470999994</v>
      </c>
      <c r="H13" s="1">
        <v>438171.66867000004</v>
      </c>
      <c r="I13" s="1">
        <v>443610.86858000001</v>
      </c>
      <c r="J13" s="1">
        <v>437957.32526000001</v>
      </c>
      <c r="K13" s="1">
        <v>442755.66558000003</v>
      </c>
      <c r="L13" s="240">
        <f>(K13-J13)*100/J13</f>
        <v>1.0956182356697448</v>
      </c>
      <c r="M13" s="48">
        <f t="shared" ref="M13:M39" si="10">(K13-AF13)*100/AF13</f>
        <v>49.647388498125338</v>
      </c>
      <c r="N13" s="14">
        <v>120553</v>
      </c>
      <c r="O13" s="14">
        <v>129829</v>
      </c>
      <c r="P13" s="14">
        <v>141233</v>
      </c>
      <c r="Q13" s="27">
        <v>153249</v>
      </c>
      <c r="R13" s="27">
        <v>167493</v>
      </c>
      <c r="S13" s="27">
        <v>185592</v>
      </c>
      <c r="T13" s="27">
        <v>205817</v>
      </c>
      <c r="U13" s="27">
        <v>203702</v>
      </c>
      <c r="V13" s="27">
        <v>210800</v>
      </c>
      <c r="W13" s="27">
        <f>188520.394+30617.162</f>
        <v>219137.55600000001</v>
      </c>
      <c r="X13" s="36">
        <f>201113.017+33511.67</f>
        <v>234624.68699999998</v>
      </c>
      <c r="Y13" s="14">
        <f>203360.807+34022.837</f>
        <v>237383.644</v>
      </c>
      <c r="Z13" s="14">
        <v>241584</v>
      </c>
      <c r="AA13" s="14">
        <v>226336</v>
      </c>
      <c r="AB13" s="1">
        <v>234438</v>
      </c>
      <c r="AC13" s="1">
        <v>247616.92</v>
      </c>
      <c r="AD13" s="1">
        <v>268848</v>
      </c>
      <c r="AE13" s="1">
        <v>289399.06659</v>
      </c>
      <c r="AF13" s="1">
        <v>295865.94863</v>
      </c>
      <c r="AG13" s="128">
        <v>239607015.45999998</v>
      </c>
      <c r="AH13" s="128">
        <v>0</v>
      </c>
      <c r="AI13" s="128">
        <v>49792051.130000003</v>
      </c>
      <c r="AJ13" s="3">
        <f>AG13-AH13+AI13</f>
        <v>289399066.58999997</v>
      </c>
      <c r="AK13" s="3">
        <f>AJ13/1000</f>
        <v>289399.06659</v>
      </c>
      <c r="AL13" s="14"/>
      <c r="AM13" s="14">
        <v>243062170.93000001</v>
      </c>
      <c r="AN13" s="14">
        <v>0</v>
      </c>
      <c r="AO13" s="14">
        <v>52803777.700000003</v>
      </c>
      <c r="AP13" s="14">
        <f t="shared" ref="AP13:AP39" si="11">AM13-AN13+AO13</f>
        <v>295865948.63</v>
      </c>
      <c r="AQ13" s="14">
        <f t="shared" ref="AQ13:AQ39" si="12">AP13/1000</f>
        <v>295865.94863</v>
      </c>
      <c r="AR13" s="14"/>
      <c r="AS13" s="3">
        <v>244522000</v>
      </c>
      <c r="AT13" s="3">
        <v>0</v>
      </c>
      <c r="AU13" s="3">
        <v>53681360</v>
      </c>
      <c r="AV13" s="3">
        <f>AS13-AT13+AU13</f>
        <v>298203360</v>
      </c>
      <c r="AW13" s="3">
        <f>AV13/1000</f>
        <v>298203.36</v>
      </c>
      <c r="AZ13" s="3">
        <v>258563506</v>
      </c>
      <c r="BA13" s="3">
        <v>0</v>
      </c>
      <c r="BB13" s="3">
        <v>57588148</v>
      </c>
      <c r="BC13" s="3">
        <f>AZ13-BA13+BB13</f>
        <v>316151654</v>
      </c>
      <c r="BD13" s="3">
        <f>BC13/1000</f>
        <v>316151.65399999998</v>
      </c>
      <c r="BF13" s="3">
        <v>278249762.28999996</v>
      </c>
      <c r="BG13" s="3">
        <v>0</v>
      </c>
      <c r="BH13" s="3">
        <v>61224466.280000001</v>
      </c>
      <c r="BI13" s="3">
        <f>BF13-BG13+BH13</f>
        <v>339474228.56999993</v>
      </c>
      <c r="BJ13" s="3">
        <f>BI13/1000</f>
        <v>339474.22856999992</v>
      </c>
      <c r="BL13" s="3">
        <v>336806457.41000009</v>
      </c>
      <c r="BM13" s="3">
        <v>170014.62</v>
      </c>
      <c r="BN13" s="3">
        <v>68783089</v>
      </c>
      <c r="BO13" s="3">
        <f>BL13-BM13+BN13</f>
        <v>405419531.79000008</v>
      </c>
      <c r="BP13" s="3">
        <f>BO13/1000</f>
        <v>405419.5317900001</v>
      </c>
      <c r="BR13" s="3">
        <v>337941479.91999996</v>
      </c>
      <c r="BS13" s="3">
        <v>187208.81</v>
      </c>
      <c r="BT13" s="3">
        <v>78570838.729999989</v>
      </c>
      <c r="BU13" s="3">
        <f>BR13-BS13+BT13</f>
        <v>416325109.83999991</v>
      </c>
      <c r="BV13" s="3">
        <f>BU13/1000</f>
        <v>416325.10983999993</v>
      </c>
      <c r="BX13" s="3">
        <v>355070383.87999994</v>
      </c>
      <c r="BY13" s="3">
        <v>190965.94</v>
      </c>
      <c r="BZ13" s="3">
        <v>85989016.769999996</v>
      </c>
      <c r="CA13" s="3">
        <f>BX13-BY13+BZ13</f>
        <v>440868434.70999992</v>
      </c>
      <c r="CB13" s="3">
        <f>CA13/1000</f>
        <v>440868.43470999994</v>
      </c>
      <c r="CD13" s="3">
        <v>350382228.59000003</v>
      </c>
      <c r="CE13" s="3">
        <v>190038</v>
      </c>
      <c r="CF13" s="3">
        <v>87979478.079999983</v>
      </c>
      <c r="CG13" s="3">
        <f>CD13-CE13+CF13</f>
        <v>438171668.67000002</v>
      </c>
      <c r="CH13" s="3">
        <f>CG13/1000</f>
        <v>438171.66867000004</v>
      </c>
      <c r="CJ13" s="3">
        <v>353481915.96999997</v>
      </c>
      <c r="CK13" s="3">
        <v>184974.78</v>
      </c>
      <c r="CL13" s="3">
        <v>90313927.390000001</v>
      </c>
      <c r="CM13" s="3">
        <f t="shared" si="6"/>
        <v>443610868.57999998</v>
      </c>
      <c r="CN13" s="3">
        <f t="shared" si="7"/>
        <v>443610.86858000001</v>
      </c>
      <c r="CP13" s="3">
        <v>349529608.80000001</v>
      </c>
      <c r="CQ13" s="3">
        <v>0</v>
      </c>
      <c r="CR13" s="3">
        <v>88427716.460000008</v>
      </c>
      <c r="CS13" s="3">
        <f t="shared" si="8"/>
        <v>437957325.25999999</v>
      </c>
      <c r="CT13" s="3">
        <f t="shared" si="9"/>
        <v>437957.32526000001</v>
      </c>
      <c r="CV13" s="3">
        <v>354384264.30000007</v>
      </c>
      <c r="CW13" s="3">
        <v>0</v>
      </c>
      <c r="CX13" s="3">
        <v>88371401.279999986</v>
      </c>
      <c r="CY13" s="3">
        <f t="shared" ref="CY13:CY39" si="13">CV13-CW13+CX13</f>
        <v>442755665.58000004</v>
      </c>
      <c r="CZ13" s="3">
        <f t="shared" ref="CZ13:CZ39" si="14">CY13/1000</f>
        <v>442755.66558000003</v>
      </c>
    </row>
    <row r="14" spans="1:104">
      <c r="A14" s="1" t="s">
        <v>8</v>
      </c>
      <c r="B14" s="1">
        <v>409620</v>
      </c>
      <c r="C14" s="1">
        <v>383272</v>
      </c>
      <c r="D14" s="1">
        <v>407609.64318000001</v>
      </c>
      <c r="E14" s="1">
        <v>549154.33033000014</v>
      </c>
      <c r="F14" s="1">
        <v>497883.37481000012</v>
      </c>
      <c r="G14" s="1">
        <v>505464.46131999994</v>
      </c>
      <c r="H14" s="1">
        <v>505638.70896000013</v>
      </c>
      <c r="I14" s="1">
        <v>517959.5515199998</v>
      </c>
      <c r="J14" s="1">
        <v>512305.75172</v>
      </c>
      <c r="K14" s="1">
        <v>502900.62904999993</v>
      </c>
      <c r="L14" s="240">
        <f>(K14-J14)*100/J14</f>
        <v>-1.8358417094525277</v>
      </c>
      <c r="M14" s="48">
        <f t="shared" si="10"/>
        <v>11.229099574744385</v>
      </c>
      <c r="N14" s="14">
        <v>185311</v>
      </c>
      <c r="O14" s="14">
        <v>200822</v>
      </c>
      <c r="P14" s="14">
        <v>214558</v>
      </c>
      <c r="Q14" s="27">
        <v>229158</v>
      </c>
      <c r="R14" s="27">
        <v>246294</v>
      </c>
      <c r="S14" s="27">
        <v>265330</v>
      </c>
      <c r="T14" s="27">
        <v>290159</v>
      </c>
      <c r="U14" s="27">
        <v>294945</v>
      </c>
      <c r="V14" s="27">
        <v>301029</v>
      </c>
      <c r="W14" s="27">
        <f>233475.657+69524.136</f>
        <v>302999.79300000001</v>
      </c>
      <c r="X14" s="36">
        <f>250113.606+76618.569</f>
        <v>326732.17499999999</v>
      </c>
      <c r="Y14" s="14">
        <f>260001.703+81953.999</f>
        <v>341955.70199999999</v>
      </c>
      <c r="Z14" s="14">
        <v>355402</v>
      </c>
      <c r="AA14" s="14">
        <v>328673</v>
      </c>
      <c r="AB14" s="1">
        <v>351684</v>
      </c>
      <c r="AC14" s="1">
        <v>355132</v>
      </c>
      <c r="AD14" s="1">
        <v>398555</v>
      </c>
      <c r="AE14" s="1">
        <v>424535.12809000001</v>
      </c>
      <c r="AF14" s="1">
        <v>452130.45055000001</v>
      </c>
      <c r="AG14" s="128">
        <v>317245917.60000008</v>
      </c>
      <c r="AH14" s="128">
        <v>272439.96999999997</v>
      </c>
      <c r="AI14" s="128">
        <v>107561650.45999999</v>
      </c>
      <c r="AJ14" s="3">
        <f>AG14-AH14+AI14</f>
        <v>424535128.09000003</v>
      </c>
      <c r="AK14" s="3">
        <f>AJ14/1000</f>
        <v>424535.12809000001</v>
      </c>
      <c r="AL14" s="14"/>
      <c r="AM14" s="14">
        <v>338809142.31999987</v>
      </c>
      <c r="AN14" s="14">
        <v>36891.769999999997</v>
      </c>
      <c r="AO14" s="14">
        <v>113358200</v>
      </c>
      <c r="AP14" s="14">
        <f t="shared" si="11"/>
        <v>452130450.54999989</v>
      </c>
      <c r="AQ14" s="14">
        <f t="shared" si="12"/>
        <v>452130.45054999989</v>
      </c>
      <c r="AR14" s="14"/>
      <c r="AS14" s="3">
        <v>314086041</v>
      </c>
      <c r="AT14" s="3">
        <v>0</v>
      </c>
      <c r="AU14" s="3">
        <v>95534122</v>
      </c>
      <c r="AV14" s="3">
        <f>AS14-AT14+AU14</f>
        <v>409620163</v>
      </c>
      <c r="AW14" s="3">
        <f>AV14/1000</f>
        <v>409620.163</v>
      </c>
      <c r="AZ14" s="3">
        <v>280806624</v>
      </c>
      <c r="BA14" s="3">
        <v>0</v>
      </c>
      <c r="BB14" s="3">
        <v>102465848</v>
      </c>
      <c r="BC14" s="3">
        <f>AZ14-BA14+BB14</f>
        <v>383272472</v>
      </c>
      <c r="BD14" s="3">
        <f>BC14/1000</f>
        <v>383272.47200000001</v>
      </c>
      <c r="BF14" s="3">
        <v>297265330.13</v>
      </c>
      <c r="BG14" s="3">
        <v>0</v>
      </c>
      <c r="BH14" s="3">
        <v>110344313.05</v>
      </c>
      <c r="BI14" s="3">
        <f>BF14-BG14+BH14</f>
        <v>407609643.18000001</v>
      </c>
      <c r="BJ14" s="3">
        <f>BI14/1000</f>
        <v>407609.64318000001</v>
      </c>
      <c r="BL14" s="3">
        <v>427918501.18000013</v>
      </c>
      <c r="BM14" s="3">
        <v>0</v>
      </c>
      <c r="BN14" s="3">
        <v>121235829.15000001</v>
      </c>
      <c r="BO14" s="3">
        <f>BL14-BM14+BN14</f>
        <v>549154330.33000016</v>
      </c>
      <c r="BP14" s="3">
        <f>BO14/1000</f>
        <v>549154.33033000014</v>
      </c>
      <c r="BR14" s="3">
        <v>372509246.5800001</v>
      </c>
      <c r="BS14" s="3">
        <v>0</v>
      </c>
      <c r="BT14" s="3">
        <v>125374128.23</v>
      </c>
      <c r="BU14" s="3">
        <f>BR14-BS14+BT14</f>
        <v>497883374.81000012</v>
      </c>
      <c r="BV14" s="3">
        <f>BU14/1000</f>
        <v>497883.37481000012</v>
      </c>
      <c r="BX14" s="3">
        <v>375824830.34999996</v>
      </c>
      <c r="BY14" s="3">
        <v>0</v>
      </c>
      <c r="BZ14" s="3">
        <v>129639630.97</v>
      </c>
      <c r="CA14" s="3">
        <f>BX14-BY14+BZ14</f>
        <v>505464461.31999993</v>
      </c>
      <c r="CB14" s="3">
        <f>CA14/1000</f>
        <v>505464.46131999994</v>
      </c>
      <c r="CD14" s="3">
        <v>374827784.49000013</v>
      </c>
      <c r="CE14" s="3">
        <v>0</v>
      </c>
      <c r="CF14" s="3">
        <v>130810924.47</v>
      </c>
      <c r="CG14" s="3">
        <f>CD14-CE14+CF14</f>
        <v>505638708.96000016</v>
      </c>
      <c r="CH14" s="3">
        <f>CG14/1000</f>
        <v>505638.70896000013</v>
      </c>
      <c r="CJ14" s="3">
        <v>384827928.41999984</v>
      </c>
      <c r="CK14" s="3">
        <v>0</v>
      </c>
      <c r="CL14" s="3">
        <v>133131623.09999998</v>
      </c>
      <c r="CM14" s="3">
        <f t="shared" si="6"/>
        <v>517959551.5199998</v>
      </c>
      <c r="CN14" s="3">
        <f t="shared" si="7"/>
        <v>517959.5515199998</v>
      </c>
      <c r="CP14" s="3">
        <v>378524810.13</v>
      </c>
      <c r="CQ14" s="3">
        <v>0</v>
      </c>
      <c r="CR14" s="3">
        <v>133780941.58999999</v>
      </c>
      <c r="CS14" s="3">
        <f t="shared" si="8"/>
        <v>512305751.71999997</v>
      </c>
      <c r="CT14" s="3">
        <f t="shared" si="9"/>
        <v>512305.75171999994</v>
      </c>
      <c r="CV14" s="3">
        <v>369355616.26999998</v>
      </c>
      <c r="CW14" s="3">
        <v>0</v>
      </c>
      <c r="CX14" s="3">
        <v>133545012.77999999</v>
      </c>
      <c r="CY14" s="3">
        <f t="shared" si="13"/>
        <v>502900629.04999995</v>
      </c>
      <c r="CZ14" s="3">
        <f t="shared" si="14"/>
        <v>502900.62904999993</v>
      </c>
    </row>
    <row r="15" spans="1:104">
      <c r="A15" s="1" t="s">
        <v>9</v>
      </c>
      <c r="B15" s="1">
        <v>463601</v>
      </c>
      <c r="C15" s="1">
        <v>485949</v>
      </c>
      <c r="D15" s="1">
        <v>509698.28848000005</v>
      </c>
      <c r="E15" s="1">
        <v>585474.50131000008</v>
      </c>
      <c r="F15" s="1">
        <v>560837.33946000016</v>
      </c>
      <c r="G15" s="1">
        <v>562887.68432</v>
      </c>
      <c r="H15" s="1">
        <v>584706.54301999998</v>
      </c>
      <c r="I15" s="1">
        <v>599469.28415000008</v>
      </c>
      <c r="J15" s="1">
        <v>591517.01743000001</v>
      </c>
      <c r="K15" s="1">
        <v>600009.85784000019</v>
      </c>
      <c r="L15" s="240">
        <f>(K15-J15)*100/J15</f>
        <v>1.4357727943144458</v>
      </c>
      <c r="M15" s="48">
        <f t="shared" si="10"/>
        <v>33.105486864785071</v>
      </c>
      <c r="N15" s="14">
        <v>187010</v>
      </c>
      <c r="O15" s="14">
        <v>56311.856409999986</v>
      </c>
      <c r="P15" s="14">
        <v>216156</v>
      </c>
      <c r="Q15" s="27">
        <v>224709</v>
      </c>
      <c r="R15" s="27">
        <v>258046</v>
      </c>
      <c r="S15" s="27">
        <v>273859</v>
      </c>
      <c r="T15" s="27">
        <v>288003</v>
      </c>
      <c r="U15" s="27">
        <v>294923</v>
      </c>
      <c r="V15" s="27">
        <v>297512</v>
      </c>
      <c r="W15" s="27">
        <f>260815.351+44641.775</f>
        <v>305457.12599999999</v>
      </c>
      <c r="X15" s="36">
        <f>279136.357+46436.483</f>
        <v>325572.84000000003</v>
      </c>
      <c r="Y15" s="14">
        <f>289841.298+49987.526</f>
        <v>339828.82400000002</v>
      </c>
      <c r="Z15" s="14">
        <v>356990</v>
      </c>
      <c r="AA15" s="14">
        <v>342268</v>
      </c>
      <c r="AB15" s="1">
        <v>349370</v>
      </c>
      <c r="AC15" s="1">
        <v>377302</v>
      </c>
      <c r="AD15" s="1">
        <v>407517</v>
      </c>
      <c r="AE15" s="1">
        <v>437209.3633400001</v>
      </c>
      <c r="AF15" s="1">
        <v>450777.70419000002</v>
      </c>
      <c r="AG15" s="128">
        <v>354976640.73000014</v>
      </c>
      <c r="AH15" s="128">
        <v>72336.11</v>
      </c>
      <c r="AI15" s="128">
        <v>82305058.719999984</v>
      </c>
      <c r="AJ15" s="3">
        <f>AG15-AH15+AI15</f>
        <v>437209363.34000009</v>
      </c>
      <c r="AK15" s="3">
        <f>AJ15/1000</f>
        <v>437209.3633400001</v>
      </c>
      <c r="AL15" s="14"/>
      <c r="AM15" s="14">
        <v>363204685.92999995</v>
      </c>
      <c r="AN15" s="14">
        <v>123146.48</v>
      </c>
      <c r="AO15" s="14">
        <v>87696164.740000039</v>
      </c>
      <c r="AP15" s="14">
        <f t="shared" si="11"/>
        <v>450777704.18999994</v>
      </c>
      <c r="AQ15" s="14">
        <f t="shared" si="12"/>
        <v>450777.70418999996</v>
      </c>
      <c r="AR15" s="14"/>
      <c r="AS15" s="3">
        <v>373784450</v>
      </c>
      <c r="AT15" s="3">
        <v>154088.94</v>
      </c>
      <c r="AU15" s="3">
        <v>89970786</v>
      </c>
      <c r="AV15" s="3">
        <f>AS15-AT15+AU15</f>
        <v>463601147.06</v>
      </c>
      <c r="AW15" s="3">
        <f>AV15/1000</f>
        <v>463601.14705999999</v>
      </c>
      <c r="AZ15" s="3">
        <v>388634826</v>
      </c>
      <c r="BA15" s="3">
        <v>137093.94</v>
      </c>
      <c r="BB15" s="3">
        <v>97451319</v>
      </c>
      <c r="BC15" s="3">
        <f>AZ15-BA15+BB15</f>
        <v>485949051.06</v>
      </c>
      <c r="BD15" s="3">
        <f>BC15/1000</f>
        <v>485949.05106000003</v>
      </c>
      <c r="BF15" s="3">
        <v>404123629.25</v>
      </c>
      <c r="BG15" s="3">
        <v>217340.61</v>
      </c>
      <c r="BH15" s="3">
        <v>105791999.84</v>
      </c>
      <c r="BI15" s="3">
        <f>BF15-BG15+BH15</f>
        <v>509698288.48000002</v>
      </c>
      <c r="BJ15" s="3">
        <f>BI15/1000</f>
        <v>509698.28848000005</v>
      </c>
      <c r="BL15" s="3">
        <v>472346379.89000005</v>
      </c>
      <c r="BM15" s="3">
        <v>312020.42</v>
      </c>
      <c r="BN15" s="3">
        <v>113440141.84</v>
      </c>
      <c r="BO15" s="3">
        <f>BL15-BM15+BN15</f>
        <v>585474501.31000006</v>
      </c>
      <c r="BP15" s="3">
        <f>BO15/1000</f>
        <v>585474.50131000008</v>
      </c>
      <c r="BR15" s="3">
        <v>441025220.27000016</v>
      </c>
      <c r="BS15" s="3">
        <v>320522.5</v>
      </c>
      <c r="BT15" s="3">
        <v>120132641.69</v>
      </c>
      <c r="BU15" s="3">
        <f>BR15-BS15+BT15</f>
        <v>560837339.46000016</v>
      </c>
      <c r="BV15" s="3">
        <f>BU15/1000</f>
        <v>560837.33946000016</v>
      </c>
      <c r="BX15" s="3">
        <v>440585768.55000001</v>
      </c>
      <c r="BY15" s="3">
        <v>316534.15000000002</v>
      </c>
      <c r="BZ15" s="3">
        <v>122618449.92</v>
      </c>
      <c r="CA15" s="3">
        <f>BX15-BY15+BZ15</f>
        <v>562887684.32000005</v>
      </c>
      <c r="CB15" s="3">
        <f>CA15/1000</f>
        <v>562887.68432</v>
      </c>
      <c r="CD15" s="3">
        <v>454753174.23999995</v>
      </c>
      <c r="CE15" s="3">
        <v>311811.84999999998</v>
      </c>
      <c r="CF15" s="3">
        <v>130265180.63</v>
      </c>
      <c r="CG15" s="3">
        <f>CD15-CE15+CF15</f>
        <v>584706543.01999998</v>
      </c>
      <c r="CH15" s="3">
        <f>CG15/1000</f>
        <v>584706.54301999998</v>
      </c>
      <c r="CJ15" s="3">
        <v>463855293.83000004</v>
      </c>
      <c r="CK15" s="3">
        <v>211662.5</v>
      </c>
      <c r="CL15" s="3">
        <v>135825652.81999999</v>
      </c>
      <c r="CM15" s="3">
        <f t="shared" si="6"/>
        <v>599469284.1500001</v>
      </c>
      <c r="CN15" s="3">
        <f t="shared" si="7"/>
        <v>599469.28415000008</v>
      </c>
      <c r="CP15" s="3">
        <v>453403673.15999997</v>
      </c>
      <c r="CQ15" s="3">
        <v>269240.3</v>
      </c>
      <c r="CR15" s="3">
        <v>138382584.56999999</v>
      </c>
      <c r="CS15" s="3">
        <f t="shared" si="8"/>
        <v>591517017.42999995</v>
      </c>
      <c r="CT15" s="3">
        <f t="shared" si="9"/>
        <v>591517.01742999989</v>
      </c>
      <c r="CV15" s="3">
        <v>461424397.3900001</v>
      </c>
      <c r="CW15" s="3">
        <v>9105.1</v>
      </c>
      <c r="CX15" s="3">
        <v>138594565.55000001</v>
      </c>
      <c r="CY15" s="3">
        <f t="shared" si="13"/>
        <v>600009857.84000015</v>
      </c>
      <c r="CZ15" s="3">
        <f t="shared" si="14"/>
        <v>600009.85784000019</v>
      </c>
    </row>
    <row r="16" spans="1:104">
      <c r="A16" s="1" t="s">
        <v>10</v>
      </c>
      <c r="B16" s="1">
        <v>75655</v>
      </c>
      <c r="C16" s="1">
        <v>79302</v>
      </c>
      <c r="D16" s="1">
        <v>85922.305260000023</v>
      </c>
      <c r="E16" s="1">
        <v>94755.386369999993</v>
      </c>
      <c r="F16" s="1">
        <v>98475.705749999994</v>
      </c>
      <c r="G16" s="1">
        <v>103693.95647</v>
      </c>
      <c r="H16" s="1">
        <v>105367.54624999998</v>
      </c>
      <c r="I16" s="1">
        <v>107398.39262</v>
      </c>
      <c r="J16" s="1">
        <v>105434.6756</v>
      </c>
      <c r="K16" s="1">
        <v>103061.35790999999</v>
      </c>
      <c r="L16" s="240">
        <f>(K16-J16)*100/J16</f>
        <v>-2.2509840111842774</v>
      </c>
      <c r="M16" s="48">
        <f t="shared" si="10"/>
        <v>47.368209797343255</v>
      </c>
      <c r="N16" s="14">
        <v>13960</v>
      </c>
      <c r="O16" s="14">
        <v>443610.86858000001</v>
      </c>
      <c r="P16" s="14">
        <v>16755</v>
      </c>
      <c r="Q16" s="27">
        <v>18379</v>
      </c>
      <c r="R16" s="27">
        <v>21000</v>
      </c>
      <c r="S16" s="27">
        <v>23543</v>
      </c>
      <c r="T16" s="27">
        <v>26451</v>
      </c>
      <c r="U16" s="27">
        <v>30315</v>
      </c>
      <c r="V16" s="27">
        <v>32693</v>
      </c>
      <c r="W16" s="27">
        <f>30745.432+5085.919</f>
        <v>35831.351000000002</v>
      </c>
      <c r="X16" s="36">
        <f>33056.258+5507.116</f>
        <v>38563.374000000003</v>
      </c>
      <c r="Y16" s="14">
        <f>35630.831+5978.651</f>
        <v>41609.481999999996</v>
      </c>
      <c r="Z16" s="14">
        <v>45030</v>
      </c>
      <c r="AA16" s="14">
        <v>44276</v>
      </c>
      <c r="AB16" s="1">
        <v>47798</v>
      </c>
      <c r="AC16" s="1">
        <v>52210</v>
      </c>
      <c r="AD16" s="1">
        <v>56889</v>
      </c>
      <c r="AE16" s="1">
        <v>63190.080610000005</v>
      </c>
      <c r="AF16" s="1">
        <v>69934.593120000005</v>
      </c>
      <c r="AG16" s="128">
        <v>52438649.840000011</v>
      </c>
      <c r="AH16" s="128">
        <v>194924.7</v>
      </c>
      <c r="AI16" s="128">
        <v>10946355.470000001</v>
      </c>
      <c r="AJ16" s="3">
        <f>AG16-AH16+AI16</f>
        <v>63190080.610000007</v>
      </c>
      <c r="AK16" s="3">
        <f>AJ16/1000</f>
        <v>63190.080610000005</v>
      </c>
      <c r="AL16" s="14"/>
      <c r="AM16" s="14">
        <v>57735202.729999997</v>
      </c>
      <c r="AN16" s="14">
        <v>200822.99</v>
      </c>
      <c r="AO16" s="14">
        <v>12400213.379999999</v>
      </c>
      <c r="AP16" s="14">
        <f t="shared" si="11"/>
        <v>69934593.11999999</v>
      </c>
      <c r="AQ16" s="14">
        <f t="shared" si="12"/>
        <v>69934.59311999999</v>
      </c>
      <c r="AR16" s="14"/>
      <c r="AS16" s="3">
        <v>62230447</v>
      </c>
      <c r="AT16" s="3">
        <v>191327.97</v>
      </c>
      <c r="AU16" s="3">
        <v>13616333</v>
      </c>
      <c r="AV16" s="3">
        <f>AS16-AT16+AU16</f>
        <v>75655452.030000001</v>
      </c>
      <c r="AW16" s="3">
        <f>AV16/1000</f>
        <v>75655.45203</v>
      </c>
      <c r="AZ16" s="3">
        <v>65249194</v>
      </c>
      <c r="BA16" s="3">
        <v>203616.77</v>
      </c>
      <c r="BB16" s="3">
        <v>14256280</v>
      </c>
      <c r="BC16" s="3">
        <f>AZ16-BA16+BB16</f>
        <v>79301857.229999989</v>
      </c>
      <c r="BD16" s="3">
        <f>BC16/1000</f>
        <v>79301.857229999994</v>
      </c>
      <c r="BF16" s="3">
        <v>70204832.150000006</v>
      </c>
      <c r="BG16" s="3">
        <v>186201.32</v>
      </c>
      <c r="BH16" s="3">
        <v>15903674.430000002</v>
      </c>
      <c r="BI16" s="3">
        <f>BF16-BG16+BH16</f>
        <v>85922305.26000002</v>
      </c>
      <c r="BJ16" s="3">
        <f>BI16/1000</f>
        <v>85922.305260000023</v>
      </c>
      <c r="BL16" s="3">
        <v>78211453.00999999</v>
      </c>
      <c r="BM16" s="3">
        <v>332994.11</v>
      </c>
      <c r="BN16" s="3">
        <v>16876927.469999999</v>
      </c>
      <c r="BO16" s="3">
        <f>BL16-BM16+BN16</f>
        <v>94755386.36999999</v>
      </c>
      <c r="BP16" s="3">
        <f>BO16/1000</f>
        <v>94755.386369999993</v>
      </c>
      <c r="BR16" s="3">
        <v>79486746.210000008</v>
      </c>
      <c r="BS16" s="3">
        <v>331088.58</v>
      </c>
      <c r="BT16" s="3">
        <v>19320048.119999997</v>
      </c>
      <c r="BU16" s="3">
        <f>BR16-BS16+BT16</f>
        <v>98475705.75</v>
      </c>
      <c r="BV16" s="3">
        <f>BU16/1000</f>
        <v>98475.705749999994</v>
      </c>
      <c r="BX16" s="3">
        <v>82598918.950000003</v>
      </c>
      <c r="BY16" s="3">
        <v>336854.94</v>
      </c>
      <c r="BZ16" s="3">
        <v>21431892.459999997</v>
      </c>
      <c r="CA16" s="3">
        <f>BX16-BY16+BZ16</f>
        <v>103693956.47</v>
      </c>
      <c r="CB16" s="3">
        <f>CA16/1000</f>
        <v>103693.95647</v>
      </c>
      <c r="CD16" s="3">
        <v>83374901.349999979</v>
      </c>
      <c r="CE16" s="3">
        <v>328525.99</v>
      </c>
      <c r="CF16" s="3">
        <v>22321170.890000001</v>
      </c>
      <c r="CG16" s="3">
        <f>CD16-CE16+CF16</f>
        <v>105367546.24999999</v>
      </c>
      <c r="CH16" s="3">
        <f>CG16/1000</f>
        <v>105367.54624999998</v>
      </c>
      <c r="CJ16" s="3">
        <v>84971219.850000009</v>
      </c>
      <c r="CK16" s="3">
        <v>255184.92</v>
      </c>
      <c r="CL16" s="3">
        <v>22682357.690000001</v>
      </c>
      <c r="CM16" s="3">
        <f t="shared" si="6"/>
        <v>107398392.62</v>
      </c>
      <c r="CN16" s="3">
        <f t="shared" si="7"/>
        <v>107398.39262</v>
      </c>
      <c r="CP16" s="3">
        <v>83441030.409999996</v>
      </c>
      <c r="CQ16" s="3">
        <v>299874.58</v>
      </c>
      <c r="CR16" s="3">
        <v>22293519.769999996</v>
      </c>
      <c r="CS16" s="3">
        <f t="shared" si="8"/>
        <v>105434675.59999999</v>
      </c>
      <c r="CT16" s="3">
        <f t="shared" si="9"/>
        <v>105434.67559999999</v>
      </c>
      <c r="CV16" s="3">
        <v>80825547.75</v>
      </c>
      <c r="CW16" s="3">
        <v>307617.63999999996</v>
      </c>
      <c r="CX16" s="3">
        <v>22543427.800000001</v>
      </c>
      <c r="CY16" s="3">
        <f t="shared" si="13"/>
        <v>103061357.91</v>
      </c>
      <c r="CZ16" s="3">
        <f t="shared" si="14"/>
        <v>103061.35790999999</v>
      </c>
    </row>
    <row r="17" spans="1:104">
      <c r="L17" s="48"/>
      <c r="M17" s="48"/>
      <c r="N17" s="14"/>
      <c r="O17" s="1">
        <v>517959.5515199998</v>
      </c>
      <c r="P17" s="14"/>
      <c r="Q17" s="27"/>
      <c r="R17" s="27"/>
      <c r="S17" s="27"/>
      <c r="T17" s="27"/>
      <c r="U17" s="27"/>
      <c r="V17" s="27"/>
      <c r="W17" s="27"/>
      <c r="X17" s="36"/>
      <c r="Y17" s="14"/>
      <c r="Z17" s="14"/>
      <c r="AA17" s="14"/>
      <c r="AB17" s="1"/>
      <c r="AC17" s="1"/>
      <c r="AD17" s="1"/>
      <c r="AE17" s="1"/>
      <c r="AF17" s="1"/>
      <c r="AG17" s="128"/>
      <c r="AH17" s="128"/>
      <c r="AI17" s="128"/>
      <c r="AL17" s="14"/>
      <c r="AM17" s="14"/>
      <c r="AN17" s="14"/>
      <c r="AO17" s="14"/>
      <c r="AP17" s="14"/>
      <c r="AQ17" s="14"/>
      <c r="AR17" s="14"/>
    </row>
    <row r="18" spans="1:104">
      <c r="A18" s="1" t="s">
        <v>11</v>
      </c>
      <c r="B18" s="1">
        <v>22226</v>
      </c>
      <c r="C18" s="1">
        <v>22814</v>
      </c>
      <c r="D18" s="1">
        <v>23766.702840000005</v>
      </c>
      <c r="E18" s="1">
        <v>28450.034259999997</v>
      </c>
      <c r="F18" s="1">
        <v>28048.36507</v>
      </c>
      <c r="G18" s="1">
        <v>29122.760890000005</v>
      </c>
      <c r="H18" s="1">
        <v>29639.660170000003</v>
      </c>
      <c r="I18" s="1">
        <v>29909.072110000001</v>
      </c>
      <c r="J18" s="1">
        <v>30231.87688</v>
      </c>
      <c r="K18" s="1">
        <v>29081.004829999998</v>
      </c>
      <c r="L18" s="240">
        <f>(K18-J18)*100/J18</f>
        <v>-3.8068164096069239</v>
      </c>
      <c r="M18" s="48">
        <f t="shared" si="10"/>
        <v>37.423926051039423</v>
      </c>
      <c r="N18" s="14">
        <v>6316</v>
      </c>
      <c r="O18" s="14">
        <v>599469.28415000008</v>
      </c>
      <c r="P18" s="14">
        <v>7933</v>
      </c>
      <c r="Q18" s="27">
        <v>8877</v>
      </c>
      <c r="R18" s="27">
        <v>9900</v>
      </c>
      <c r="S18" s="27">
        <v>10920</v>
      </c>
      <c r="T18" s="27">
        <v>12072</v>
      </c>
      <c r="U18" s="27">
        <v>12784</v>
      </c>
      <c r="V18" s="27">
        <v>13201</v>
      </c>
      <c r="W18" s="27">
        <f>12490.428+1615.668</f>
        <v>14106.096</v>
      </c>
      <c r="X18" s="36">
        <f>13274.194+1826.502</f>
        <v>15100.696</v>
      </c>
      <c r="Y18" s="14">
        <f>14212.639+1959.597</f>
        <v>16172.235999999999</v>
      </c>
      <c r="Z18" s="14">
        <v>16926</v>
      </c>
      <c r="AA18" s="14">
        <v>16267</v>
      </c>
      <c r="AB18" s="1">
        <v>17470</v>
      </c>
      <c r="AC18" s="1">
        <v>17921</v>
      </c>
      <c r="AD18" s="1">
        <v>18582</v>
      </c>
      <c r="AE18" s="1">
        <v>19819.313030000005</v>
      </c>
      <c r="AF18" s="1">
        <v>21161.529630000001</v>
      </c>
      <c r="AG18" s="128">
        <v>16864124.560000006</v>
      </c>
      <c r="AH18" s="128">
        <v>0</v>
      </c>
      <c r="AI18" s="128">
        <v>2955188.47</v>
      </c>
      <c r="AJ18" s="3">
        <f>AG18-AH18+AI18</f>
        <v>19819313.030000005</v>
      </c>
      <c r="AK18" s="3">
        <f>AJ18/1000</f>
        <v>19819.313030000005</v>
      </c>
      <c r="AL18" s="14"/>
      <c r="AM18" s="14">
        <v>17853268.18</v>
      </c>
      <c r="AN18" s="14">
        <v>0</v>
      </c>
      <c r="AO18" s="14">
        <v>3308261.45</v>
      </c>
      <c r="AP18" s="14">
        <f t="shared" si="11"/>
        <v>21161529.629999999</v>
      </c>
      <c r="AQ18" s="14">
        <f t="shared" si="12"/>
        <v>21161.529629999997</v>
      </c>
      <c r="AR18" s="14"/>
      <c r="AS18" s="3">
        <v>18592989</v>
      </c>
      <c r="AT18" s="3">
        <v>0</v>
      </c>
      <c r="AU18" s="3">
        <v>3632785.6</v>
      </c>
      <c r="AV18" s="3">
        <f>AS18-AT18+AU18</f>
        <v>22225774.600000001</v>
      </c>
      <c r="AW18" s="3">
        <f>AV18/1000</f>
        <v>22225.774600000001</v>
      </c>
      <c r="AZ18" s="3">
        <v>19151266</v>
      </c>
      <c r="BA18" s="3">
        <v>0</v>
      </c>
      <c r="BB18" s="3">
        <v>3663055.18</v>
      </c>
      <c r="BC18" s="3">
        <f>AZ18-BA18+BB18</f>
        <v>22814321.18</v>
      </c>
      <c r="BD18" s="3">
        <f>BC18/1000</f>
        <v>22814.321179999999</v>
      </c>
      <c r="BF18" s="3">
        <v>19821002.320000004</v>
      </c>
      <c r="BG18" s="3">
        <v>0</v>
      </c>
      <c r="BH18" s="3">
        <v>3945700.52</v>
      </c>
      <c r="BI18" s="3">
        <f>BF18-BG18+BH18</f>
        <v>23766702.840000004</v>
      </c>
      <c r="BJ18" s="3">
        <f>BI18/1000</f>
        <v>23766.702840000005</v>
      </c>
      <c r="BL18" s="3">
        <v>24126023.929999996</v>
      </c>
      <c r="BM18" s="3">
        <v>0</v>
      </c>
      <c r="BN18" s="3">
        <v>4324010.33</v>
      </c>
      <c r="BO18" s="3">
        <f>BL18-BM18+BN18</f>
        <v>28450034.259999998</v>
      </c>
      <c r="BP18" s="3">
        <f>BO18/1000</f>
        <v>28450.034259999997</v>
      </c>
      <c r="BR18" s="3">
        <v>23585330.419999998</v>
      </c>
      <c r="BS18" s="3">
        <v>0</v>
      </c>
      <c r="BT18" s="3">
        <v>4463034.6500000004</v>
      </c>
      <c r="BU18" s="3">
        <f>BR18-BS18+BT18</f>
        <v>28048365.07</v>
      </c>
      <c r="BV18" s="3">
        <f>BU18/1000</f>
        <v>28048.36507</v>
      </c>
      <c r="BX18" s="3">
        <v>24456386.340000004</v>
      </c>
      <c r="BY18" s="3">
        <v>0</v>
      </c>
      <c r="BZ18" s="3">
        <v>4666374.5500000007</v>
      </c>
      <c r="CA18" s="3">
        <f>BX18-BY18+BZ18</f>
        <v>29122760.890000004</v>
      </c>
      <c r="CB18" s="3">
        <f>CA18/1000</f>
        <v>29122.760890000005</v>
      </c>
      <c r="CD18" s="3">
        <v>24747849.41</v>
      </c>
      <c r="CE18" s="3">
        <v>0</v>
      </c>
      <c r="CF18" s="3">
        <v>4891810.76</v>
      </c>
      <c r="CG18" s="3">
        <f>CD18-CE18+CF18</f>
        <v>29639660.170000002</v>
      </c>
      <c r="CH18" s="3">
        <f>CG18/1000</f>
        <v>29639.660170000003</v>
      </c>
      <c r="CJ18" s="3">
        <v>25148706.34</v>
      </c>
      <c r="CK18" s="3">
        <v>0</v>
      </c>
      <c r="CL18" s="3">
        <v>4760365.7700000005</v>
      </c>
      <c r="CM18" s="3">
        <f t="shared" ref="CM18:CM22" si="15">CJ18-CK18+CL18</f>
        <v>29909072.109999999</v>
      </c>
      <c r="CN18" s="3">
        <f t="shared" ref="CN18:CN22" si="16">CM18/1000</f>
        <v>29909.072110000001</v>
      </c>
      <c r="CP18" s="3">
        <v>25780902.639999997</v>
      </c>
      <c r="CQ18" s="3">
        <v>0</v>
      </c>
      <c r="CR18" s="3">
        <v>4450974.24</v>
      </c>
      <c r="CS18" s="3">
        <f t="shared" ref="CS18:CS22" si="17">CP18-CQ18+CR18</f>
        <v>30231876.879999995</v>
      </c>
      <c r="CT18" s="3">
        <f t="shared" ref="CT18:CT22" si="18">CS18/1000</f>
        <v>30231.876879999996</v>
      </c>
      <c r="CV18" s="3">
        <v>24314481.91</v>
      </c>
      <c r="CW18" s="3">
        <v>0</v>
      </c>
      <c r="CX18" s="3">
        <v>4766522.92</v>
      </c>
      <c r="CY18" s="3">
        <f t="shared" si="13"/>
        <v>29081004.829999998</v>
      </c>
      <c r="CZ18" s="3">
        <f t="shared" si="14"/>
        <v>29081.004829999998</v>
      </c>
    </row>
    <row r="19" spans="1:104">
      <c r="A19" s="1" t="s">
        <v>12</v>
      </c>
      <c r="B19" s="1">
        <v>112967</v>
      </c>
      <c r="C19" s="1">
        <v>119724</v>
      </c>
      <c r="D19" s="1">
        <v>128055.34163999998</v>
      </c>
      <c r="E19" s="1">
        <v>148521.65791000001</v>
      </c>
      <c r="F19" s="1">
        <v>151203.75513000001</v>
      </c>
      <c r="G19" s="1">
        <v>153826.84773999997</v>
      </c>
      <c r="H19" s="1">
        <v>152942.93951000003</v>
      </c>
      <c r="I19" s="1">
        <v>150899.00548999998</v>
      </c>
      <c r="J19" s="1">
        <v>147973.04282999999</v>
      </c>
      <c r="K19" s="1">
        <v>149272.52918000001</v>
      </c>
      <c r="L19" s="240">
        <f>(K19-J19)*100/J19</f>
        <v>0.87819127399640373</v>
      </c>
      <c r="M19" s="48">
        <f t="shared" si="10"/>
        <v>41.308245477053021</v>
      </c>
      <c r="N19" s="14">
        <v>30407</v>
      </c>
      <c r="O19" s="14">
        <v>107398.39262</v>
      </c>
      <c r="P19" s="14">
        <v>36765</v>
      </c>
      <c r="Q19" s="27">
        <v>41664</v>
      </c>
      <c r="R19" s="27">
        <v>48096</v>
      </c>
      <c r="S19" s="27">
        <v>53331</v>
      </c>
      <c r="T19" s="27">
        <v>58352</v>
      </c>
      <c r="U19" s="27">
        <v>61496</v>
      </c>
      <c r="V19" s="27">
        <v>63844</v>
      </c>
      <c r="W19" s="27">
        <f>59376.415+8301.349</f>
        <v>67677.763999999996</v>
      </c>
      <c r="X19" s="36">
        <f>63322.936+9118.007</f>
        <v>72440.942999999999</v>
      </c>
      <c r="Y19" s="14">
        <f>66691.727+10065.507</f>
        <v>76757.233999999997</v>
      </c>
      <c r="Z19" s="14">
        <v>77606</v>
      </c>
      <c r="AA19" s="14">
        <v>76084</v>
      </c>
      <c r="AB19" s="1">
        <v>81496</v>
      </c>
      <c r="AC19" s="1">
        <v>86256</v>
      </c>
      <c r="AD19" s="1">
        <v>93339</v>
      </c>
      <c r="AE19" s="1">
        <v>100264.05197999999</v>
      </c>
      <c r="AF19" s="1">
        <v>105636.10685</v>
      </c>
      <c r="AG19" s="128">
        <v>84014278.689999998</v>
      </c>
      <c r="AH19" s="128">
        <v>310229.39</v>
      </c>
      <c r="AI19" s="128">
        <v>16560002.679999996</v>
      </c>
      <c r="AJ19" s="3">
        <f>AG19-AH19+AI19</f>
        <v>100264051.97999999</v>
      </c>
      <c r="AK19" s="3">
        <f>AJ19/1000</f>
        <v>100264.05197999999</v>
      </c>
      <c r="AL19" s="14"/>
      <c r="AM19" s="14">
        <v>88577587.599999875</v>
      </c>
      <c r="AN19" s="14">
        <v>348137.27</v>
      </c>
      <c r="AO19" s="14">
        <v>17406656.52</v>
      </c>
      <c r="AP19" s="14">
        <f t="shared" si="11"/>
        <v>105636106.84999987</v>
      </c>
      <c r="AQ19" s="14">
        <f t="shared" si="12"/>
        <v>105636.10684999988</v>
      </c>
      <c r="AR19" s="14"/>
      <c r="AS19" s="3">
        <v>94614711</v>
      </c>
      <c r="AT19" s="3">
        <v>373512.02</v>
      </c>
      <c r="AU19" s="3">
        <v>18725505</v>
      </c>
      <c r="AV19" s="3">
        <f>AS19-AT19+AU19</f>
        <v>112966703.98</v>
      </c>
      <c r="AW19" s="3">
        <f>AV19/1000</f>
        <v>112966.70398000001</v>
      </c>
      <c r="AZ19" s="3">
        <v>99755406</v>
      </c>
      <c r="BA19" s="3">
        <v>398990.88</v>
      </c>
      <c r="BB19" s="3">
        <v>20367231</v>
      </c>
      <c r="BC19" s="3">
        <f>AZ19-BA19+BB19</f>
        <v>119723646.12</v>
      </c>
      <c r="BD19" s="3">
        <f>BC19/1000</f>
        <v>119723.64612</v>
      </c>
      <c r="BF19" s="3">
        <v>106535462.99999999</v>
      </c>
      <c r="BG19" s="3">
        <v>409615.23</v>
      </c>
      <c r="BH19" s="3">
        <v>21929493.870000001</v>
      </c>
      <c r="BI19" s="3">
        <f>BF19-BG19+BH19</f>
        <v>128055341.63999999</v>
      </c>
      <c r="BJ19" s="3">
        <f>BI19/1000</f>
        <v>128055.34163999998</v>
      </c>
      <c r="BL19" s="3">
        <v>125138312.20999999</v>
      </c>
      <c r="BM19" s="3">
        <v>535254.55000000005</v>
      </c>
      <c r="BN19" s="3">
        <v>23918600.25</v>
      </c>
      <c r="BO19" s="3">
        <f>BL19-BM19+BN19</f>
        <v>148521657.91</v>
      </c>
      <c r="BP19" s="3">
        <f>BO19/1000</f>
        <v>148521.65791000001</v>
      </c>
      <c r="BR19" s="3">
        <v>125065871.2</v>
      </c>
      <c r="BS19" s="3">
        <v>261155.65</v>
      </c>
      <c r="BT19" s="3">
        <v>26399039.580000006</v>
      </c>
      <c r="BU19" s="3">
        <f>BR19-BS19+BT19</f>
        <v>151203755.13</v>
      </c>
      <c r="BV19" s="3">
        <f>BU19/1000</f>
        <v>151203.75513000001</v>
      </c>
      <c r="BX19" s="3">
        <v>127211404.61999997</v>
      </c>
      <c r="BY19" s="3">
        <v>0</v>
      </c>
      <c r="BZ19" s="3">
        <v>26615443.119999997</v>
      </c>
      <c r="CA19" s="3">
        <f>BX19-BY19+BZ19</f>
        <v>153826847.73999998</v>
      </c>
      <c r="CB19" s="3">
        <f>CA19/1000</f>
        <v>153826.84773999997</v>
      </c>
      <c r="CD19" s="3">
        <v>125615762.58000001</v>
      </c>
      <c r="CE19" s="3">
        <v>0</v>
      </c>
      <c r="CF19" s="3">
        <v>27327176.929999996</v>
      </c>
      <c r="CG19" s="3">
        <f>CD19-CE19+CF19</f>
        <v>152942939.51000002</v>
      </c>
      <c r="CH19" s="3">
        <f>CG19/1000</f>
        <v>152942.93951000003</v>
      </c>
      <c r="CJ19" s="3">
        <v>123452748.37999998</v>
      </c>
      <c r="CK19" s="3">
        <v>0</v>
      </c>
      <c r="CL19" s="3">
        <v>27446257.109999999</v>
      </c>
      <c r="CM19" s="3">
        <f t="shared" si="15"/>
        <v>150899005.48999998</v>
      </c>
      <c r="CN19" s="3">
        <f t="shared" si="16"/>
        <v>150899.00548999998</v>
      </c>
      <c r="CP19" s="3">
        <v>121109487.72000001</v>
      </c>
      <c r="CQ19" s="3">
        <v>0</v>
      </c>
      <c r="CR19" s="3">
        <v>26863555.109999999</v>
      </c>
      <c r="CS19" s="3">
        <f t="shared" si="17"/>
        <v>147973042.83000001</v>
      </c>
      <c r="CT19" s="3">
        <f t="shared" si="18"/>
        <v>147973.04283000002</v>
      </c>
      <c r="CV19" s="3">
        <v>121115728.13</v>
      </c>
      <c r="CW19" s="3">
        <v>0</v>
      </c>
      <c r="CX19" s="3">
        <v>28156801.050000001</v>
      </c>
      <c r="CY19" s="3">
        <f t="shared" si="13"/>
        <v>149272529.18000001</v>
      </c>
      <c r="CZ19" s="3">
        <f t="shared" si="14"/>
        <v>149272.52918000001</v>
      </c>
    </row>
    <row r="20" spans="1:104">
      <c r="A20" s="1" t="s">
        <v>13</v>
      </c>
      <c r="B20" s="1">
        <v>63947</v>
      </c>
      <c r="C20" s="1">
        <v>67825</v>
      </c>
      <c r="D20" s="1">
        <v>73191.782210000005</v>
      </c>
      <c r="E20" s="1">
        <v>85178.35708999999</v>
      </c>
      <c r="F20" s="1">
        <v>83352.643289999993</v>
      </c>
      <c r="G20" s="1">
        <v>86771.79307</v>
      </c>
      <c r="H20" s="1">
        <v>88692.023519999988</v>
      </c>
      <c r="I20" s="1">
        <v>88885.701089999988</v>
      </c>
      <c r="J20" s="1">
        <v>86311.73603</v>
      </c>
      <c r="K20" s="1">
        <v>88013.175879999995</v>
      </c>
      <c r="L20" s="240">
        <f>(K20-J20)*100/J20</f>
        <v>1.971272886237178</v>
      </c>
      <c r="M20" s="48">
        <f t="shared" si="10"/>
        <v>45.977840508245713</v>
      </c>
      <c r="N20" s="14">
        <v>18939</v>
      </c>
      <c r="O20" s="14"/>
      <c r="P20" s="14">
        <v>22850</v>
      </c>
      <c r="Q20" s="27">
        <v>25468</v>
      </c>
      <c r="R20" s="27">
        <v>27922</v>
      </c>
      <c r="S20" s="27">
        <v>31316</v>
      </c>
      <c r="T20" s="27">
        <v>33926</v>
      </c>
      <c r="U20" s="27">
        <v>35495</v>
      </c>
      <c r="V20" s="27">
        <v>37395</v>
      </c>
      <c r="W20" s="27">
        <f>33447.211+5666.297</f>
        <v>39113.508000000002</v>
      </c>
      <c r="X20" s="36">
        <f>36423.041+6205.43</f>
        <v>42628.470999999998</v>
      </c>
      <c r="Y20" s="14">
        <f>37633.736+6639.222</f>
        <v>44272.957999999999</v>
      </c>
      <c r="Z20" s="14">
        <v>46415</v>
      </c>
      <c r="AA20" s="14">
        <v>43813</v>
      </c>
      <c r="AB20" s="1">
        <v>46881</v>
      </c>
      <c r="AC20" s="1">
        <v>49561</v>
      </c>
      <c r="AD20" s="1">
        <v>53879</v>
      </c>
      <c r="AE20" s="1">
        <v>57403.203280000009</v>
      </c>
      <c r="AF20" s="1">
        <v>60292.148159999997</v>
      </c>
      <c r="AG20" s="128">
        <v>46442286.120000012</v>
      </c>
      <c r="AH20" s="128">
        <v>0</v>
      </c>
      <c r="AI20" s="128">
        <v>10960917.159999998</v>
      </c>
      <c r="AJ20" s="3">
        <f>AG20-AH20+AI20</f>
        <v>57403203.280000009</v>
      </c>
      <c r="AK20" s="3">
        <f>AJ20/1000</f>
        <v>57403.203280000009</v>
      </c>
      <c r="AL20" s="14"/>
      <c r="AM20" s="14">
        <v>48502454.849999994</v>
      </c>
      <c r="AN20" s="14">
        <v>0</v>
      </c>
      <c r="AO20" s="14">
        <v>11789693.309999999</v>
      </c>
      <c r="AP20" s="14">
        <f t="shared" si="11"/>
        <v>60292148.159999996</v>
      </c>
      <c r="AQ20" s="14">
        <f t="shared" si="12"/>
        <v>60292.148159999997</v>
      </c>
      <c r="AR20" s="14"/>
      <c r="AS20" s="3">
        <v>51033162</v>
      </c>
      <c r="AT20" s="3">
        <v>0</v>
      </c>
      <c r="AU20" s="3">
        <v>12913411</v>
      </c>
      <c r="AV20" s="3">
        <f>AS20-AT20+AU20</f>
        <v>63946573</v>
      </c>
      <c r="AW20" s="3">
        <f>AV20/1000</f>
        <v>63946.572999999997</v>
      </c>
      <c r="AZ20" s="3">
        <v>54207475</v>
      </c>
      <c r="BA20" s="3">
        <v>0</v>
      </c>
      <c r="BB20" s="3">
        <v>13617223</v>
      </c>
      <c r="BC20" s="3">
        <f>AZ20-BA20+BB20</f>
        <v>67824698</v>
      </c>
      <c r="BD20" s="3">
        <f>BC20/1000</f>
        <v>67824.698000000004</v>
      </c>
      <c r="BF20" s="3">
        <v>57924178.700000003</v>
      </c>
      <c r="BG20" s="3">
        <v>0</v>
      </c>
      <c r="BH20" s="3">
        <v>15267603.51</v>
      </c>
      <c r="BI20" s="3">
        <f>BF20-BG20+BH20</f>
        <v>73191782.210000008</v>
      </c>
      <c r="BJ20" s="3">
        <f>BI20/1000</f>
        <v>73191.782210000005</v>
      </c>
      <c r="BL20" s="3">
        <v>68706666.229999989</v>
      </c>
      <c r="BM20" s="3">
        <v>0</v>
      </c>
      <c r="BN20" s="3">
        <v>16471690.859999999</v>
      </c>
      <c r="BO20" s="3">
        <f>BL20-BM20+BN20</f>
        <v>85178357.089999989</v>
      </c>
      <c r="BP20" s="3">
        <f>BO20/1000</f>
        <v>85178.35708999999</v>
      </c>
      <c r="BR20" s="3">
        <v>65284746.199999988</v>
      </c>
      <c r="BS20" s="3">
        <v>0</v>
      </c>
      <c r="BT20" s="3">
        <v>18067897.09</v>
      </c>
      <c r="BU20" s="3">
        <f>BR20-BS20+BT20</f>
        <v>83352643.289999992</v>
      </c>
      <c r="BV20" s="3">
        <f>BU20/1000</f>
        <v>83352.643289999993</v>
      </c>
      <c r="BX20" s="3">
        <v>67418883.529999986</v>
      </c>
      <c r="BY20" s="3">
        <v>0</v>
      </c>
      <c r="BZ20" s="3">
        <v>19352909.539999999</v>
      </c>
      <c r="CA20" s="3">
        <f>BX20-BY20+BZ20</f>
        <v>86771793.069999993</v>
      </c>
      <c r="CB20" s="3">
        <f>CA20/1000</f>
        <v>86771.79307</v>
      </c>
      <c r="CD20" s="3">
        <v>68835893.789999992</v>
      </c>
      <c r="CE20" s="3">
        <v>0</v>
      </c>
      <c r="CF20" s="3">
        <v>19856129.729999997</v>
      </c>
      <c r="CG20" s="3">
        <f>CD20-CE20+CF20</f>
        <v>88692023.519999981</v>
      </c>
      <c r="CH20" s="3">
        <f>CG20/1000</f>
        <v>88692.023519999988</v>
      </c>
      <c r="CJ20" s="3">
        <v>69238303.169999987</v>
      </c>
      <c r="CK20" s="3">
        <v>0</v>
      </c>
      <c r="CL20" s="3">
        <v>19647397.920000002</v>
      </c>
      <c r="CM20" s="3">
        <f t="shared" si="15"/>
        <v>88885701.089999989</v>
      </c>
      <c r="CN20" s="3">
        <f t="shared" si="16"/>
        <v>88885.701089999988</v>
      </c>
      <c r="CP20" s="3">
        <v>66720062.920000002</v>
      </c>
      <c r="CQ20" s="3">
        <v>0</v>
      </c>
      <c r="CR20" s="3">
        <v>19591673.109999999</v>
      </c>
      <c r="CS20" s="3">
        <f t="shared" si="17"/>
        <v>86311736.030000001</v>
      </c>
      <c r="CT20" s="3">
        <f t="shared" si="18"/>
        <v>86311.73603</v>
      </c>
      <c r="CV20" s="3">
        <v>68237316.219999999</v>
      </c>
      <c r="CW20" s="3">
        <v>0</v>
      </c>
      <c r="CX20" s="3">
        <v>19775859.659999996</v>
      </c>
      <c r="CY20" s="3">
        <f t="shared" si="13"/>
        <v>88013175.879999995</v>
      </c>
      <c r="CZ20" s="3">
        <f t="shared" si="14"/>
        <v>88013.175879999995</v>
      </c>
    </row>
    <row r="21" spans="1:104">
      <c r="A21" s="1" t="s">
        <v>14</v>
      </c>
      <c r="B21" s="1">
        <v>99872</v>
      </c>
      <c r="C21" s="1">
        <v>107033</v>
      </c>
      <c r="D21" s="1">
        <v>117815.48083000001</v>
      </c>
      <c r="E21" s="1">
        <v>142878.24476000003</v>
      </c>
      <c r="F21" s="1">
        <v>143887.57520000002</v>
      </c>
      <c r="G21" s="1">
        <v>151451.09824999998</v>
      </c>
      <c r="H21" s="1">
        <v>154605.19453000001</v>
      </c>
      <c r="I21" s="1">
        <v>151109.82175</v>
      </c>
      <c r="J21" s="1">
        <v>152463.87641</v>
      </c>
      <c r="K21" s="1">
        <v>152978.73985999997</v>
      </c>
      <c r="L21" s="240">
        <f>(K21-J21)*100/J21</f>
        <v>0.337695368977386</v>
      </c>
      <c r="M21" s="48">
        <f t="shared" si="10"/>
        <v>61.788137501834591</v>
      </c>
      <c r="N21" s="14">
        <v>26795</v>
      </c>
      <c r="O21" s="14">
        <v>29909.072110000001</v>
      </c>
      <c r="P21" s="14">
        <v>31926</v>
      </c>
      <c r="Q21" s="27">
        <v>35569</v>
      </c>
      <c r="R21" s="27">
        <v>40082</v>
      </c>
      <c r="S21" s="27">
        <v>45219</v>
      </c>
      <c r="T21" s="27">
        <v>50366</v>
      </c>
      <c r="U21" s="27">
        <v>52833</v>
      </c>
      <c r="V21" s="27">
        <v>56422</v>
      </c>
      <c r="W21" s="27">
        <f>50977.573+9331.016</f>
        <v>60308.588999999993</v>
      </c>
      <c r="X21" s="36">
        <f>53572.814+9817.683</f>
        <v>63390.497000000003</v>
      </c>
      <c r="Y21" s="14">
        <f>54692.233+9445.924</f>
        <v>64138.156999999999</v>
      </c>
      <c r="Z21" s="14">
        <v>64879</v>
      </c>
      <c r="AA21" s="14">
        <v>63494</v>
      </c>
      <c r="AB21" s="1">
        <v>67884</v>
      </c>
      <c r="AC21" s="1">
        <v>72994</v>
      </c>
      <c r="AD21" s="1">
        <v>81350</v>
      </c>
      <c r="AE21" s="1">
        <v>88238.987410000031</v>
      </c>
      <c r="AF21" s="1">
        <v>94554.979259999993</v>
      </c>
      <c r="AG21" s="128">
        <v>74407220.880000025</v>
      </c>
      <c r="AH21" s="128">
        <v>563717.51</v>
      </c>
      <c r="AI21" s="128">
        <v>14395484.040000003</v>
      </c>
      <c r="AJ21" s="3">
        <f>AG21-AH21+AI21</f>
        <v>88238987.410000026</v>
      </c>
      <c r="AK21" s="3">
        <f>AJ21/1000</f>
        <v>88238.987410000031</v>
      </c>
      <c r="AL21" s="14"/>
      <c r="AM21" s="14">
        <v>79404597.459999979</v>
      </c>
      <c r="AN21" s="14">
        <v>626520.30000000005</v>
      </c>
      <c r="AO21" s="14">
        <v>15776902.100000001</v>
      </c>
      <c r="AP21" s="14">
        <f t="shared" si="11"/>
        <v>94554979.25999999</v>
      </c>
      <c r="AQ21" s="14">
        <f t="shared" si="12"/>
        <v>94554.979259999993</v>
      </c>
      <c r="AR21" s="14"/>
      <c r="AS21" s="3">
        <v>83758459</v>
      </c>
      <c r="AT21" s="3">
        <v>573820.12</v>
      </c>
      <c r="AU21" s="3">
        <v>16687422</v>
      </c>
      <c r="AV21" s="3">
        <f>AS21-AT21+AU21</f>
        <v>99872060.879999995</v>
      </c>
      <c r="AW21" s="3">
        <f>AV21/1000</f>
        <v>99872.06087999999</v>
      </c>
      <c r="AZ21" s="3">
        <v>89386686</v>
      </c>
      <c r="BA21" s="3">
        <v>630138.36</v>
      </c>
      <c r="BB21" s="3">
        <v>18276252</v>
      </c>
      <c r="BC21" s="3">
        <f>AZ21-BA21+BB21</f>
        <v>107032799.64</v>
      </c>
      <c r="BD21" s="3">
        <f>BC21/1000</f>
        <v>107032.79964</v>
      </c>
      <c r="BF21" s="3">
        <v>98202912.26000002</v>
      </c>
      <c r="BG21" s="3">
        <v>685110.25</v>
      </c>
      <c r="BH21" s="3">
        <v>20297678.82</v>
      </c>
      <c r="BI21" s="3">
        <f>BF21-BG21+BH21</f>
        <v>117815480.83000001</v>
      </c>
      <c r="BJ21" s="3">
        <f>BI21/1000</f>
        <v>117815.48083000001</v>
      </c>
      <c r="BL21" s="3">
        <v>121220133.07000002</v>
      </c>
      <c r="BM21" s="3">
        <v>650043.43999999994</v>
      </c>
      <c r="BN21" s="3">
        <v>22308155.129999999</v>
      </c>
      <c r="BO21" s="3">
        <f>BL21-BM21+BN21</f>
        <v>142878244.76000002</v>
      </c>
      <c r="BP21" s="3">
        <f>BO21/1000</f>
        <v>142878.24476000003</v>
      </c>
      <c r="BR21" s="3">
        <v>119393429.15000001</v>
      </c>
      <c r="BS21" s="3">
        <v>664708.05000000005</v>
      </c>
      <c r="BT21" s="3">
        <v>25158854.100000001</v>
      </c>
      <c r="BU21" s="3">
        <f>BR21-BS21+BT21</f>
        <v>143887575.20000002</v>
      </c>
      <c r="BV21" s="3">
        <f>BU21/1000</f>
        <v>143887.57520000002</v>
      </c>
      <c r="BX21" s="3">
        <v>124888121.39999998</v>
      </c>
      <c r="BY21" s="3">
        <v>721198.53</v>
      </c>
      <c r="BZ21" s="3">
        <v>27284175.380000003</v>
      </c>
      <c r="CA21" s="3">
        <f>BX21-BY21+BZ21</f>
        <v>151451098.24999997</v>
      </c>
      <c r="CB21" s="3">
        <f>CA21/1000</f>
        <v>151451.09824999998</v>
      </c>
      <c r="CD21" s="3">
        <v>126813946.25999999</v>
      </c>
      <c r="CE21" s="3">
        <v>622694.94999999995</v>
      </c>
      <c r="CF21" s="3">
        <v>28413943.220000003</v>
      </c>
      <c r="CG21" s="3">
        <f>CD21-CE21+CF21</f>
        <v>154605194.53</v>
      </c>
      <c r="CH21" s="3">
        <f>CG21/1000</f>
        <v>154605.19453000001</v>
      </c>
      <c r="CJ21" s="3">
        <v>124106503.76000001</v>
      </c>
      <c r="CK21" s="3">
        <v>601351.07000000007</v>
      </c>
      <c r="CL21" s="3">
        <v>27604669.060000002</v>
      </c>
      <c r="CM21" s="3">
        <f t="shared" si="15"/>
        <v>151109821.75</v>
      </c>
      <c r="CN21" s="3">
        <f t="shared" si="16"/>
        <v>151109.82175</v>
      </c>
      <c r="CP21" s="3">
        <v>125858064.36</v>
      </c>
      <c r="CQ21" s="3">
        <v>636185.39</v>
      </c>
      <c r="CR21" s="3">
        <v>27241997.439999998</v>
      </c>
      <c r="CS21" s="3">
        <f t="shared" si="17"/>
        <v>152463876.41</v>
      </c>
      <c r="CT21" s="3">
        <f t="shared" si="18"/>
        <v>152463.87641</v>
      </c>
      <c r="CV21" s="3">
        <v>125723466.53999998</v>
      </c>
      <c r="CW21" s="3">
        <v>668030.80000000005</v>
      </c>
      <c r="CX21" s="3">
        <v>27923304.120000001</v>
      </c>
      <c r="CY21" s="3">
        <f t="shared" si="13"/>
        <v>152978739.85999998</v>
      </c>
      <c r="CZ21" s="3">
        <f t="shared" si="14"/>
        <v>152978.73985999997</v>
      </c>
    </row>
    <row r="22" spans="1:104">
      <c r="A22" s="1" t="s">
        <v>15</v>
      </c>
      <c r="B22" s="1">
        <v>19688</v>
      </c>
      <c r="C22" s="1">
        <v>20734</v>
      </c>
      <c r="D22" s="1">
        <v>21936.319569999996</v>
      </c>
      <c r="E22" s="1">
        <v>25858.852829999993</v>
      </c>
      <c r="F22" s="1">
        <v>25824.719500000007</v>
      </c>
      <c r="G22" s="1">
        <v>26321.913940000002</v>
      </c>
      <c r="H22" s="1">
        <v>25482.117480000004</v>
      </c>
      <c r="I22" s="1">
        <v>25312.447670000001</v>
      </c>
      <c r="J22" s="1">
        <v>25272.31409</v>
      </c>
      <c r="K22" s="1">
        <v>25761.138269999996</v>
      </c>
      <c r="L22" s="240">
        <f>(K22-J22)*100/J22</f>
        <v>1.9342280182938165</v>
      </c>
      <c r="M22" s="48">
        <f t="shared" si="10"/>
        <v>34.998253332894329</v>
      </c>
      <c r="N22" s="14">
        <v>8580</v>
      </c>
      <c r="O22" s="14">
        <v>150899.00548999998</v>
      </c>
      <c r="P22" s="14">
        <v>9773</v>
      </c>
      <c r="Q22" s="27">
        <v>10693</v>
      </c>
      <c r="R22" s="27">
        <v>11737</v>
      </c>
      <c r="S22" s="27">
        <v>12870</v>
      </c>
      <c r="T22" s="27">
        <v>13552</v>
      </c>
      <c r="U22" s="27">
        <v>13395</v>
      </c>
      <c r="V22" s="27">
        <v>13961</v>
      </c>
      <c r="W22" s="27">
        <f>12755.609+1952.997</f>
        <v>14708.606</v>
      </c>
      <c r="X22" s="36">
        <f>13482.615+2066.83</f>
        <v>15549.445</v>
      </c>
      <c r="Y22" s="14">
        <f>13587.873+2207.224</f>
        <v>15795.097</v>
      </c>
      <c r="Z22" s="14">
        <v>16785</v>
      </c>
      <c r="AA22" s="14">
        <v>15925</v>
      </c>
      <c r="AB22" s="1">
        <v>16569</v>
      </c>
      <c r="AC22" s="1">
        <v>17581</v>
      </c>
      <c r="AD22" s="1">
        <v>18714</v>
      </c>
      <c r="AE22" s="1">
        <v>18487.266090000001</v>
      </c>
      <c r="AF22" s="1">
        <v>19082.571540000001</v>
      </c>
      <c r="AG22" s="128">
        <v>16040218.15</v>
      </c>
      <c r="AH22" s="128">
        <v>215149</v>
      </c>
      <c r="AI22" s="128">
        <v>2662196.94</v>
      </c>
      <c r="AJ22" s="3">
        <f>AG22-AH22+AI22</f>
        <v>18487266.09</v>
      </c>
      <c r="AK22" s="3">
        <f>AJ22/1000</f>
        <v>18487.266090000001</v>
      </c>
      <c r="AL22" s="14"/>
      <c r="AM22" s="14">
        <v>16500170.620000001</v>
      </c>
      <c r="AN22" s="14">
        <v>252918.5</v>
      </c>
      <c r="AO22" s="14">
        <v>2835319.42</v>
      </c>
      <c r="AP22" s="14">
        <f t="shared" si="11"/>
        <v>19082571.539999999</v>
      </c>
      <c r="AQ22" s="14">
        <f t="shared" si="12"/>
        <v>19082.571540000001</v>
      </c>
      <c r="AR22" s="14"/>
      <c r="AS22" s="3">
        <v>16702531</v>
      </c>
      <c r="AT22" s="3">
        <v>200446.2</v>
      </c>
      <c r="AU22" s="3">
        <v>3186317.75</v>
      </c>
      <c r="AV22" s="3">
        <f>AS22-AT22+AU22</f>
        <v>19688402.550000001</v>
      </c>
      <c r="AW22" s="3">
        <f>AV22/1000</f>
        <v>19688.402550000003</v>
      </c>
      <c r="AZ22" s="3">
        <v>17615660</v>
      </c>
      <c r="BA22" s="3">
        <v>220199.88</v>
      </c>
      <c r="BB22" s="3">
        <v>3339031.79</v>
      </c>
      <c r="BC22" s="3">
        <f>AZ22-BA22+BB22</f>
        <v>20734491.91</v>
      </c>
      <c r="BD22" s="3">
        <f>BC22/1000</f>
        <v>20734.491910000001</v>
      </c>
      <c r="BF22" s="3">
        <v>18618080.689999998</v>
      </c>
      <c r="BG22" s="3">
        <v>213472.75</v>
      </c>
      <c r="BH22" s="3">
        <v>3531711.63</v>
      </c>
      <c r="BI22" s="3">
        <f>BF22-BG22+BH22</f>
        <v>21936319.569999997</v>
      </c>
      <c r="BJ22" s="3">
        <f>BI22/1000</f>
        <v>21936.319569999996</v>
      </c>
      <c r="BL22" s="3">
        <v>22233943.019999992</v>
      </c>
      <c r="BM22" s="3">
        <v>322806</v>
      </c>
      <c r="BN22" s="3">
        <v>3947715.81</v>
      </c>
      <c r="BO22" s="3">
        <f>BL22-BM22+BN22</f>
        <v>25858852.829999991</v>
      </c>
      <c r="BP22" s="3">
        <f>BO22/1000</f>
        <v>25858.852829999993</v>
      </c>
      <c r="BR22" s="3">
        <v>21953522.49000001</v>
      </c>
      <c r="BS22" s="3">
        <v>402591.39</v>
      </c>
      <c r="BT22" s="3">
        <v>4273788.4000000004</v>
      </c>
      <c r="BU22" s="3">
        <f>BR22-BS22+BT22</f>
        <v>25824719.500000007</v>
      </c>
      <c r="BV22" s="3">
        <f>BU22/1000</f>
        <v>25824.719500000007</v>
      </c>
      <c r="BX22" s="3">
        <v>22050217.330000002</v>
      </c>
      <c r="BY22" s="3">
        <v>111293.25</v>
      </c>
      <c r="BZ22" s="3">
        <v>4382989.8599999994</v>
      </c>
      <c r="CA22" s="3">
        <f>BX22-BY22+BZ22</f>
        <v>26321913.940000001</v>
      </c>
      <c r="CB22" s="3">
        <f>CA22/1000</f>
        <v>26321.913940000002</v>
      </c>
      <c r="CD22" s="3">
        <v>21410083.340000004</v>
      </c>
      <c r="CE22" s="3">
        <v>53253</v>
      </c>
      <c r="CF22" s="3">
        <v>4125287.1399999997</v>
      </c>
      <c r="CG22" s="3">
        <f>CD22-CE22+CF22</f>
        <v>25482117.480000004</v>
      </c>
      <c r="CH22" s="3">
        <f>CG22/1000</f>
        <v>25482.117480000004</v>
      </c>
      <c r="CJ22" s="3">
        <v>21268955.640000001</v>
      </c>
      <c r="CK22" s="3">
        <v>56763</v>
      </c>
      <c r="CL22" s="3">
        <v>4100255.03</v>
      </c>
      <c r="CM22" s="3">
        <f t="shared" si="15"/>
        <v>25312447.670000002</v>
      </c>
      <c r="CN22" s="3">
        <f t="shared" si="16"/>
        <v>25312.447670000001</v>
      </c>
      <c r="CP22" s="3">
        <v>21203487.440000001</v>
      </c>
      <c r="CQ22" s="3">
        <v>74871.81</v>
      </c>
      <c r="CR22" s="3">
        <v>4143698.46</v>
      </c>
      <c r="CS22" s="3">
        <f t="shared" si="17"/>
        <v>25272314.090000004</v>
      </c>
      <c r="CT22" s="3">
        <f t="shared" si="18"/>
        <v>25272.314090000003</v>
      </c>
      <c r="CV22" s="3">
        <v>21854362.279999997</v>
      </c>
      <c r="CW22" s="3">
        <v>80936</v>
      </c>
      <c r="CX22" s="3">
        <v>3987711.99</v>
      </c>
      <c r="CY22" s="3">
        <f t="shared" si="13"/>
        <v>25761138.269999996</v>
      </c>
      <c r="CZ22" s="3">
        <f t="shared" si="14"/>
        <v>25761.138269999996</v>
      </c>
    </row>
    <row r="23" spans="1:104">
      <c r="L23" s="48"/>
      <c r="M23" s="48"/>
      <c r="N23" s="14"/>
      <c r="O23" s="1">
        <v>88885.701089999988</v>
      </c>
      <c r="P23" s="14"/>
      <c r="Q23" s="27"/>
      <c r="R23" s="27"/>
      <c r="S23" s="27"/>
      <c r="T23" s="27"/>
      <c r="U23" s="27"/>
      <c r="V23" s="27"/>
      <c r="W23" s="27"/>
      <c r="X23" s="36"/>
      <c r="Y23" s="14"/>
      <c r="Z23" s="14"/>
      <c r="AA23" s="14"/>
      <c r="AB23" s="1"/>
      <c r="AC23" s="1"/>
      <c r="AD23" s="1"/>
      <c r="AE23" s="1"/>
      <c r="AF23" s="1"/>
      <c r="AG23" s="128"/>
      <c r="AH23" s="128"/>
      <c r="AI23" s="128"/>
      <c r="AL23" s="14"/>
      <c r="AM23" s="14"/>
      <c r="AN23" s="14"/>
      <c r="AO23" s="14"/>
      <c r="AP23" s="14"/>
      <c r="AQ23" s="14"/>
      <c r="AR23" s="14"/>
    </row>
    <row r="24" spans="1:104">
      <c r="A24" s="1" t="s">
        <v>16</v>
      </c>
      <c r="B24" s="1">
        <v>156737</v>
      </c>
      <c r="C24" s="1">
        <v>168331</v>
      </c>
      <c r="D24" s="1">
        <v>180133.71491000004</v>
      </c>
      <c r="E24" s="1">
        <v>209129.69336999994</v>
      </c>
      <c r="F24" s="1">
        <v>219833.10730999996</v>
      </c>
      <c r="G24" s="1">
        <v>230166.84328000003</v>
      </c>
      <c r="H24" s="1">
        <v>228413.73190999997</v>
      </c>
      <c r="I24" s="1">
        <v>226769.24615000005</v>
      </c>
      <c r="J24" s="1">
        <v>230095.14752999999</v>
      </c>
      <c r="K24" s="1">
        <v>229141.72508999993</v>
      </c>
      <c r="L24" s="240">
        <f>(K24-J24)*100/J24</f>
        <v>-0.41436008113806272</v>
      </c>
      <c r="M24" s="48">
        <f t="shared" si="10"/>
        <v>53.927457905721923</v>
      </c>
      <c r="N24" s="14">
        <v>38692</v>
      </c>
      <c r="O24" s="14">
        <v>151109.82175</v>
      </c>
      <c r="P24" s="14">
        <v>46730</v>
      </c>
      <c r="Q24" s="27">
        <v>52140</v>
      </c>
      <c r="R24" s="27">
        <v>59105</v>
      </c>
      <c r="S24" s="27">
        <v>66710</v>
      </c>
      <c r="T24" s="27">
        <v>73706</v>
      </c>
      <c r="U24" s="27">
        <v>79051</v>
      </c>
      <c r="V24" s="27">
        <v>83670</v>
      </c>
      <c r="W24" s="27">
        <f>79682.016+10331.642</f>
        <v>90013.657999999996</v>
      </c>
      <c r="X24" s="36">
        <f>87428.687+11649.314</f>
        <v>99078.001000000004</v>
      </c>
      <c r="Y24" s="14">
        <f>89429.424+12245.573</f>
        <v>101674.997</v>
      </c>
      <c r="Z24" s="14">
        <v>104990</v>
      </c>
      <c r="AA24" s="14">
        <v>102455</v>
      </c>
      <c r="AB24" s="1">
        <v>110067</v>
      </c>
      <c r="AC24" s="1">
        <v>117605</v>
      </c>
      <c r="AD24" s="1">
        <v>128643</v>
      </c>
      <c r="AE24" s="1">
        <v>141866.04573000001</v>
      </c>
      <c r="AF24" s="1">
        <v>148863.45048999999</v>
      </c>
      <c r="AG24" s="128">
        <v>123138415.94000001</v>
      </c>
      <c r="AH24" s="128">
        <v>582136.43999999994</v>
      </c>
      <c r="AI24" s="128">
        <v>19309766.230000004</v>
      </c>
      <c r="AJ24" s="3">
        <f>AG24-AH24+AI24</f>
        <v>141866045.73000002</v>
      </c>
      <c r="AK24" s="3">
        <f>AJ24/1000</f>
        <v>141866.04573000001</v>
      </c>
      <c r="AL24" s="14"/>
      <c r="AM24" s="14">
        <v>129008553.57000004</v>
      </c>
      <c r="AN24" s="14">
        <v>583906.11</v>
      </c>
      <c r="AO24" s="14">
        <v>20438803.030000001</v>
      </c>
      <c r="AP24" s="14">
        <f t="shared" si="11"/>
        <v>148863450.49000004</v>
      </c>
      <c r="AQ24" s="14">
        <f t="shared" si="12"/>
        <v>148863.45049000005</v>
      </c>
      <c r="AR24" s="14"/>
      <c r="AS24" s="3">
        <v>134649688</v>
      </c>
      <c r="AT24" s="3">
        <v>556932.21</v>
      </c>
      <c r="AU24" s="3">
        <v>22644209</v>
      </c>
      <c r="AV24" s="3">
        <f>AS24-AT24+AU24</f>
        <v>156736964.79000002</v>
      </c>
      <c r="AW24" s="3">
        <f>AV24/1000</f>
        <v>156736.96479000003</v>
      </c>
      <c r="AZ24" s="3">
        <v>143918608</v>
      </c>
      <c r="BA24" s="3">
        <v>665736.98</v>
      </c>
      <c r="BB24" s="3">
        <v>25078131</v>
      </c>
      <c r="BC24" s="3">
        <f>AZ24-BA24+BB24</f>
        <v>168331002.02000001</v>
      </c>
      <c r="BD24" s="3">
        <f>BC24/1000</f>
        <v>168331.00202000001</v>
      </c>
      <c r="BF24" s="3">
        <v>152977106.27000004</v>
      </c>
      <c r="BG24" s="3">
        <v>763330.83</v>
      </c>
      <c r="BH24" s="3">
        <v>27919939.469999999</v>
      </c>
      <c r="BI24" s="3">
        <f>BF24-BG24+BH24</f>
        <v>180133714.91000003</v>
      </c>
      <c r="BJ24" s="3">
        <f>BI24/1000</f>
        <v>180133.71491000004</v>
      </c>
      <c r="BL24" s="3">
        <v>178939717.73999995</v>
      </c>
      <c r="BM24" s="3">
        <v>857227.17</v>
      </c>
      <c r="BN24" s="3">
        <v>31047202.799999997</v>
      </c>
      <c r="BO24" s="3">
        <f>BL24-BM24+BN24</f>
        <v>209129693.36999995</v>
      </c>
      <c r="BP24" s="3">
        <f>BO24/1000</f>
        <v>209129.69336999994</v>
      </c>
      <c r="BR24" s="3">
        <v>185260029.38999999</v>
      </c>
      <c r="BS24" s="3">
        <v>880445.06</v>
      </c>
      <c r="BT24" s="3">
        <v>35453522.979999989</v>
      </c>
      <c r="BU24" s="3">
        <f>BR24-BS24+BT24</f>
        <v>219833107.30999997</v>
      </c>
      <c r="BV24" s="3">
        <f>BU24/1000</f>
        <v>219833.10730999996</v>
      </c>
      <c r="BX24" s="3">
        <v>192678920.84000003</v>
      </c>
      <c r="BY24" s="3">
        <v>844450.00000000012</v>
      </c>
      <c r="BZ24" s="3">
        <v>38332372.439999998</v>
      </c>
      <c r="CA24" s="3">
        <f>BX24-BY24+BZ24</f>
        <v>230166843.28000003</v>
      </c>
      <c r="CB24" s="3">
        <f>CA24/1000</f>
        <v>230166.84328000003</v>
      </c>
      <c r="CD24" s="3">
        <v>189898935.49999997</v>
      </c>
      <c r="CE24" s="3">
        <v>1021249.99</v>
      </c>
      <c r="CF24" s="3">
        <v>39536046.399999999</v>
      </c>
      <c r="CG24" s="3">
        <f>CD24-CE24+CF24</f>
        <v>228413731.90999997</v>
      </c>
      <c r="CH24" s="3">
        <f>CG24/1000</f>
        <v>228413.73190999997</v>
      </c>
      <c r="CJ24" s="3">
        <v>187496216.69000003</v>
      </c>
      <c r="CK24" s="3">
        <v>154835.62</v>
      </c>
      <c r="CL24" s="3">
        <v>39427865.079999998</v>
      </c>
      <c r="CM24" s="3">
        <f t="shared" ref="CM24:CM28" si="19">CJ24-CK24+CL24</f>
        <v>226769246.15000004</v>
      </c>
      <c r="CN24" s="3">
        <f t="shared" ref="CN24:CN28" si="20">CM24/1000</f>
        <v>226769.24615000005</v>
      </c>
      <c r="CP24" s="3">
        <v>190073971.35999998</v>
      </c>
      <c r="CQ24" s="3">
        <v>54523.61</v>
      </c>
      <c r="CR24" s="3">
        <v>40075699.780000001</v>
      </c>
      <c r="CS24" s="3">
        <f t="shared" ref="CS24:CS28" si="21">CP24-CQ24+CR24</f>
        <v>230095147.52999997</v>
      </c>
      <c r="CT24" s="3">
        <f t="shared" ref="CT24:CT28" si="22">CS24/1000</f>
        <v>230095.14752999996</v>
      </c>
      <c r="CV24" s="3">
        <v>189307903.12999994</v>
      </c>
      <c r="CW24" s="3">
        <v>0</v>
      </c>
      <c r="CX24" s="3">
        <v>39833821.960000008</v>
      </c>
      <c r="CY24" s="3">
        <f t="shared" si="13"/>
        <v>229141725.08999994</v>
      </c>
      <c r="CZ24" s="3">
        <f t="shared" si="14"/>
        <v>229141.72508999993</v>
      </c>
    </row>
    <row r="25" spans="1:104">
      <c r="A25" s="1" t="s">
        <v>17</v>
      </c>
      <c r="B25" s="1">
        <v>20535</v>
      </c>
      <c r="C25" s="1">
        <v>21407</v>
      </c>
      <c r="D25" s="1">
        <v>22004.089739999999</v>
      </c>
      <c r="E25" s="1">
        <v>25596.48774</v>
      </c>
      <c r="F25" s="1">
        <v>25066.525590000001</v>
      </c>
      <c r="G25" s="1">
        <v>25791.155010000002</v>
      </c>
      <c r="H25" s="1">
        <v>26031.818909999998</v>
      </c>
      <c r="I25" s="1">
        <v>25067.576710000001</v>
      </c>
      <c r="J25" s="1">
        <v>24034.526089999999</v>
      </c>
      <c r="K25" s="1">
        <v>22480.837379999994</v>
      </c>
      <c r="L25" s="240">
        <f>(K25-J25)*100/J25</f>
        <v>-6.4644033511709056</v>
      </c>
      <c r="M25" s="48">
        <f t="shared" si="10"/>
        <v>13.758641710960257</v>
      </c>
      <c r="N25" s="14">
        <v>7881</v>
      </c>
      <c r="O25" s="14">
        <v>25312.447670000001</v>
      </c>
      <c r="P25" s="14">
        <v>9559</v>
      </c>
      <c r="Q25" s="27">
        <v>10480</v>
      </c>
      <c r="R25" s="27">
        <v>11627</v>
      </c>
      <c r="S25" s="27">
        <v>12307</v>
      </c>
      <c r="T25" s="27">
        <v>13596</v>
      </c>
      <c r="U25" s="27">
        <v>13777</v>
      </c>
      <c r="V25" s="27">
        <v>14208</v>
      </c>
      <c r="W25" s="27">
        <f>12806.034+1948.174</f>
        <v>14754.207999999999</v>
      </c>
      <c r="X25" s="36">
        <f>13556.578+2060.921</f>
        <v>15617.499</v>
      </c>
      <c r="Y25" s="14">
        <f>14297.529+2084.511</f>
        <v>16382.04</v>
      </c>
      <c r="Z25" s="14">
        <v>17106</v>
      </c>
      <c r="AA25" s="14">
        <v>16408</v>
      </c>
      <c r="AB25" s="1">
        <v>16892</v>
      </c>
      <c r="AC25" s="1">
        <v>17550</v>
      </c>
      <c r="AD25" s="1">
        <v>18596</v>
      </c>
      <c r="AE25" s="1">
        <v>19502.237689999994</v>
      </c>
      <c r="AF25" s="1">
        <v>19761.872189999998</v>
      </c>
      <c r="AG25" s="128">
        <v>16832865.119999994</v>
      </c>
      <c r="AH25" s="128">
        <v>0</v>
      </c>
      <c r="AI25" s="128">
        <v>2669372.5699999998</v>
      </c>
      <c r="AJ25" s="3">
        <f>AG25-AH25+AI25</f>
        <v>19502237.689999994</v>
      </c>
      <c r="AK25" s="3">
        <f>AJ25/1000</f>
        <v>19502.237689999994</v>
      </c>
      <c r="AL25" s="14"/>
      <c r="AM25" s="14">
        <v>17027759.629999999</v>
      </c>
      <c r="AN25" s="14">
        <v>0</v>
      </c>
      <c r="AO25" s="14">
        <v>2734112.56</v>
      </c>
      <c r="AP25" s="14">
        <f t="shared" si="11"/>
        <v>19761872.189999998</v>
      </c>
      <c r="AQ25" s="14">
        <f t="shared" si="12"/>
        <v>19761.872189999998</v>
      </c>
      <c r="AR25" s="14"/>
      <c r="AS25" s="3">
        <v>17642960</v>
      </c>
      <c r="AT25" s="3">
        <v>0</v>
      </c>
      <c r="AU25" s="3">
        <v>2891607.98</v>
      </c>
      <c r="AV25" s="3">
        <f>AS25-AT25+AU25</f>
        <v>20534567.98</v>
      </c>
      <c r="AW25" s="3">
        <f>AV25/1000</f>
        <v>20534.56798</v>
      </c>
      <c r="AZ25" s="3">
        <v>18330957</v>
      </c>
      <c r="BA25" s="3">
        <v>0</v>
      </c>
      <c r="BB25" s="3">
        <v>3076393.53</v>
      </c>
      <c r="BC25" s="3">
        <f>AZ25-BA25+BB25</f>
        <v>21407350.530000001</v>
      </c>
      <c r="BD25" s="3">
        <f>BC25/1000</f>
        <v>21407.35053</v>
      </c>
      <c r="BF25" s="3">
        <v>18790324.009999998</v>
      </c>
      <c r="BG25" s="3">
        <v>0</v>
      </c>
      <c r="BH25" s="3">
        <v>3213765.73</v>
      </c>
      <c r="BI25" s="3">
        <f>BF25-BG25+BH25</f>
        <v>22004089.739999998</v>
      </c>
      <c r="BJ25" s="3">
        <f>BI25/1000</f>
        <v>22004.089739999999</v>
      </c>
      <c r="BL25" s="3">
        <v>22194779.500000004</v>
      </c>
      <c r="BM25" s="3">
        <v>0</v>
      </c>
      <c r="BN25" s="3">
        <v>3401708.24</v>
      </c>
      <c r="BO25" s="3">
        <f>BL25-BM25+BN25</f>
        <v>25596487.740000002</v>
      </c>
      <c r="BP25" s="3">
        <f>BO25/1000</f>
        <v>25596.48774</v>
      </c>
      <c r="BR25" s="3">
        <v>21457295.989999998</v>
      </c>
      <c r="BS25" s="3">
        <v>0</v>
      </c>
      <c r="BT25" s="3">
        <v>3609229.6</v>
      </c>
      <c r="BU25" s="3">
        <f>BR25-BS25+BT25</f>
        <v>25066525.59</v>
      </c>
      <c r="BV25" s="3">
        <f>BU25/1000</f>
        <v>25066.525590000001</v>
      </c>
      <c r="BX25" s="3">
        <v>22148842.810000002</v>
      </c>
      <c r="BY25" s="3">
        <v>0</v>
      </c>
      <c r="BZ25" s="3">
        <v>3642312.1999999997</v>
      </c>
      <c r="CA25" s="3">
        <f>BX25-BY25+BZ25</f>
        <v>25791155.010000002</v>
      </c>
      <c r="CB25" s="3">
        <f>CA25/1000</f>
        <v>25791.155010000002</v>
      </c>
      <c r="CD25" s="3">
        <v>22425896.279999997</v>
      </c>
      <c r="CE25" s="3">
        <v>0</v>
      </c>
      <c r="CF25" s="3">
        <v>3605922.63</v>
      </c>
      <c r="CG25" s="3">
        <f>CD25-CE25+CF25</f>
        <v>26031818.909999996</v>
      </c>
      <c r="CH25" s="3">
        <f>CG25/1000</f>
        <v>26031.818909999998</v>
      </c>
      <c r="CJ25" s="3">
        <v>21506755.199999999</v>
      </c>
      <c r="CK25" s="3">
        <v>0</v>
      </c>
      <c r="CL25" s="3">
        <v>3560821.5100000002</v>
      </c>
      <c r="CM25" s="3">
        <f t="shared" si="19"/>
        <v>25067576.710000001</v>
      </c>
      <c r="CN25" s="3">
        <f t="shared" si="20"/>
        <v>25067.576710000001</v>
      </c>
      <c r="CP25" s="3">
        <v>20734387.190000001</v>
      </c>
      <c r="CQ25" s="3">
        <v>0</v>
      </c>
      <c r="CR25" s="3">
        <v>3300138.9000000004</v>
      </c>
      <c r="CS25" s="3">
        <f t="shared" si="21"/>
        <v>24034526.090000004</v>
      </c>
      <c r="CT25" s="3">
        <f t="shared" si="22"/>
        <v>24034.526090000003</v>
      </c>
      <c r="CV25" s="3">
        <v>19030289.429999996</v>
      </c>
      <c r="CW25" s="3">
        <v>0</v>
      </c>
      <c r="CX25" s="3">
        <v>3450547.95</v>
      </c>
      <c r="CY25" s="3">
        <f t="shared" si="13"/>
        <v>22480837.379999995</v>
      </c>
      <c r="CZ25" s="3">
        <f t="shared" si="14"/>
        <v>22480.837379999994</v>
      </c>
    </row>
    <row r="26" spans="1:104">
      <c r="A26" s="1" t="s">
        <v>18</v>
      </c>
      <c r="B26" s="1">
        <v>152515</v>
      </c>
      <c r="C26" s="1">
        <v>157199</v>
      </c>
      <c r="D26" s="1">
        <v>177164.79252999998</v>
      </c>
      <c r="E26" s="1">
        <v>211414.23218000002</v>
      </c>
      <c r="F26" s="1">
        <v>208616.08169000002</v>
      </c>
      <c r="G26" s="1">
        <v>211238.79566</v>
      </c>
      <c r="H26" s="1">
        <v>211717.49726999999</v>
      </c>
      <c r="I26" s="1">
        <v>211453.7588800001</v>
      </c>
      <c r="J26" s="1">
        <v>209019.69794000001</v>
      </c>
      <c r="K26" s="1">
        <v>206029.57560000001</v>
      </c>
      <c r="L26" s="240">
        <f>(K26-J26)*100/J26</f>
        <v>-1.4305457186424262</v>
      </c>
      <c r="M26" s="48">
        <f t="shared" si="10"/>
        <v>36.944771147320203</v>
      </c>
      <c r="N26" s="14">
        <v>45061</v>
      </c>
      <c r="O26" s="14"/>
      <c r="P26" s="14">
        <v>55117</v>
      </c>
      <c r="Q26" s="27">
        <v>60128</v>
      </c>
      <c r="R26" s="27">
        <v>68210</v>
      </c>
      <c r="S26" s="27">
        <v>74920</v>
      </c>
      <c r="T26" s="27">
        <v>82193</v>
      </c>
      <c r="U26" s="27">
        <v>86213</v>
      </c>
      <c r="V26" s="27">
        <v>91283</v>
      </c>
      <c r="W26" s="27">
        <f>86040.623+11643.357</f>
        <v>97683.98000000001</v>
      </c>
      <c r="X26" s="36">
        <f>93150.36+13503.302</f>
        <v>106653.662</v>
      </c>
      <c r="Y26" s="14">
        <f>95981.486+14045.506</f>
        <v>110026.992</v>
      </c>
      <c r="Z26" s="14">
        <v>115854</v>
      </c>
      <c r="AA26" s="14">
        <v>112406</v>
      </c>
      <c r="AB26" s="1">
        <v>117750</v>
      </c>
      <c r="AC26" s="1">
        <v>125269</v>
      </c>
      <c r="AD26" s="1">
        <v>133559</v>
      </c>
      <c r="AE26" s="1">
        <v>144605.17053999999</v>
      </c>
      <c r="AF26" s="1">
        <v>150447.20136000001</v>
      </c>
      <c r="AG26" s="128">
        <v>122691468.06999999</v>
      </c>
      <c r="AH26" s="128">
        <v>0</v>
      </c>
      <c r="AI26" s="128">
        <v>21913702.469999991</v>
      </c>
      <c r="AJ26" s="3">
        <f>AG26-AH26+AI26</f>
        <v>144605170.53999999</v>
      </c>
      <c r="AK26" s="3">
        <f>AJ26/1000</f>
        <v>144605.17053999999</v>
      </c>
      <c r="AL26" s="14"/>
      <c r="AM26" s="14">
        <v>127685664.07999994</v>
      </c>
      <c r="AN26" s="14">
        <v>0</v>
      </c>
      <c r="AO26" s="14">
        <v>22761537.279999997</v>
      </c>
      <c r="AP26" s="14">
        <f t="shared" si="11"/>
        <v>150447201.35999992</v>
      </c>
      <c r="AQ26" s="14">
        <f t="shared" si="12"/>
        <v>150447.20135999992</v>
      </c>
      <c r="AR26" s="14"/>
      <c r="AS26" s="3">
        <v>128406492</v>
      </c>
      <c r="AT26" s="3">
        <v>0</v>
      </c>
      <c r="AU26" s="3">
        <v>24108805</v>
      </c>
      <c r="AV26" s="3">
        <f>AS26-AT26+AU26</f>
        <v>152515297</v>
      </c>
      <c r="AW26" s="3">
        <f>AV26/1000</f>
        <v>152515.29699999999</v>
      </c>
      <c r="AZ26" s="3">
        <v>131688444</v>
      </c>
      <c r="BA26" s="3">
        <v>0</v>
      </c>
      <c r="BB26" s="3">
        <v>25510414</v>
      </c>
      <c r="BC26" s="3">
        <f>AZ26-BA26+BB26</f>
        <v>157198858</v>
      </c>
      <c r="BD26" s="3">
        <f>BC26/1000</f>
        <v>157198.85800000001</v>
      </c>
      <c r="BF26" s="3">
        <v>147121796.75999996</v>
      </c>
      <c r="BG26" s="3">
        <v>0</v>
      </c>
      <c r="BH26" s="3">
        <v>30042995.770000003</v>
      </c>
      <c r="BI26" s="3">
        <f>BF26-BG26+BH26</f>
        <v>177164792.52999997</v>
      </c>
      <c r="BJ26" s="3">
        <f>BI26/1000</f>
        <v>177164.79252999998</v>
      </c>
      <c r="BL26" s="3">
        <v>177649225.46000001</v>
      </c>
      <c r="BM26" s="3">
        <v>0</v>
      </c>
      <c r="BN26" s="3">
        <v>33765006.719999991</v>
      </c>
      <c r="BO26" s="3">
        <f>BL26-BM26+BN26</f>
        <v>211414232.18000001</v>
      </c>
      <c r="BP26" s="3">
        <f>BO26/1000</f>
        <v>211414.23218000002</v>
      </c>
      <c r="BR26" s="3">
        <v>172403275.18000004</v>
      </c>
      <c r="BS26" s="3">
        <v>0</v>
      </c>
      <c r="BT26" s="3">
        <v>36212806.509999998</v>
      </c>
      <c r="BU26" s="3">
        <f>BR26-BS26+BT26</f>
        <v>208616081.69000003</v>
      </c>
      <c r="BV26" s="3">
        <f>BU26/1000</f>
        <v>208616.08169000002</v>
      </c>
      <c r="BX26" s="3">
        <v>173167026.87</v>
      </c>
      <c r="BY26" s="3">
        <v>0</v>
      </c>
      <c r="BZ26" s="3">
        <v>38071768.789999999</v>
      </c>
      <c r="CA26" s="3">
        <f>BX26-BY26+BZ26</f>
        <v>211238795.66</v>
      </c>
      <c r="CB26" s="3">
        <f>CA26/1000</f>
        <v>211238.79566</v>
      </c>
      <c r="CD26" s="3">
        <v>170366511.42999998</v>
      </c>
      <c r="CE26" s="3">
        <v>0</v>
      </c>
      <c r="CF26" s="3">
        <v>41350985.839999989</v>
      </c>
      <c r="CG26" s="3">
        <f>CD26-CE26+CF26</f>
        <v>211717497.26999998</v>
      </c>
      <c r="CH26" s="3">
        <f>CG26/1000</f>
        <v>211717.49726999999</v>
      </c>
      <c r="CJ26" s="3">
        <v>170102133.45000008</v>
      </c>
      <c r="CK26" s="3">
        <v>0</v>
      </c>
      <c r="CL26" s="3">
        <v>41351625.43</v>
      </c>
      <c r="CM26" s="3">
        <f t="shared" si="19"/>
        <v>211453758.88000008</v>
      </c>
      <c r="CN26" s="3">
        <f t="shared" si="20"/>
        <v>211453.7588800001</v>
      </c>
      <c r="CP26" s="3">
        <v>168670068.70000002</v>
      </c>
      <c r="CQ26" s="3">
        <v>0</v>
      </c>
      <c r="CR26" s="3">
        <v>40349629.239999995</v>
      </c>
      <c r="CS26" s="3">
        <f t="shared" si="21"/>
        <v>209019697.94</v>
      </c>
      <c r="CT26" s="3">
        <f t="shared" si="22"/>
        <v>209019.69793999998</v>
      </c>
      <c r="CV26" s="3">
        <v>166356292.23000002</v>
      </c>
      <c r="CW26" s="3">
        <v>0</v>
      </c>
      <c r="CX26" s="3">
        <v>39673283.370000005</v>
      </c>
      <c r="CY26" s="3">
        <f t="shared" si="13"/>
        <v>206029575.60000002</v>
      </c>
      <c r="CZ26" s="3">
        <f t="shared" si="14"/>
        <v>206029.57560000001</v>
      </c>
    </row>
    <row r="27" spans="1:104">
      <c r="A27" s="1" t="s">
        <v>19</v>
      </c>
      <c r="B27" s="1">
        <v>244268</v>
      </c>
      <c r="C27" s="1">
        <v>263709</v>
      </c>
      <c r="D27" s="1">
        <v>279590.70275</v>
      </c>
      <c r="E27" s="1">
        <v>314447.38003999996</v>
      </c>
      <c r="F27" s="1">
        <v>334558.57649000001</v>
      </c>
      <c r="G27" s="1">
        <v>361332.27305000002</v>
      </c>
      <c r="H27" s="1">
        <v>366679.33162000001</v>
      </c>
      <c r="I27" s="1">
        <v>369662.16362000001</v>
      </c>
      <c r="J27" s="1">
        <v>371994.39964999998</v>
      </c>
      <c r="K27" s="1">
        <v>385266.48317999992</v>
      </c>
      <c r="L27" s="240">
        <f>(K27-J27)*100/J27</f>
        <v>3.567818102231461</v>
      </c>
      <c r="M27" s="48">
        <f t="shared" si="10"/>
        <v>72.658802971160114</v>
      </c>
      <c r="N27" s="14">
        <v>47827</v>
      </c>
      <c r="O27" s="14">
        <v>226769.24615000005</v>
      </c>
      <c r="P27" s="14">
        <v>61965</v>
      </c>
      <c r="Q27" s="27">
        <v>69055</v>
      </c>
      <c r="R27" s="27">
        <v>79587</v>
      </c>
      <c r="S27" s="27">
        <v>90380</v>
      </c>
      <c r="T27" s="27">
        <v>103828</v>
      </c>
      <c r="U27" s="27">
        <v>104704</v>
      </c>
      <c r="V27" s="27">
        <v>108400</v>
      </c>
      <c r="W27" s="27">
        <f>99012.319+17811.134</f>
        <v>116823.45300000001</v>
      </c>
      <c r="X27" s="36">
        <f>109857.72+19556.499</f>
        <v>129414.219</v>
      </c>
      <c r="Y27" s="14">
        <f>117012.502+20857.108</f>
        <v>137869.60999999999</v>
      </c>
      <c r="Z27" s="14">
        <v>142951</v>
      </c>
      <c r="AA27" s="14">
        <v>139239</v>
      </c>
      <c r="AB27" s="1">
        <v>149092</v>
      </c>
      <c r="AC27" s="1">
        <v>168233</v>
      </c>
      <c r="AD27" s="1">
        <v>189576</v>
      </c>
      <c r="AE27" s="1">
        <v>211455.23388000001</v>
      </c>
      <c r="AF27" s="1">
        <v>223137.46913000001</v>
      </c>
      <c r="AG27" s="128">
        <v>169877544.01000002</v>
      </c>
      <c r="AH27" s="128">
        <v>0</v>
      </c>
      <c r="AI27" s="128">
        <v>41577689.870000005</v>
      </c>
      <c r="AJ27" s="3">
        <f>AG27-AH27+AI27</f>
        <v>211455233.88000003</v>
      </c>
      <c r="AK27" s="3">
        <f>AJ27/1000</f>
        <v>211455.23388000001</v>
      </c>
      <c r="AL27" s="14"/>
      <c r="AM27" s="14">
        <v>176098981.67000011</v>
      </c>
      <c r="AN27" s="14">
        <v>0</v>
      </c>
      <c r="AO27" s="14">
        <v>47038487.460000001</v>
      </c>
      <c r="AP27" s="14">
        <f t="shared" si="11"/>
        <v>223137469.13000011</v>
      </c>
      <c r="AQ27" s="14">
        <f t="shared" si="12"/>
        <v>223137.46913000013</v>
      </c>
      <c r="AR27" s="14"/>
      <c r="AS27" s="3">
        <v>192218687</v>
      </c>
      <c r="AT27" s="3">
        <v>0</v>
      </c>
      <c r="AU27" s="3">
        <v>52049295</v>
      </c>
      <c r="AV27" s="3">
        <f>AS27-AT27+AU27</f>
        <v>244267982</v>
      </c>
      <c r="AW27" s="3">
        <f>AV27/1000</f>
        <v>244267.98199999999</v>
      </c>
      <c r="AZ27" s="3">
        <v>205194658</v>
      </c>
      <c r="BA27" s="3">
        <v>0</v>
      </c>
      <c r="BB27" s="3">
        <v>58514583</v>
      </c>
      <c r="BC27" s="3">
        <f>AZ27-BA27+BB27</f>
        <v>263709241</v>
      </c>
      <c r="BD27" s="3">
        <f>BC27/1000</f>
        <v>263709.24099999998</v>
      </c>
      <c r="BF27" s="3">
        <v>217772832.10000002</v>
      </c>
      <c r="BG27" s="3">
        <v>0</v>
      </c>
      <c r="BH27" s="3">
        <v>61817870.650000006</v>
      </c>
      <c r="BI27" s="3">
        <f>BF27-BG27+BH27</f>
        <v>279590702.75</v>
      </c>
      <c r="BJ27" s="3">
        <f>BI27/1000</f>
        <v>279590.70275</v>
      </c>
      <c r="BL27" s="3">
        <v>246770171.62</v>
      </c>
      <c r="BM27" s="3">
        <v>0</v>
      </c>
      <c r="BN27" s="3">
        <v>67677208.419999987</v>
      </c>
      <c r="BO27" s="3">
        <f>BL27-BM27+BN27</f>
        <v>314447380.03999996</v>
      </c>
      <c r="BP27" s="3">
        <f>BO27/1000</f>
        <v>314447.38003999996</v>
      </c>
      <c r="BR27" s="3">
        <v>260500557.33000001</v>
      </c>
      <c r="BS27" s="3">
        <v>0</v>
      </c>
      <c r="BT27" s="3">
        <v>74058019.160000011</v>
      </c>
      <c r="BU27" s="3">
        <f>BR27-BS27+BT27</f>
        <v>334558576.49000001</v>
      </c>
      <c r="BV27" s="3">
        <f>BU27/1000</f>
        <v>334558.57649000001</v>
      </c>
      <c r="BX27" s="3">
        <v>280401238.69999999</v>
      </c>
      <c r="BY27" s="3">
        <v>0</v>
      </c>
      <c r="BZ27" s="3">
        <v>80931034.350000009</v>
      </c>
      <c r="CA27" s="3">
        <f>BX27-BY27+BZ27</f>
        <v>361332273.05000001</v>
      </c>
      <c r="CB27" s="3">
        <f>CA27/1000</f>
        <v>361332.27305000002</v>
      </c>
      <c r="CD27" s="3">
        <v>284767556.81999999</v>
      </c>
      <c r="CE27" s="3">
        <v>0</v>
      </c>
      <c r="CF27" s="3">
        <v>81911774.799999997</v>
      </c>
      <c r="CG27" s="3">
        <f>CD27-CE27+CF27</f>
        <v>366679331.62</v>
      </c>
      <c r="CH27" s="3">
        <f>CG27/1000</f>
        <v>366679.33162000001</v>
      </c>
      <c r="CJ27" s="3">
        <v>287503331.94</v>
      </c>
      <c r="CK27" s="3">
        <v>0</v>
      </c>
      <c r="CL27" s="3">
        <v>82158831.680000007</v>
      </c>
      <c r="CM27" s="3">
        <f t="shared" si="19"/>
        <v>369662163.62</v>
      </c>
      <c r="CN27" s="3">
        <f t="shared" si="20"/>
        <v>369662.16362000001</v>
      </c>
      <c r="CP27" s="3">
        <v>290338963.94999999</v>
      </c>
      <c r="CQ27" s="3">
        <v>0</v>
      </c>
      <c r="CR27" s="3">
        <v>81655435.699999988</v>
      </c>
      <c r="CS27" s="3">
        <f t="shared" si="21"/>
        <v>371994399.64999998</v>
      </c>
      <c r="CT27" s="3">
        <f t="shared" si="22"/>
        <v>371994.39964999998</v>
      </c>
      <c r="CV27" s="3">
        <v>300385585.47999996</v>
      </c>
      <c r="CW27" s="3">
        <v>0</v>
      </c>
      <c r="CX27" s="3">
        <v>84880897.700000003</v>
      </c>
      <c r="CY27" s="3">
        <f t="shared" si="13"/>
        <v>385266483.17999995</v>
      </c>
      <c r="CZ27" s="3">
        <f t="shared" si="14"/>
        <v>385266.48317999992</v>
      </c>
    </row>
    <row r="28" spans="1:104">
      <c r="A28" s="1" t="s">
        <v>20</v>
      </c>
      <c r="B28" s="1">
        <v>11844</v>
      </c>
      <c r="C28" s="1">
        <v>12111</v>
      </c>
      <c r="D28" s="1">
        <v>12520.086730000001</v>
      </c>
      <c r="E28" s="1">
        <v>14115.307029999998</v>
      </c>
      <c r="F28" s="1">
        <v>12659.501219999998</v>
      </c>
      <c r="G28" s="1">
        <v>13990.640580000001</v>
      </c>
      <c r="H28" s="1">
        <v>13963.543099999997</v>
      </c>
      <c r="I28" s="1">
        <v>13912.426910000002</v>
      </c>
      <c r="J28" s="1">
        <v>13240.350899999999</v>
      </c>
      <c r="K28" s="1">
        <v>13053.557719999997</v>
      </c>
      <c r="L28" s="240">
        <f>(K28-J28)*100/J28</f>
        <v>-1.4107872322326624</v>
      </c>
      <c r="M28" s="48">
        <f t="shared" si="10"/>
        <v>3.2880324004218959</v>
      </c>
      <c r="N28" s="14">
        <v>4153</v>
      </c>
      <c r="O28" s="14">
        <v>25067.576710000001</v>
      </c>
      <c r="P28" s="27">
        <v>4944</v>
      </c>
      <c r="Q28" s="27">
        <v>5352</v>
      </c>
      <c r="R28" s="27">
        <v>6142</v>
      </c>
      <c r="S28" s="27">
        <v>6909</v>
      </c>
      <c r="T28" s="27">
        <v>7715</v>
      </c>
      <c r="U28" s="27">
        <v>7667</v>
      </c>
      <c r="V28" s="27">
        <v>7875</v>
      </c>
      <c r="W28" s="27">
        <f>7381.345+1009.954</f>
        <v>8391.2990000000009</v>
      </c>
      <c r="X28" s="36">
        <f>7990.039+1120.255</f>
        <v>9110.2939999999999</v>
      </c>
      <c r="Y28" s="14">
        <f>8223.017+1162.278</f>
        <v>9385.2950000000001</v>
      </c>
      <c r="Z28" s="14">
        <v>9961</v>
      </c>
      <c r="AA28" s="14">
        <v>10610</v>
      </c>
      <c r="AB28" s="1">
        <v>9911</v>
      </c>
      <c r="AC28" s="1">
        <v>10376</v>
      </c>
      <c r="AD28" s="1">
        <v>11227</v>
      </c>
      <c r="AE28" s="1">
        <v>12258.707939999995</v>
      </c>
      <c r="AF28" s="1">
        <v>12638.015670000001</v>
      </c>
      <c r="AG28" s="128">
        <v>10611362.899999995</v>
      </c>
      <c r="AH28" s="128">
        <v>111949.74</v>
      </c>
      <c r="AI28" s="128">
        <v>1759294.78</v>
      </c>
      <c r="AJ28" s="3">
        <f>AG28-AH28+AI28</f>
        <v>12258707.939999994</v>
      </c>
      <c r="AK28" s="3">
        <f>AJ28/1000</f>
        <v>12258.707939999995</v>
      </c>
      <c r="AL28" s="14"/>
      <c r="AM28" s="14">
        <v>10828768.170000002</v>
      </c>
      <c r="AN28" s="14">
        <v>113820.88</v>
      </c>
      <c r="AO28" s="14">
        <v>1923068.3800000001</v>
      </c>
      <c r="AP28" s="14">
        <f t="shared" si="11"/>
        <v>12638015.670000002</v>
      </c>
      <c r="AQ28" s="14">
        <f t="shared" si="12"/>
        <v>12638.015670000003</v>
      </c>
      <c r="AR28" s="14"/>
      <c r="AS28" s="3">
        <v>10115623</v>
      </c>
      <c r="AT28" s="3">
        <v>122967.45</v>
      </c>
      <c r="AU28" s="3">
        <v>1850899.52</v>
      </c>
      <c r="AV28" s="3">
        <f>AS28-AT28+AU28</f>
        <v>11843555.07</v>
      </c>
      <c r="AW28" s="3">
        <f>AV28/1000</f>
        <v>11843.55507</v>
      </c>
      <c r="AZ28" s="3">
        <v>10154883</v>
      </c>
      <c r="BA28" s="3">
        <v>112143.44</v>
      </c>
      <c r="BB28" s="3">
        <v>2067967.72</v>
      </c>
      <c r="BC28" s="3">
        <f>AZ28-BA28+BB28</f>
        <v>12110707.280000001</v>
      </c>
      <c r="BD28" s="3">
        <f>BC28/1000</f>
        <v>12110.707280000001</v>
      </c>
      <c r="BF28" s="3">
        <v>10432645.85</v>
      </c>
      <c r="BG28" s="3">
        <v>142778.99</v>
      </c>
      <c r="BH28" s="3">
        <v>2230219.87</v>
      </c>
      <c r="BI28" s="3">
        <f>BF28-BG28+BH28</f>
        <v>12520086.73</v>
      </c>
      <c r="BJ28" s="3">
        <f>BI28/1000</f>
        <v>12520.086730000001</v>
      </c>
      <c r="BL28" s="3">
        <v>12131195.269999998</v>
      </c>
      <c r="BM28" s="3">
        <v>179781.15</v>
      </c>
      <c r="BN28" s="3">
        <v>2163892.91</v>
      </c>
      <c r="BO28" s="3">
        <f>BL28-BM28+BN28</f>
        <v>14115307.029999997</v>
      </c>
      <c r="BP28" s="3">
        <f>BO28/1000</f>
        <v>14115.307029999998</v>
      </c>
      <c r="BR28" s="3">
        <v>10486839.949999999</v>
      </c>
      <c r="BS28" s="3">
        <v>305789.07</v>
      </c>
      <c r="BT28" s="3">
        <v>2478450.34</v>
      </c>
      <c r="BU28" s="3">
        <f>BR28-BS28+BT28</f>
        <v>12659501.219999999</v>
      </c>
      <c r="BV28" s="3">
        <f>BU28/1000</f>
        <v>12659.501219999998</v>
      </c>
      <c r="BX28" s="3">
        <v>11511373.32</v>
      </c>
      <c r="BY28" s="3">
        <v>21736.53</v>
      </c>
      <c r="BZ28" s="3">
        <v>2501003.79</v>
      </c>
      <c r="CA28" s="3">
        <f>BX28-BY28+BZ28</f>
        <v>13990640.580000002</v>
      </c>
      <c r="CB28" s="3">
        <f>CA28/1000</f>
        <v>13990.640580000001</v>
      </c>
      <c r="CD28" s="3">
        <v>11352488.249999998</v>
      </c>
      <c r="CE28" s="3">
        <v>0</v>
      </c>
      <c r="CF28" s="3">
        <v>2611054.8499999996</v>
      </c>
      <c r="CG28" s="3">
        <f>CD28-CE28+CF28</f>
        <v>13963543.099999998</v>
      </c>
      <c r="CH28" s="3">
        <f>CG28/1000</f>
        <v>13963.543099999997</v>
      </c>
      <c r="CJ28" s="3">
        <v>11412008.930000002</v>
      </c>
      <c r="CK28" s="3">
        <v>0</v>
      </c>
      <c r="CL28" s="3">
        <v>2500417.9800000004</v>
      </c>
      <c r="CM28" s="3">
        <f t="shared" si="19"/>
        <v>13912426.910000002</v>
      </c>
      <c r="CN28" s="3">
        <f t="shared" si="20"/>
        <v>13912.426910000002</v>
      </c>
      <c r="CP28" s="3">
        <v>10750881.169999998</v>
      </c>
      <c r="CQ28" s="3">
        <v>0</v>
      </c>
      <c r="CR28" s="3">
        <v>2489469.73</v>
      </c>
      <c r="CS28" s="3">
        <f t="shared" si="21"/>
        <v>13240350.899999999</v>
      </c>
      <c r="CT28" s="3">
        <f t="shared" si="22"/>
        <v>13240.350899999998</v>
      </c>
      <c r="CV28" s="3">
        <v>10546872.229999997</v>
      </c>
      <c r="CW28" s="3">
        <v>0</v>
      </c>
      <c r="CX28" s="3">
        <v>2506685.4899999998</v>
      </c>
      <c r="CY28" s="3">
        <f t="shared" si="13"/>
        <v>13053557.719999997</v>
      </c>
      <c r="CZ28" s="3">
        <f t="shared" si="14"/>
        <v>13053.557719999997</v>
      </c>
    </row>
    <row r="29" spans="1:104">
      <c r="L29" s="48"/>
      <c r="M29" s="48"/>
      <c r="N29" s="14"/>
      <c r="O29" s="14">
        <v>211453.7588800001</v>
      </c>
      <c r="Q29" s="27"/>
      <c r="R29" s="27"/>
      <c r="S29" s="27"/>
      <c r="T29" s="27"/>
      <c r="U29" s="27"/>
      <c r="V29" s="27"/>
      <c r="W29" s="27"/>
      <c r="X29" s="36"/>
      <c r="Y29" s="14"/>
      <c r="Z29" s="14"/>
      <c r="AA29" s="14"/>
      <c r="AB29" s="1"/>
      <c r="AC29" s="1"/>
      <c r="AD29" s="1"/>
      <c r="AE29" s="1"/>
      <c r="AF29" s="1"/>
      <c r="AG29" s="128"/>
      <c r="AH29" s="128"/>
      <c r="AI29" s="128"/>
      <c r="AL29" s="14"/>
      <c r="AM29" s="14"/>
      <c r="AN29" s="14"/>
      <c r="AO29" s="14"/>
      <c r="AP29" s="14"/>
      <c r="AQ29" s="14"/>
      <c r="AR29" s="14"/>
    </row>
    <row r="30" spans="1:104">
      <c r="A30" s="1" t="s">
        <v>21</v>
      </c>
      <c r="B30" s="1">
        <v>798730</v>
      </c>
      <c r="C30" s="1">
        <v>842267</v>
      </c>
      <c r="D30" s="1">
        <v>888140.2725899996</v>
      </c>
      <c r="E30" s="1">
        <v>1000412.6133499999</v>
      </c>
      <c r="F30" s="1">
        <v>1002667.4720900003</v>
      </c>
      <c r="G30" s="1">
        <v>1051067.85488</v>
      </c>
      <c r="H30" s="1">
        <v>1077900.7814099998</v>
      </c>
      <c r="I30" s="1">
        <v>1053855.5828100001</v>
      </c>
      <c r="J30" s="1">
        <v>1034082.89042</v>
      </c>
      <c r="K30" s="1">
        <v>1064449.8370099997</v>
      </c>
      <c r="L30" s="240">
        <f>(K30-J30)*100/J30</f>
        <v>2.9366066174507508</v>
      </c>
      <c r="M30" s="48">
        <f t="shared" si="10"/>
        <v>37.88741973022934</v>
      </c>
      <c r="N30" s="14">
        <v>235359</v>
      </c>
      <c r="O30" s="14">
        <v>369662.16362000001</v>
      </c>
      <c r="P30" s="27">
        <v>284750</v>
      </c>
      <c r="Q30" s="27">
        <v>316287</v>
      </c>
      <c r="R30" s="27">
        <v>350270</v>
      </c>
      <c r="S30" s="27">
        <v>394235</v>
      </c>
      <c r="T30" s="27">
        <v>430009</v>
      </c>
      <c r="U30" s="27">
        <v>436943</v>
      </c>
      <c r="V30" s="27">
        <v>447330</v>
      </c>
      <c r="W30" s="27">
        <f>396395.489+67281.325</f>
        <v>463676.81400000001</v>
      </c>
      <c r="X30" s="36">
        <f>417945.929+71445.171</f>
        <v>489391.1</v>
      </c>
      <c r="Y30" s="14">
        <f>437403.757+74904.608</f>
        <v>512308.36499999999</v>
      </c>
      <c r="Z30" s="14">
        <v>532592</v>
      </c>
      <c r="AA30" s="14">
        <v>507831</v>
      </c>
      <c r="AB30" s="1">
        <v>543534</v>
      </c>
      <c r="AC30" s="1">
        <v>587150</v>
      </c>
      <c r="AD30" s="1">
        <v>656718</v>
      </c>
      <c r="AE30" s="1">
        <v>720451.09572999994</v>
      </c>
      <c r="AF30" s="1">
        <v>771970.23418999999</v>
      </c>
      <c r="AG30" s="128">
        <v>598555601.39999986</v>
      </c>
      <c r="AH30" s="128">
        <v>2266649</v>
      </c>
      <c r="AI30" s="128">
        <v>124162143.33000001</v>
      </c>
      <c r="AJ30" s="3">
        <f>AG30-AH30+AI30</f>
        <v>720451095.7299999</v>
      </c>
      <c r="AK30" s="3">
        <f>AJ30/1000</f>
        <v>720451.09572999994</v>
      </c>
      <c r="AL30" s="14"/>
      <c r="AM30" s="14">
        <v>638167148.95999968</v>
      </c>
      <c r="AN30" s="14">
        <v>2194954.62</v>
      </c>
      <c r="AO30" s="14">
        <v>135998039.84999999</v>
      </c>
      <c r="AP30" s="14">
        <f t="shared" si="11"/>
        <v>771970234.1899997</v>
      </c>
      <c r="AQ30" s="14">
        <f t="shared" si="12"/>
        <v>771970.23418999976</v>
      </c>
      <c r="AR30" s="14"/>
      <c r="AS30" s="3">
        <v>656624875</v>
      </c>
      <c r="AT30" s="3">
        <v>2712515.46</v>
      </c>
      <c r="AU30" s="3">
        <v>144817929</v>
      </c>
      <c r="AV30" s="3">
        <f>AS30-AT30+AU30</f>
        <v>798730288.53999996</v>
      </c>
      <c r="AW30" s="3">
        <f>AV30/1000</f>
        <v>798730.28853999998</v>
      </c>
      <c r="AZ30" s="3">
        <v>687788361</v>
      </c>
      <c r="BA30" s="3">
        <v>1520940.68</v>
      </c>
      <c r="BB30" s="3">
        <v>155999135</v>
      </c>
      <c r="BC30" s="3">
        <f>AZ30-BA30+BB30</f>
        <v>842266555.32000005</v>
      </c>
      <c r="BD30" s="3">
        <f>BC30/1000</f>
        <v>842266.55532000004</v>
      </c>
      <c r="BF30" s="3">
        <v>720588725.37999964</v>
      </c>
      <c r="BG30" s="3">
        <v>646429.81999999995</v>
      </c>
      <c r="BH30" s="3">
        <v>168197977.03</v>
      </c>
      <c r="BI30" s="3">
        <f>BF30-BG30+BH30</f>
        <v>888140272.58999956</v>
      </c>
      <c r="BJ30" s="3">
        <f>BI30/1000</f>
        <v>888140.2725899996</v>
      </c>
      <c r="BL30" s="3">
        <v>816133160.26999998</v>
      </c>
      <c r="BM30" s="3">
        <v>0</v>
      </c>
      <c r="BN30" s="3">
        <v>184279453.07999998</v>
      </c>
      <c r="BO30" s="3">
        <f>BL30-BM30+BN30</f>
        <v>1000412613.3499999</v>
      </c>
      <c r="BP30" s="3">
        <f>BO30/1000</f>
        <v>1000412.6133499999</v>
      </c>
      <c r="BR30" s="3">
        <v>802164887.62000012</v>
      </c>
      <c r="BS30" s="3">
        <v>0</v>
      </c>
      <c r="BT30" s="3">
        <v>200502584.47000018</v>
      </c>
      <c r="BU30" s="3">
        <f>BR30-BS30+BT30</f>
        <v>1002667472.0900003</v>
      </c>
      <c r="BV30" s="3">
        <f>BU30/1000</f>
        <v>1002667.4720900003</v>
      </c>
      <c r="BX30" s="3">
        <v>835956505.26000011</v>
      </c>
      <c r="BY30" s="3">
        <v>0</v>
      </c>
      <c r="BZ30" s="3">
        <v>215111349.62</v>
      </c>
      <c r="CA30" s="3">
        <f>BX30-BY30+BZ30</f>
        <v>1051067854.8800001</v>
      </c>
      <c r="CB30" s="3">
        <f>CA30/1000</f>
        <v>1051067.85488</v>
      </c>
      <c r="CD30" s="3">
        <v>849424757.3499999</v>
      </c>
      <c r="CE30" s="3">
        <v>0</v>
      </c>
      <c r="CF30" s="3">
        <v>228476024.05999997</v>
      </c>
      <c r="CG30" s="3">
        <f>CD30-CE30+CF30</f>
        <v>1077900781.4099998</v>
      </c>
      <c r="CH30" s="3">
        <f>CG30/1000</f>
        <v>1077900.7814099998</v>
      </c>
      <c r="CJ30" s="3">
        <v>824787700.67999995</v>
      </c>
      <c r="CK30" s="3">
        <v>0</v>
      </c>
      <c r="CL30" s="3">
        <v>229067882.13</v>
      </c>
      <c r="CM30" s="3">
        <f t="shared" ref="CM30:CM34" si="23">CJ30-CK30+CL30</f>
        <v>1053855582.8099999</v>
      </c>
      <c r="CN30" s="3">
        <f t="shared" ref="CN30:CN34" si="24">CM30/1000</f>
        <v>1053855.5828100001</v>
      </c>
      <c r="CP30" s="3">
        <v>806399683.54000008</v>
      </c>
      <c r="CQ30" s="3">
        <v>0</v>
      </c>
      <c r="CR30" s="3">
        <v>227683206.88</v>
      </c>
      <c r="CS30" s="3">
        <f t="shared" ref="CS30:CS34" si="25">CP30-CQ30+CR30</f>
        <v>1034082890.4200001</v>
      </c>
      <c r="CT30" s="3">
        <f t="shared" ref="CT30:CT34" si="26">CS30/1000</f>
        <v>1034082.8904200001</v>
      </c>
      <c r="CV30" s="3">
        <v>829059478.72999978</v>
      </c>
      <c r="CW30" s="3">
        <v>0</v>
      </c>
      <c r="CX30" s="3">
        <v>235390358.28</v>
      </c>
      <c r="CY30" s="3">
        <f t="shared" si="13"/>
        <v>1064449837.0099998</v>
      </c>
      <c r="CZ30" s="3">
        <f t="shared" si="14"/>
        <v>1064449.8370099997</v>
      </c>
    </row>
    <row r="31" spans="1:104">
      <c r="A31" s="1" t="s">
        <v>22</v>
      </c>
      <c r="B31" s="1">
        <v>542082</v>
      </c>
      <c r="C31" s="1">
        <v>557697</v>
      </c>
      <c r="D31" s="1">
        <v>596564.51831999992</v>
      </c>
      <c r="E31" s="1">
        <v>736931.14192000008</v>
      </c>
      <c r="F31" s="1">
        <v>764518.38214999984</v>
      </c>
      <c r="G31" s="1">
        <v>775534.55226999999</v>
      </c>
      <c r="H31" s="1">
        <v>769202.90905000002</v>
      </c>
      <c r="I31" s="1">
        <v>726631.46221000003</v>
      </c>
      <c r="J31" s="1">
        <v>681904.20308000001</v>
      </c>
      <c r="K31" s="1">
        <v>690783.93938999996</v>
      </c>
      <c r="L31" s="240">
        <f>(K31-J31)*100/J31</f>
        <v>1.3021970344063405</v>
      </c>
      <c r="M31" s="48">
        <f t="shared" si="10"/>
        <v>25.062456093835625</v>
      </c>
      <c r="N31" s="14">
        <v>191074</v>
      </c>
      <c r="O31" s="14">
        <v>13912.426910000002</v>
      </c>
      <c r="P31" s="27">
        <v>227438</v>
      </c>
      <c r="Q31" s="27">
        <v>252565</v>
      </c>
      <c r="R31" s="27">
        <v>275612</v>
      </c>
      <c r="S31" s="27">
        <v>295145</v>
      </c>
      <c r="T31" s="27">
        <v>317938</v>
      </c>
      <c r="U31" s="27">
        <v>313362</v>
      </c>
      <c r="V31" s="27">
        <v>333054</v>
      </c>
      <c r="W31" s="27">
        <f>292032.151+59034.523</f>
        <v>351066.674</v>
      </c>
      <c r="X31" s="36">
        <f>312382.895+63995.284</f>
        <v>376378.179</v>
      </c>
      <c r="Y31" s="14">
        <f>321711.276+66433.306</f>
        <v>388144.58199999999</v>
      </c>
      <c r="Z31" s="14">
        <v>401175</v>
      </c>
      <c r="AA31" s="14">
        <v>387009</v>
      </c>
      <c r="AB31" s="1">
        <v>416633</v>
      </c>
      <c r="AC31" s="1">
        <v>434973</v>
      </c>
      <c r="AD31" s="1">
        <v>472737</v>
      </c>
      <c r="AE31" s="1">
        <v>518718.20363999996</v>
      </c>
      <c r="AF31" s="1">
        <v>552351.16994000005</v>
      </c>
      <c r="AG31" s="128">
        <v>420782840.13999999</v>
      </c>
      <c r="AH31" s="128">
        <v>775006.18</v>
      </c>
      <c r="AI31" s="128">
        <v>98710369.680000007</v>
      </c>
      <c r="AJ31" s="3">
        <f>AG31-AH31+AI31</f>
        <v>518718203.63999999</v>
      </c>
      <c r="AK31" s="3">
        <f>AJ31/1000</f>
        <v>518718.20363999996</v>
      </c>
      <c r="AL31" s="14"/>
      <c r="AM31" s="14">
        <v>447540566.88999993</v>
      </c>
      <c r="AN31" s="14">
        <v>15041.26</v>
      </c>
      <c r="AO31" s="14">
        <v>104825644.30999994</v>
      </c>
      <c r="AP31" s="14">
        <f t="shared" si="11"/>
        <v>552351169.93999982</v>
      </c>
      <c r="AQ31" s="14">
        <f t="shared" si="12"/>
        <v>552351.16993999982</v>
      </c>
      <c r="AR31" s="14"/>
      <c r="AS31" s="3">
        <v>440503691</v>
      </c>
      <c r="AT31" s="3">
        <v>811598.78</v>
      </c>
      <c r="AU31" s="3">
        <v>102390223</v>
      </c>
      <c r="AV31" s="3">
        <f>AS31-AT31+AU31</f>
        <v>542082315.22000003</v>
      </c>
      <c r="AW31" s="3">
        <f>AV31/1000</f>
        <v>542082.31521999999</v>
      </c>
      <c r="AZ31" s="3">
        <v>451467136</v>
      </c>
      <c r="BA31" s="3">
        <v>796592.58</v>
      </c>
      <c r="BB31" s="3">
        <v>107026791</v>
      </c>
      <c r="BC31" s="3">
        <f>AZ31-BA31+BB31</f>
        <v>557697334.42000008</v>
      </c>
      <c r="BD31" s="3">
        <f>BC31/1000</f>
        <v>557697.33442000009</v>
      </c>
      <c r="BF31" s="3">
        <v>480437709.31999993</v>
      </c>
      <c r="BG31" s="3">
        <v>1174698.57</v>
      </c>
      <c r="BH31" s="3">
        <v>117301507.56999999</v>
      </c>
      <c r="BI31" s="3">
        <f>BF31-BG31+BH31</f>
        <v>596564518.31999993</v>
      </c>
      <c r="BJ31" s="3">
        <f>BI31/1000</f>
        <v>596564.51831999992</v>
      </c>
      <c r="BL31" s="3">
        <v>595629543.96000016</v>
      </c>
      <c r="BM31" s="3">
        <v>557175.46</v>
      </c>
      <c r="BN31" s="3">
        <v>141858773.42000002</v>
      </c>
      <c r="BO31" s="3">
        <f>BL31-BM31+BN31</f>
        <v>736931141.92000008</v>
      </c>
      <c r="BP31" s="3">
        <f>BO31/1000</f>
        <v>736931.14192000008</v>
      </c>
      <c r="BR31" s="3">
        <v>597607802.41999984</v>
      </c>
      <c r="BS31" s="3">
        <v>2816</v>
      </c>
      <c r="BT31" s="3">
        <v>166913395.73000002</v>
      </c>
      <c r="BU31" s="3">
        <f>BR31-BS31+BT31</f>
        <v>764518382.14999986</v>
      </c>
      <c r="BV31" s="3">
        <f>BU31/1000</f>
        <v>764518.38214999984</v>
      </c>
      <c r="BX31" s="3">
        <v>601513865.98000002</v>
      </c>
      <c r="BY31" s="3">
        <v>0</v>
      </c>
      <c r="BZ31" s="3">
        <v>174020686.29000002</v>
      </c>
      <c r="CA31" s="3">
        <f>BX31-BY31+BZ31</f>
        <v>775534552.26999998</v>
      </c>
      <c r="CB31" s="3">
        <f>CA31/1000</f>
        <v>775534.55226999999</v>
      </c>
      <c r="CD31" s="3">
        <v>594525345.32000005</v>
      </c>
      <c r="CE31" s="3">
        <v>0</v>
      </c>
      <c r="CF31" s="3">
        <v>174677563.72999999</v>
      </c>
      <c r="CG31" s="3">
        <f>CD31-CE31+CF31</f>
        <v>769202909.05000007</v>
      </c>
      <c r="CH31" s="3">
        <f>CG31/1000</f>
        <v>769202.90905000002</v>
      </c>
      <c r="CJ31" s="3">
        <v>559738447.25999999</v>
      </c>
      <c r="CK31" s="3">
        <v>0</v>
      </c>
      <c r="CL31" s="3">
        <v>166893014.95000002</v>
      </c>
      <c r="CM31" s="3">
        <f t="shared" si="23"/>
        <v>726631462.21000004</v>
      </c>
      <c r="CN31" s="3">
        <f t="shared" si="24"/>
        <v>726631.46221000003</v>
      </c>
      <c r="CP31" s="3">
        <v>507698053.57999998</v>
      </c>
      <c r="CQ31" s="3">
        <v>0</v>
      </c>
      <c r="CR31" s="3">
        <v>174206149.5</v>
      </c>
      <c r="CS31" s="3">
        <f t="shared" si="25"/>
        <v>681904203.07999992</v>
      </c>
      <c r="CT31" s="3">
        <f t="shared" si="26"/>
        <v>681904.20307999989</v>
      </c>
      <c r="CV31" s="3">
        <v>513228234.51999998</v>
      </c>
      <c r="CW31" s="3">
        <v>0</v>
      </c>
      <c r="CX31" s="3">
        <v>177555704.86999997</v>
      </c>
      <c r="CY31" s="3">
        <f t="shared" si="13"/>
        <v>690783939.38999999</v>
      </c>
      <c r="CZ31" s="3">
        <f t="shared" si="14"/>
        <v>690783.93938999996</v>
      </c>
    </row>
    <row r="32" spans="1:104">
      <c r="A32" s="1" t="s">
        <v>23</v>
      </c>
      <c r="B32" s="1">
        <v>30569</v>
      </c>
      <c r="C32" s="1">
        <v>32081</v>
      </c>
      <c r="D32" s="1">
        <v>34181.585310000002</v>
      </c>
      <c r="E32" s="1">
        <v>38353.520320000003</v>
      </c>
      <c r="F32" s="1">
        <v>38773.422029999994</v>
      </c>
      <c r="G32" s="1">
        <v>40866.599039999994</v>
      </c>
      <c r="H32" s="1">
        <v>43005.101310000005</v>
      </c>
      <c r="I32" s="1">
        <v>42594.31820999999</v>
      </c>
      <c r="J32" s="1">
        <v>39603.177199999998</v>
      </c>
      <c r="K32" s="1">
        <v>41556.073529999994</v>
      </c>
      <c r="L32" s="240">
        <f>(K32-J32)*100/J32</f>
        <v>4.9311607504056418</v>
      </c>
      <c r="M32" s="48">
        <f t="shared" si="10"/>
        <v>41.85142732603753</v>
      </c>
      <c r="N32" s="14">
        <v>7331</v>
      </c>
      <c r="O32" s="14"/>
      <c r="P32" s="27">
        <v>10505</v>
      </c>
      <c r="Q32" s="27">
        <v>11268</v>
      </c>
      <c r="R32" s="27">
        <v>12002</v>
      </c>
      <c r="S32" s="27">
        <v>13396</v>
      </c>
      <c r="T32" s="27">
        <v>14609</v>
      </c>
      <c r="U32" s="27">
        <v>15086</v>
      </c>
      <c r="V32" s="27">
        <v>15593</v>
      </c>
      <c r="W32" s="27">
        <f>14842.918+1986.592</f>
        <v>16829.509999999998</v>
      </c>
      <c r="X32" s="36">
        <f>15478.858+2097.141</f>
        <v>17575.999</v>
      </c>
      <c r="Y32" s="14">
        <f>15913.44+2214.387</f>
        <v>18127.827000000001</v>
      </c>
      <c r="Z32" s="14">
        <v>19445</v>
      </c>
      <c r="AA32" s="14">
        <v>19067</v>
      </c>
      <c r="AB32" s="1">
        <v>21097</v>
      </c>
      <c r="AC32" s="1">
        <v>23131</v>
      </c>
      <c r="AD32" s="1">
        <v>25355</v>
      </c>
      <c r="AE32" s="1">
        <v>27905.647110000002</v>
      </c>
      <c r="AF32" s="1">
        <v>29295.491989999999</v>
      </c>
      <c r="AG32" s="128">
        <v>23585348.180000003</v>
      </c>
      <c r="AH32" s="128">
        <v>80125.19</v>
      </c>
      <c r="AI32" s="128">
        <v>4400424.12</v>
      </c>
      <c r="AJ32" s="3">
        <f>AG32-AH32+AI32</f>
        <v>27905647.110000003</v>
      </c>
      <c r="AK32" s="3">
        <f>AJ32/1000</f>
        <v>27905.647110000002</v>
      </c>
      <c r="AL32" s="14"/>
      <c r="AM32" s="14">
        <v>24721546.829999987</v>
      </c>
      <c r="AN32" s="14">
        <v>108082.15</v>
      </c>
      <c r="AO32" s="14">
        <v>4682027.3099999996</v>
      </c>
      <c r="AP32" s="14">
        <f t="shared" si="11"/>
        <v>29295491.989999987</v>
      </c>
      <c r="AQ32" s="14">
        <f t="shared" si="12"/>
        <v>29295.491989999988</v>
      </c>
      <c r="AR32" s="14"/>
      <c r="AS32" s="3">
        <v>25626527</v>
      </c>
      <c r="AT32" s="3">
        <v>101865.58</v>
      </c>
      <c r="AU32" s="3">
        <v>5044647.75</v>
      </c>
      <c r="AV32" s="3">
        <f>AS32-AT32+AU32</f>
        <v>30569309.170000002</v>
      </c>
      <c r="AW32" s="3">
        <f>AV32/1000</f>
        <v>30569.30917</v>
      </c>
      <c r="AZ32" s="3">
        <v>26844096</v>
      </c>
      <c r="BA32" s="3">
        <v>147751.38</v>
      </c>
      <c r="BB32" s="3">
        <v>5384538</v>
      </c>
      <c r="BC32" s="3">
        <f>AZ32-BA32+BB32</f>
        <v>32080882.620000001</v>
      </c>
      <c r="BD32" s="3">
        <f>BC32/1000</f>
        <v>32080.88262</v>
      </c>
      <c r="BF32" s="3">
        <v>28708941.160000004</v>
      </c>
      <c r="BG32" s="3">
        <v>181069.22</v>
      </c>
      <c r="BH32" s="3">
        <v>5653713.3699999992</v>
      </c>
      <c r="BI32" s="3">
        <f>BF32-BG32+BH32</f>
        <v>34181585.310000002</v>
      </c>
      <c r="BJ32" s="3">
        <f>BI32/1000</f>
        <v>34181.585310000002</v>
      </c>
      <c r="BL32" s="3">
        <v>32719037.710000001</v>
      </c>
      <c r="BM32" s="3">
        <v>101556.76</v>
      </c>
      <c r="BN32" s="3">
        <v>5736039.3700000001</v>
      </c>
      <c r="BO32" s="3">
        <f>BL32-BM32+BN32</f>
        <v>38353520.32</v>
      </c>
      <c r="BP32" s="3">
        <f>BO32/1000</f>
        <v>38353.520320000003</v>
      </c>
      <c r="BR32" s="3">
        <v>32463442.569999997</v>
      </c>
      <c r="BS32" s="3">
        <v>153741.01</v>
      </c>
      <c r="BT32" s="3">
        <v>6463720.4699999997</v>
      </c>
      <c r="BU32" s="3">
        <f>BR32-BS32+BT32</f>
        <v>38773422.029999994</v>
      </c>
      <c r="BV32" s="3">
        <f>BU32/1000</f>
        <v>38773.422029999994</v>
      </c>
      <c r="BX32" s="3">
        <v>34255470.459999993</v>
      </c>
      <c r="BY32" s="3">
        <v>171788.13</v>
      </c>
      <c r="BZ32" s="3">
        <v>6782916.709999999</v>
      </c>
      <c r="CA32" s="3">
        <f>BX32-BY32+BZ32</f>
        <v>40866599.039999992</v>
      </c>
      <c r="CB32" s="3">
        <f>CA32/1000</f>
        <v>40866.599039999994</v>
      </c>
      <c r="CD32" s="3">
        <v>35576401.460000001</v>
      </c>
      <c r="CE32" s="3">
        <v>159653.21</v>
      </c>
      <c r="CF32" s="3">
        <v>7588353.0600000005</v>
      </c>
      <c r="CG32" s="3">
        <f>CD32-CE32+CF32</f>
        <v>43005101.310000002</v>
      </c>
      <c r="CH32" s="3">
        <f>CG32/1000</f>
        <v>43005.101310000005</v>
      </c>
      <c r="CJ32" s="3">
        <v>34849061.589999996</v>
      </c>
      <c r="CK32" s="3">
        <v>28265</v>
      </c>
      <c r="CL32" s="3">
        <v>7773521.620000001</v>
      </c>
      <c r="CM32" s="3">
        <f t="shared" si="23"/>
        <v>42594318.209999993</v>
      </c>
      <c r="CN32" s="3">
        <f t="shared" si="24"/>
        <v>42594.31820999999</v>
      </c>
      <c r="CP32" s="3">
        <v>32377147.190000001</v>
      </c>
      <c r="CQ32" s="3">
        <v>293.94</v>
      </c>
      <c r="CR32" s="3">
        <v>7226323.9500000002</v>
      </c>
      <c r="CS32" s="3">
        <f t="shared" si="25"/>
        <v>39603177.200000003</v>
      </c>
      <c r="CT32" s="3">
        <f t="shared" si="26"/>
        <v>39603.177200000006</v>
      </c>
      <c r="CV32" s="3">
        <v>34027248.379999995</v>
      </c>
      <c r="CW32" s="3">
        <v>0</v>
      </c>
      <c r="CX32" s="3">
        <v>7528825.1500000004</v>
      </c>
      <c r="CY32" s="3">
        <f t="shared" si="13"/>
        <v>41556073.529999994</v>
      </c>
      <c r="CZ32" s="3">
        <f t="shared" si="14"/>
        <v>41556.073529999994</v>
      </c>
    </row>
    <row r="33" spans="1:104">
      <c r="A33" s="1" t="s">
        <v>24</v>
      </c>
      <c r="B33" s="1">
        <v>63119</v>
      </c>
      <c r="C33" s="1">
        <v>66859</v>
      </c>
      <c r="D33" s="1">
        <v>71407.977840000007</v>
      </c>
      <c r="E33" s="1">
        <v>81252.372460000013</v>
      </c>
      <c r="F33" s="1">
        <v>81335.500239999994</v>
      </c>
      <c r="G33" s="1">
        <v>86017.798839999989</v>
      </c>
      <c r="H33" s="1">
        <v>89742.408180000013</v>
      </c>
      <c r="I33" s="1">
        <v>90656.207729999995</v>
      </c>
      <c r="J33" s="1">
        <v>88997.722250000006</v>
      </c>
      <c r="K33" s="1">
        <v>89789.502460000003</v>
      </c>
      <c r="L33" s="240">
        <f>(K33-J33)*100/J33</f>
        <v>0.88966345428014271</v>
      </c>
      <c r="M33" s="48">
        <f t="shared" si="10"/>
        <v>48.803614390780801</v>
      </c>
      <c r="N33" s="14">
        <v>18245</v>
      </c>
      <c r="O33" s="14">
        <v>1053855.5828100001</v>
      </c>
      <c r="P33" s="27">
        <v>22527</v>
      </c>
      <c r="Q33" s="27">
        <v>24732</v>
      </c>
      <c r="R33" s="27">
        <v>26935</v>
      </c>
      <c r="S33" s="27">
        <v>29839</v>
      </c>
      <c r="T33" s="27">
        <v>33131</v>
      </c>
      <c r="U33" s="27">
        <v>36412</v>
      </c>
      <c r="V33" s="27">
        <v>37284</v>
      </c>
      <c r="W33" s="27">
        <f>31976.109+5634.756</f>
        <v>37610.864999999998</v>
      </c>
      <c r="X33" s="36">
        <f>34429.461+6055.81</f>
        <v>40485.271000000001</v>
      </c>
      <c r="Y33" s="14">
        <f>35240.813+6343.693</f>
        <v>41584.506000000001</v>
      </c>
      <c r="Z33" s="14">
        <v>44689</v>
      </c>
      <c r="AA33" s="14">
        <v>42861</v>
      </c>
      <c r="AB33" s="1">
        <v>45851</v>
      </c>
      <c r="AC33" s="1">
        <v>48369</v>
      </c>
      <c r="AD33" s="1">
        <v>52330</v>
      </c>
      <c r="AE33" s="1">
        <v>57131.446090000005</v>
      </c>
      <c r="AF33" s="1">
        <v>60340.941870000002</v>
      </c>
      <c r="AG33" s="128">
        <v>46504324.710000008</v>
      </c>
      <c r="AH33" s="128">
        <v>122912.95</v>
      </c>
      <c r="AI33" s="128">
        <v>10750034.330000002</v>
      </c>
      <c r="AJ33" s="3">
        <f>AG33-AH33+AI33</f>
        <v>57131446.090000004</v>
      </c>
      <c r="AK33" s="3">
        <f>AJ33/1000</f>
        <v>57131.446090000005</v>
      </c>
      <c r="AL33" s="14"/>
      <c r="AM33" s="14">
        <v>48932089.049999982</v>
      </c>
      <c r="AN33" s="14">
        <v>183661.37</v>
      </c>
      <c r="AO33" s="14">
        <v>11592514.189999999</v>
      </c>
      <c r="AP33" s="14">
        <f t="shared" si="11"/>
        <v>60340941.869999982</v>
      </c>
      <c r="AQ33" s="14">
        <f t="shared" si="12"/>
        <v>60340.941869999981</v>
      </c>
      <c r="AR33" s="14"/>
      <c r="AS33" s="3">
        <v>51175586</v>
      </c>
      <c r="AT33" s="3">
        <v>183473.35</v>
      </c>
      <c r="AU33" s="3">
        <v>12126909</v>
      </c>
      <c r="AV33" s="3">
        <f>AS33-AT33+AU33</f>
        <v>63119021.649999999</v>
      </c>
      <c r="AW33" s="3">
        <f>AV33/1000</f>
        <v>63119.021649999995</v>
      </c>
      <c r="AZ33" s="3">
        <v>53729157</v>
      </c>
      <c r="BA33" s="3">
        <v>188791.85</v>
      </c>
      <c r="BB33" s="3">
        <v>13319095</v>
      </c>
      <c r="BC33" s="3">
        <f>AZ33-BA33+BB33</f>
        <v>66859460.149999999</v>
      </c>
      <c r="BD33" s="3">
        <f>BC33/1000</f>
        <v>66859.460149999999</v>
      </c>
      <c r="BF33" s="3">
        <v>57627906.820000008</v>
      </c>
      <c r="BG33" s="3">
        <v>239265.5</v>
      </c>
      <c r="BH33" s="3">
        <v>14019336.520000001</v>
      </c>
      <c r="BI33" s="3">
        <f>BF33-BG33+BH33</f>
        <v>71407977.840000004</v>
      </c>
      <c r="BJ33" s="3">
        <f>BI33/1000</f>
        <v>71407.977840000007</v>
      </c>
      <c r="BL33" s="3">
        <v>66742469.590000004</v>
      </c>
      <c r="BM33" s="3">
        <v>352825.12</v>
      </c>
      <c r="BN33" s="3">
        <v>14862727.99</v>
      </c>
      <c r="BO33" s="3">
        <f>BL33-BM33+BN33</f>
        <v>81252372.460000008</v>
      </c>
      <c r="BP33" s="3">
        <f>BO33/1000</f>
        <v>81252.372460000013</v>
      </c>
      <c r="BR33" s="3">
        <v>66182925.810000002</v>
      </c>
      <c r="BS33" s="3">
        <v>272461.45</v>
      </c>
      <c r="BT33" s="3">
        <v>15425035.879999999</v>
      </c>
      <c r="BU33" s="3">
        <f>BR33-BS33+BT33</f>
        <v>81335500.239999995</v>
      </c>
      <c r="BV33" s="3">
        <f>BU33/1000</f>
        <v>81335.500239999994</v>
      </c>
      <c r="BX33" s="3">
        <v>70122502.179999992</v>
      </c>
      <c r="BY33" s="3">
        <v>290907.64</v>
      </c>
      <c r="BZ33" s="3">
        <v>16186204.300000001</v>
      </c>
      <c r="CA33" s="3">
        <f>BX33-BY33+BZ33</f>
        <v>86017798.839999989</v>
      </c>
      <c r="CB33" s="3">
        <f>CA33/1000</f>
        <v>86017.798839999989</v>
      </c>
      <c r="CD33" s="3">
        <v>73208015.120000005</v>
      </c>
      <c r="CE33" s="3">
        <v>248172.9</v>
      </c>
      <c r="CF33" s="3">
        <v>16782565.960000001</v>
      </c>
      <c r="CG33" s="3">
        <f>CD33-CE33+CF33</f>
        <v>89742408.180000007</v>
      </c>
      <c r="CH33" s="3">
        <f>CG33/1000</f>
        <v>89742.408180000013</v>
      </c>
      <c r="CJ33" s="3">
        <v>73860560.449999988</v>
      </c>
      <c r="CK33" s="3">
        <v>207451.86000000002</v>
      </c>
      <c r="CL33" s="3">
        <v>17003099.139999997</v>
      </c>
      <c r="CM33" s="3">
        <f t="shared" si="23"/>
        <v>90656207.729999989</v>
      </c>
      <c r="CN33" s="3">
        <f t="shared" si="24"/>
        <v>90656.207729999995</v>
      </c>
      <c r="CP33" s="3">
        <v>72240280.339999989</v>
      </c>
      <c r="CQ33" s="3">
        <v>205304.14999999997</v>
      </c>
      <c r="CR33" s="3">
        <v>16962746.060000002</v>
      </c>
      <c r="CS33" s="3">
        <f t="shared" si="25"/>
        <v>88997722.249999985</v>
      </c>
      <c r="CT33" s="3">
        <f t="shared" si="26"/>
        <v>88997.722249999992</v>
      </c>
      <c r="CV33" s="3">
        <v>73636384.340000004</v>
      </c>
      <c r="CW33" s="3">
        <v>86506.66</v>
      </c>
      <c r="CX33" s="3">
        <v>16239624.780000001</v>
      </c>
      <c r="CY33" s="3">
        <f t="shared" si="13"/>
        <v>89789502.460000008</v>
      </c>
      <c r="CZ33" s="3">
        <f t="shared" si="14"/>
        <v>89789.502460000003</v>
      </c>
    </row>
    <row r="34" spans="1:104">
      <c r="A34" s="1" t="s">
        <v>25</v>
      </c>
      <c r="B34" s="1">
        <v>13118</v>
      </c>
      <c r="C34" s="1">
        <v>13595</v>
      </c>
      <c r="D34" s="1">
        <v>14591.176880000001</v>
      </c>
      <c r="E34" s="1">
        <v>19073.772310000004</v>
      </c>
      <c r="F34" s="1">
        <v>18177.159379999997</v>
      </c>
      <c r="G34" s="1">
        <v>18256.413530000002</v>
      </c>
      <c r="H34" s="1">
        <v>18478.848620000001</v>
      </c>
      <c r="I34" s="1">
        <v>17901.50088</v>
      </c>
      <c r="J34" s="1">
        <v>17808.53674</v>
      </c>
      <c r="K34" s="1">
        <v>16990.435400000002</v>
      </c>
      <c r="L34" s="240">
        <f>(K34-J34)*100/J34</f>
        <v>-4.5938717590561424</v>
      </c>
      <c r="M34" s="48">
        <f t="shared" si="10"/>
        <v>32.655258048320299</v>
      </c>
      <c r="N34" s="14">
        <v>4871</v>
      </c>
      <c r="O34" s="14">
        <v>726631.46221000003</v>
      </c>
      <c r="P34" s="27">
        <v>6036</v>
      </c>
      <c r="Q34" s="27">
        <v>6424</v>
      </c>
      <c r="R34" s="27">
        <v>7107</v>
      </c>
      <c r="S34" s="27">
        <v>7881</v>
      </c>
      <c r="T34" s="27">
        <v>8715</v>
      </c>
      <c r="U34" s="27">
        <v>8623</v>
      </c>
      <c r="V34" s="27">
        <v>9201</v>
      </c>
      <c r="W34" s="27">
        <f>8848.369+1268.194</f>
        <v>10116.563</v>
      </c>
      <c r="X34" s="36">
        <f>9325.718+1252.871</f>
        <v>10578.589</v>
      </c>
      <c r="Y34" s="14">
        <f>9431.212+1307.136</f>
        <v>10738.348</v>
      </c>
      <c r="Z34" s="14">
        <v>10842</v>
      </c>
      <c r="AA34" s="14">
        <v>10097</v>
      </c>
      <c r="AB34" s="1">
        <v>10366</v>
      </c>
      <c r="AC34" s="1">
        <v>11237</v>
      </c>
      <c r="AD34" s="1">
        <v>11980</v>
      </c>
      <c r="AE34" s="1">
        <v>12437.127089999998</v>
      </c>
      <c r="AF34" s="1">
        <v>12807.96227</v>
      </c>
      <c r="AG34" s="128">
        <v>10688652.489999998</v>
      </c>
      <c r="AH34" s="128">
        <v>145975.51</v>
      </c>
      <c r="AI34" s="128">
        <v>1894450.11</v>
      </c>
      <c r="AJ34" s="3">
        <f>AG34-AH34+AI34</f>
        <v>12437127.089999998</v>
      </c>
      <c r="AK34" s="3">
        <f>AJ34/1000</f>
        <v>12437.127089999998</v>
      </c>
      <c r="AL34" s="14"/>
      <c r="AM34" s="14">
        <v>10983336.840000005</v>
      </c>
      <c r="AN34" s="14">
        <v>135873.75</v>
      </c>
      <c r="AO34" s="14">
        <v>1960499.18</v>
      </c>
      <c r="AP34" s="14">
        <f t="shared" si="11"/>
        <v>12807962.270000005</v>
      </c>
      <c r="AQ34" s="14">
        <f t="shared" si="12"/>
        <v>12807.962270000005</v>
      </c>
      <c r="AR34" s="14"/>
      <c r="AS34" s="3">
        <v>11177046</v>
      </c>
      <c r="AT34" s="3">
        <v>125602.71</v>
      </c>
      <c r="AU34" s="3">
        <v>2066623.64</v>
      </c>
      <c r="AV34" s="3">
        <f>AS34-AT34+AU34</f>
        <v>13118066.93</v>
      </c>
      <c r="AW34" s="3">
        <f>AV34/1000</f>
        <v>13118.066929999999</v>
      </c>
      <c r="AZ34" s="3">
        <v>11559491</v>
      </c>
      <c r="BA34" s="3">
        <v>62545.01</v>
      </c>
      <c r="BB34" s="3">
        <v>2097608.31</v>
      </c>
      <c r="BC34" s="3">
        <f>AZ34-BA34+BB34</f>
        <v>13594554.300000001</v>
      </c>
      <c r="BD34" s="3">
        <f>BC34/1000</f>
        <v>13594.554300000002</v>
      </c>
      <c r="BF34" s="3">
        <v>12574071.270000001</v>
      </c>
      <c r="BG34" s="3">
        <v>137859.16</v>
      </c>
      <c r="BH34" s="3">
        <v>2154964.77</v>
      </c>
      <c r="BI34" s="3">
        <f>BF34-BG34+BH34</f>
        <v>14591176.880000001</v>
      </c>
      <c r="BJ34" s="3">
        <f>BI34/1000</f>
        <v>14591.176880000001</v>
      </c>
      <c r="BL34" s="3">
        <v>16813488.810000002</v>
      </c>
      <c r="BM34" s="3">
        <v>157309.98000000001</v>
      </c>
      <c r="BN34" s="3">
        <v>2417593.48</v>
      </c>
      <c r="BO34" s="3">
        <f>BL34-BM34+BN34</f>
        <v>19073772.310000002</v>
      </c>
      <c r="BP34" s="3">
        <f>BO34/1000</f>
        <v>19073.772310000004</v>
      </c>
      <c r="BR34" s="3">
        <v>15498743.710000001</v>
      </c>
      <c r="BS34" s="3">
        <v>174791.88</v>
      </c>
      <c r="BT34" s="3">
        <v>2853207.55</v>
      </c>
      <c r="BU34" s="3">
        <f>BR34-BS34+BT34</f>
        <v>18177159.379999999</v>
      </c>
      <c r="BV34" s="3">
        <f>BU34/1000</f>
        <v>18177.159379999997</v>
      </c>
      <c r="BX34" s="3">
        <v>15466459.170000002</v>
      </c>
      <c r="BY34" s="3">
        <v>182332.6</v>
      </c>
      <c r="BZ34" s="3">
        <v>2972286.96</v>
      </c>
      <c r="CA34" s="3">
        <f>BX34-BY34+BZ34</f>
        <v>18256413.530000001</v>
      </c>
      <c r="CB34" s="3">
        <f>CA34/1000</f>
        <v>18256.413530000002</v>
      </c>
      <c r="CD34" s="3">
        <v>15515337.880000001</v>
      </c>
      <c r="CE34" s="3">
        <v>206975.44</v>
      </c>
      <c r="CF34" s="3">
        <v>3170486.18</v>
      </c>
      <c r="CG34" s="3">
        <f>CD34-CE34+CF34</f>
        <v>18478848.620000001</v>
      </c>
      <c r="CH34" s="3">
        <f>CG34/1000</f>
        <v>18478.848620000001</v>
      </c>
      <c r="CJ34" s="3">
        <v>15008814.509999998</v>
      </c>
      <c r="CK34" s="3">
        <v>133061.4</v>
      </c>
      <c r="CL34" s="3">
        <v>3025747.7700000005</v>
      </c>
      <c r="CM34" s="3">
        <f t="shared" si="23"/>
        <v>17901500.879999999</v>
      </c>
      <c r="CN34" s="3">
        <f t="shared" si="24"/>
        <v>17901.50088</v>
      </c>
      <c r="CP34" s="3">
        <v>15007412.969999999</v>
      </c>
      <c r="CQ34" s="3">
        <v>158291.5</v>
      </c>
      <c r="CR34" s="3">
        <v>2959415.27</v>
      </c>
      <c r="CS34" s="3">
        <f t="shared" si="25"/>
        <v>17808536.739999998</v>
      </c>
      <c r="CT34" s="3">
        <f t="shared" si="26"/>
        <v>17808.53674</v>
      </c>
      <c r="CV34" s="3">
        <v>14159788.690000001</v>
      </c>
      <c r="CW34" s="3">
        <v>157513.5</v>
      </c>
      <c r="CX34" s="3">
        <v>2988160.21</v>
      </c>
      <c r="CY34" s="3">
        <f t="shared" si="13"/>
        <v>16990435.400000002</v>
      </c>
      <c r="CZ34" s="3">
        <f t="shared" si="14"/>
        <v>16990.435400000002</v>
      </c>
    </row>
    <row r="35" spans="1:104">
      <c r="L35" s="48"/>
      <c r="M35" s="48"/>
      <c r="O35" s="14">
        <v>42594.31820999999</v>
      </c>
      <c r="P35" s="27"/>
      <c r="Q35" s="27"/>
      <c r="R35" s="27"/>
      <c r="S35" s="27"/>
      <c r="T35" s="27"/>
      <c r="U35" s="27"/>
      <c r="V35" s="27"/>
      <c r="W35" s="27"/>
      <c r="X35" s="36"/>
      <c r="Y35" s="14"/>
      <c r="Z35" s="14"/>
      <c r="AA35" s="14"/>
      <c r="AB35" s="1"/>
      <c r="AC35" s="1"/>
      <c r="AD35" s="1"/>
      <c r="AE35" s="1"/>
      <c r="AF35" s="1"/>
      <c r="AG35" s="128"/>
      <c r="AH35" s="128"/>
      <c r="AI35" s="128"/>
      <c r="AL35" s="14"/>
      <c r="AM35" s="14"/>
      <c r="AN35" s="14"/>
      <c r="AO35" s="14"/>
      <c r="AP35" s="14"/>
      <c r="AQ35" s="14"/>
      <c r="AR35" s="14"/>
    </row>
    <row r="36" spans="1:104">
      <c r="A36" s="1" t="s">
        <v>26</v>
      </c>
      <c r="B36" s="1">
        <v>19379</v>
      </c>
      <c r="C36" s="1">
        <v>19245</v>
      </c>
      <c r="D36" s="1">
        <v>19894.834469999998</v>
      </c>
      <c r="E36" s="1">
        <v>23348.733909999999</v>
      </c>
      <c r="F36" s="1">
        <v>21293.73343</v>
      </c>
      <c r="G36" s="1">
        <v>21899.592769999999</v>
      </c>
      <c r="H36" s="1">
        <v>22974.026770000004</v>
      </c>
      <c r="I36" s="1">
        <v>23194.752090000002</v>
      </c>
      <c r="J36" s="1">
        <v>22465.776099999999</v>
      </c>
      <c r="K36" s="1">
        <v>23792.141109999997</v>
      </c>
      <c r="L36" s="240">
        <f>(K36-J36)*100/J36</f>
        <v>5.9039358537896121</v>
      </c>
      <c r="M36" s="48">
        <f t="shared" si="10"/>
        <v>26.930443832124858</v>
      </c>
      <c r="N36" s="14">
        <v>6545</v>
      </c>
      <c r="O36" s="14">
        <v>90656.207729999995</v>
      </c>
      <c r="P36" s="27">
        <v>7695</v>
      </c>
      <c r="Q36" s="27">
        <v>8886</v>
      </c>
      <c r="R36" s="27">
        <v>10038</v>
      </c>
      <c r="S36" s="27">
        <v>11614</v>
      </c>
      <c r="T36" s="27">
        <v>12131</v>
      </c>
      <c r="U36" s="27">
        <v>12072</v>
      </c>
      <c r="V36" s="27">
        <v>12248</v>
      </c>
      <c r="W36" s="27">
        <f>11352.991+1548.907</f>
        <v>12901.897999999999</v>
      </c>
      <c r="X36" s="36">
        <f>11858.172+1490.217</f>
        <v>13348.389000000001</v>
      </c>
      <c r="Y36" s="14">
        <f>12197.58+1607.957</f>
        <v>13805.537</v>
      </c>
      <c r="Z36" s="14">
        <v>14765</v>
      </c>
      <c r="AA36" s="14">
        <v>13698</v>
      </c>
      <c r="AB36" s="1">
        <v>14376</v>
      </c>
      <c r="AC36" s="1">
        <v>15163</v>
      </c>
      <c r="AD36" s="1">
        <v>16438</v>
      </c>
      <c r="AE36" s="1">
        <v>18114.520249999998</v>
      </c>
      <c r="AF36" s="1">
        <v>18744.235339999999</v>
      </c>
      <c r="AG36" s="128">
        <v>15830022.059999997</v>
      </c>
      <c r="AH36" s="128">
        <v>0</v>
      </c>
      <c r="AI36" s="128">
        <v>2284498.19</v>
      </c>
      <c r="AJ36" s="3">
        <f>AG36-AH36+AI36</f>
        <v>18114520.249999996</v>
      </c>
      <c r="AK36" s="3">
        <f>AJ36/1000</f>
        <v>18114.520249999998</v>
      </c>
      <c r="AL36" s="14"/>
      <c r="AM36" s="14">
        <v>16272180.680000005</v>
      </c>
      <c r="AN36" s="14">
        <v>0</v>
      </c>
      <c r="AO36" s="14">
        <v>2472054.66</v>
      </c>
      <c r="AP36" s="14">
        <f t="shared" si="11"/>
        <v>18744235.340000004</v>
      </c>
      <c r="AQ36" s="14">
        <f t="shared" si="12"/>
        <v>18744.235340000003</v>
      </c>
      <c r="AR36" s="14"/>
      <c r="AS36" s="3">
        <v>16710391</v>
      </c>
      <c r="AT36" s="3">
        <v>0</v>
      </c>
      <c r="AU36" s="3">
        <v>2668116.5499999998</v>
      </c>
      <c r="AV36" s="3">
        <f>AS36-AT36+AU36</f>
        <v>19378507.550000001</v>
      </c>
      <c r="AW36" s="3">
        <f>AV36/1000</f>
        <v>19378.507550000002</v>
      </c>
      <c r="AZ36" s="3">
        <v>16562937</v>
      </c>
      <c r="BA36" s="3">
        <v>0</v>
      </c>
      <c r="BB36" s="3">
        <v>2681994.6</v>
      </c>
      <c r="BC36" s="3">
        <f>AZ36-BA36+BB36</f>
        <v>19244931.600000001</v>
      </c>
      <c r="BD36" s="3">
        <f>BC36/1000</f>
        <v>19244.9316</v>
      </c>
      <c r="BF36" s="3">
        <v>17269091.98</v>
      </c>
      <c r="BG36" s="3">
        <v>0</v>
      </c>
      <c r="BH36" s="3">
        <v>2625742.4900000002</v>
      </c>
      <c r="BI36" s="3">
        <f>BF36-BG36+BH36</f>
        <v>19894834.469999999</v>
      </c>
      <c r="BJ36" s="3">
        <f>BI36/1000</f>
        <v>19894.834469999998</v>
      </c>
      <c r="BL36" s="3">
        <v>20492325.640000001</v>
      </c>
      <c r="BM36" s="3">
        <v>0</v>
      </c>
      <c r="BN36" s="3">
        <v>2856408.27</v>
      </c>
      <c r="BO36" s="3">
        <f>BL36-BM36+BN36</f>
        <v>23348733.91</v>
      </c>
      <c r="BP36" s="3">
        <f>BO36/1000</f>
        <v>23348.733909999999</v>
      </c>
      <c r="BR36" s="3">
        <v>18251104.039999999</v>
      </c>
      <c r="BS36" s="3">
        <v>42206.09</v>
      </c>
      <c r="BT36" s="3">
        <v>3084835.48</v>
      </c>
      <c r="BU36" s="3">
        <f>BR36-BS36+BT36</f>
        <v>21293733.43</v>
      </c>
      <c r="BV36" s="3">
        <f>BU36/1000</f>
        <v>21293.73343</v>
      </c>
      <c r="BX36" s="3">
        <v>18777031.43</v>
      </c>
      <c r="BY36" s="3">
        <v>0</v>
      </c>
      <c r="BZ36" s="3">
        <v>3122561.34</v>
      </c>
      <c r="CA36" s="3">
        <f>BX36-BY36+BZ36</f>
        <v>21899592.77</v>
      </c>
      <c r="CB36" s="3">
        <f>CA36/1000</f>
        <v>21899.592769999999</v>
      </c>
      <c r="CD36" s="3">
        <v>19722434.700000003</v>
      </c>
      <c r="CE36" s="3">
        <v>0</v>
      </c>
      <c r="CF36" s="3">
        <v>3251592.0700000003</v>
      </c>
      <c r="CG36" s="3">
        <f>CD36-CE36+CF36</f>
        <v>22974026.770000003</v>
      </c>
      <c r="CH36" s="3">
        <f>CG36/1000</f>
        <v>22974.026770000004</v>
      </c>
      <c r="CJ36" s="3">
        <v>19812675.990000002</v>
      </c>
      <c r="CK36" s="3">
        <v>2741.8</v>
      </c>
      <c r="CL36" s="3">
        <v>3384817.9000000004</v>
      </c>
      <c r="CM36" s="3">
        <f t="shared" ref="CM36:CM39" si="27">CJ36-CK36+CL36</f>
        <v>23194752.090000004</v>
      </c>
      <c r="CN36" s="3">
        <f t="shared" ref="CN36:CN39" si="28">CM36/1000</f>
        <v>23194.752090000002</v>
      </c>
      <c r="CP36" s="3">
        <v>18995163.91</v>
      </c>
      <c r="CQ36" s="3">
        <v>0</v>
      </c>
      <c r="CR36" s="3">
        <v>3470612.1900000004</v>
      </c>
      <c r="CS36" s="3">
        <f t="shared" ref="CS36:CS39" si="29">CP36-CQ36+CR36</f>
        <v>22465776.100000001</v>
      </c>
      <c r="CT36" s="3">
        <f t="shared" ref="CT36:CT39" si="30">CS36/1000</f>
        <v>22465.776100000003</v>
      </c>
      <c r="CV36" s="3">
        <v>20243142.649999995</v>
      </c>
      <c r="CW36" s="3">
        <v>0</v>
      </c>
      <c r="CX36" s="3">
        <v>3548998.46</v>
      </c>
      <c r="CY36" s="3">
        <f t="shared" si="13"/>
        <v>23792141.109999996</v>
      </c>
      <c r="CZ36" s="3">
        <f t="shared" si="14"/>
        <v>23792.141109999997</v>
      </c>
    </row>
    <row r="37" spans="1:104">
      <c r="A37" s="1" t="s">
        <v>27</v>
      </c>
      <c r="B37" s="1">
        <v>81541</v>
      </c>
      <c r="C37" s="1">
        <v>86553</v>
      </c>
      <c r="D37" s="1">
        <v>94978.24774999998</v>
      </c>
      <c r="E37" s="1">
        <v>112935.04634999998</v>
      </c>
      <c r="F37" s="1">
        <v>112137.9538</v>
      </c>
      <c r="G37" s="1">
        <v>115466.64014000003</v>
      </c>
      <c r="H37" s="1">
        <v>120629.38788999997</v>
      </c>
      <c r="I37" s="1">
        <v>120655.53354999998</v>
      </c>
      <c r="J37" s="1">
        <v>119584.87499</v>
      </c>
      <c r="K37" s="1">
        <v>121144.80624999999</v>
      </c>
      <c r="L37" s="240">
        <f>(K37-J37)*100/J37</f>
        <v>1.3044553168872259</v>
      </c>
      <c r="M37" s="48">
        <f t="shared" si="10"/>
        <v>56.223593280657141</v>
      </c>
      <c r="N37" s="14">
        <v>30549</v>
      </c>
      <c r="O37" s="14">
        <v>17901.50088</v>
      </c>
      <c r="P37" s="27">
        <v>36367</v>
      </c>
      <c r="Q37" s="27">
        <v>39203</v>
      </c>
      <c r="R37" s="27">
        <v>42168</v>
      </c>
      <c r="S37" s="27">
        <v>45748</v>
      </c>
      <c r="T37" s="27">
        <v>50020</v>
      </c>
      <c r="U37" s="27">
        <v>51549</v>
      </c>
      <c r="V37" s="27">
        <v>53042</v>
      </c>
      <c r="W37" s="27">
        <f>48911.459+6917.28</f>
        <v>55828.739000000001</v>
      </c>
      <c r="X37" s="36">
        <f>52668.1+7653.217</f>
        <v>60321.316999999995</v>
      </c>
      <c r="Y37" s="14">
        <f>53624.262+7786.114</f>
        <v>61410.376000000004</v>
      </c>
      <c r="Z37" s="14">
        <v>62469</v>
      </c>
      <c r="AA37" s="14">
        <v>58978</v>
      </c>
      <c r="AB37" s="1">
        <v>63803</v>
      </c>
      <c r="AC37" s="1">
        <v>67566</v>
      </c>
      <c r="AD37" s="1">
        <v>70270</v>
      </c>
      <c r="AE37" s="1">
        <v>74965.544699999999</v>
      </c>
      <c r="AF37" s="1">
        <v>77545.781470000002</v>
      </c>
      <c r="AG37" s="128">
        <v>63517198.660000004</v>
      </c>
      <c r="AH37" s="128">
        <v>146488.57999999999</v>
      </c>
      <c r="AI37" s="128">
        <v>11594834.620000001</v>
      </c>
      <c r="AJ37" s="3">
        <f>AG37-AH37+AI37</f>
        <v>74965544.700000003</v>
      </c>
      <c r="AK37" s="3">
        <f>AJ37/1000</f>
        <v>74965.544699999999</v>
      </c>
      <c r="AL37" s="14"/>
      <c r="AM37" s="14">
        <v>65577236.839999996</v>
      </c>
      <c r="AN37" s="14">
        <v>204346.88</v>
      </c>
      <c r="AO37" s="14">
        <v>12172891.51</v>
      </c>
      <c r="AP37" s="14">
        <f t="shared" si="11"/>
        <v>77545781.469999999</v>
      </c>
      <c r="AQ37" s="14">
        <f t="shared" si="12"/>
        <v>77545.781470000002</v>
      </c>
      <c r="AR37" s="14"/>
      <c r="AS37" s="3">
        <v>69064773</v>
      </c>
      <c r="AT37" s="3">
        <v>47394.22</v>
      </c>
      <c r="AU37" s="3">
        <v>12523366</v>
      </c>
      <c r="AV37" s="3">
        <f>AS37-AT37+AU37</f>
        <v>81540744.780000001</v>
      </c>
      <c r="AW37" s="3">
        <f>AV37/1000</f>
        <v>81540.744780000008</v>
      </c>
      <c r="AZ37" s="3">
        <v>73259897</v>
      </c>
      <c r="BA37" s="3">
        <v>0</v>
      </c>
      <c r="BB37" s="3">
        <v>13293569</v>
      </c>
      <c r="BC37" s="3">
        <f>AZ37-BA37+BB37</f>
        <v>86553466</v>
      </c>
      <c r="BD37" s="3">
        <f>BC37/1000</f>
        <v>86553.466</v>
      </c>
      <c r="BF37" s="3">
        <v>80184177.139999986</v>
      </c>
      <c r="BG37" s="3">
        <v>0</v>
      </c>
      <c r="BH37" s="3">
        <v>14794070.609999999</v>
      </c>
      <c r="BI37" s="3">
        <f>BF37-BG37+BH37</f>
        <v>94978247.749999985</v>
      </c>
      <c r="BJ37" s="3">
        <f>BI37/1000</f>
        <v>94978.24774999998</v>
      </c>
      <c r="BL37" s="3">
        <v>97461260.249999985</v>
      </c>
      <c r="BM37" s="3">
        <v>0</v>
      </c>
      <c r="BN37" s="3">
        <v>15473786.1</v>
      </c>
      <c r="BO37" s="3">
        <f>BL37-BM37+BN37</f>
        <v>112935046.34999998</v>
      </c>
      <c r="BP37" s="3">
        <f>BO37/1000</f>
        <v>112935.04634999998</v>
      </c>
      <c r="BR37" s="3">
        <v>94137875.390000001</v>
      </c>
      <c r="BS37" s="3">
        <v>0</v>
      </c>
      <c r="BT37" s="3">
        <v>18000078.41</v>
      </c>
      <c r="BU37" s="3">
        <f>BR37-BS37+BT37</f>
        <v>112137953.8</v>
      </c>
      <c r="BV37" s="3">
        <f>BU37/1000</f>
        <v>112137.9538</v>
      </c>
      <c r="BX37" s="3">
        <v>96936013.340000033</v>
      </c>
      <c r="BY37" s="3">
        <v>0</v>
      </c>
      <c r="BZ37" s="3">
        <v>18530626.799999997</v>
      </c>
      <c r="CA37" s="3">
        <f>BX37-BY37+BZ37</f>
        <v>115466640.14000003</v>
      </c>
      <c r="CB37" s="3">
        <f>CA37/1000</f>
        <v>115466.64014000003</v>
      </c>
      <c r="CD37" s="3">
        <v>100087632.62999997</v>
      </c>
      <c r="CE37" s="3">
        <v>0</v>
      </c>
      <c r="CF37" s="3">
        <v>20541755.260000002</v>
      </c>
      <c r="CG37" s="3">
        <f>CD37-CE37+CF37</f>
        <v>120629387.88999997</v>
      </c>
      <c r="CH37" s="3">
        <f>CG37/1000</f>
        <v>120629.38788999997</v>
      </c>
      <c r="CJ37" s="3">
        <v>100264071.90999998</v>
      </c>
      <c r="CK37" s="3">
        <v>0</v>
      </c>
      <c r="CL37" s="3">
        <v>20391461.640000001</v>
      </c>
      <c r="CM37" s="3">
        <f t="shared" si="27"/>
        <v>120655533.54999998</v>
      </c>
      <c r="CN37" s="3">
        <f t="shared" si="28"/>
        <v>120655.53354999998</v>
      </c>
      <c r="CP37" s="3">
        <v>99767382.320000008</v>
      </c>
      <c r="CQ37" s="3">
        <v>0</v>
      </c>
      <c r="CR37" s="3">
        <v>19817492.669999998</v>
      </c>
      <c r="CS37" s="3">
        <f t="shared" si="29"/>
        <v>119584874.99000001</v>
      </c>
      <c r="CT37" s="3">
        <f t="shared" si="30"/>
        <v>119584.87499000001</v>
      </c>
      <c r="CV37" s="3">
        <v>100934056.25999999</v>
      </c>
      <c r="CW37" s="3">
        <v>0</v>
      </c>
      <c r="CX37" s="3">
        <v>20210749.990000002</v>
      </c>
      <c r="CY37" s="3">
        <f t="shared" si="13"/>
        <v>121144806.25</v>
      </c>
      <c r="CZ37" s="3">
        <f t="shared" si="14"/>
        <v>121144.80624999999</v>
      </c>
    </row>
    <row r="38" spans="1:104">
      <c r="A38" s="1" t="s">
        <v>28</v>
      </c>
      <c r="B38" s="1">
        <v>62024</v>
      </c>
      <c r="C38" s="1">
        <v>64944</v>
      </c>
      <c r="D38" s="1">
        <v>69498.167709999994</v>
      </c>
      <c r="E38" s="1">
        <v>82447.33878000002</v>
      </c>
      <c r="F38" s="1">
        <v>81564.002810000005</v>
      </c>
      <c r="G38" s="1">
        <v>85924.147010000001</v>
      </c>
      <c r="H38" s="1">
        <v>87654.664720000001</v>
      </c>
      <c r="I38" s="1">
        <v>84222.865999999995</v>
      </c>
      <c r="J38" s="1">
        <v>82563.791740000001</v>
      </c>
      <c r="K38" s="1">
        <v>84331.800169999988</v>
      </c>
      <c r="L38" s="240">
        <f>(K38-J38)*100/J38</f>
        <v>2.141384731417844</v>
      </c>
      <c r="M38" s="48">
        <f t="shared" si="10"/>
        <v>43.907436849751527</v>
      </c>
      <c r="N38" s="14">
        <v>18393</v>
      </c>
      <c r="O38" s="14"/>
      <c r="P38" s="27">
        <v>22062</v>
      </c>
      <c r="Q38" s="27">
        <v>24693</v>
      </c>
      <c r="R38" s="27">
        <v>27631</v>
      </c>
      <c r="S38" s="27">
        <v>30530</v>
      </c>
      <c r="T38" s="27">
        <v>34404</v>
      </c>
      <c r="U38" s="27">
        <v>34980</v>
      </c>
      <c r="V38" s="27">
        <v>36781</v>
      </c>
      <c r="W38" s="27">
        <f>33634.569+4821.776</f>
        <v>38456.345000000001</v>
      </c>
      <c r="X38" s="36">
        <f>36060.569+5115.419</f>
        <v>41175.988000000005</v>
      </c>
      <c r="Y38" s="14">
        <f>36174.63+5298.006</f>
        <v>41472.635999999999</v>
      </c>
      <c r="Z38" s="14">
        <v>44100</v>
      </c>
      <c r="AA38" s="14">
        <v>42830</v>
      </c>
      <c r="AB38" s="1">
        <v>46597</v>
      </c>
      <c r="AC38" s="1">
        <v>49291.05</v>
      </c>
      <c r="AD38" s="1">
        <v>53435</v>
      </c>
      <c r="AE38" s="1">
        <v>56261.901410000013</v>
      </c>
      <c r="AF38" s="1">
        <v>58601.419090000003</v>
      </c>
      <c r="AG38" s="128">
        <v>47193621.390000008</v>
      </c>
      <c r="AH38" s="128">
        <v>264769</v>
      </c>
      <c r="AI38" s="128">
        <v>9333049.0199999996</v>
      </c>
      <c r="AJ38" s="3">
        <f>AG38-AH38+AI38</f>
        <v>56261901.410000011</v>
      </c>
      <c r="AK38" s="3">
        <f>AJ38/1000</f>
        <v>56261.901410000013</v>
      </c>
      <c r="AL38" s="14"/>
      <c r="AM38" s="14">
        <v>49052633.889999993</v>
      </c>
      <c r="AN38" s="14">
        <v>279273.12</v>
      </c>
      <c r="AO38" s="14">
        <v>9828058.3199999984</v>
      </c>
      <c r="AP38" s="14">
        <f t="shared" si="11"/>
        <v>58601419.089999996</v>
      </c>
      <c r="AQ38" s="14">
        <f t="shared" si="12"/>
        <v>58601.419089999996</v>
      </c>
      <c r="AR38" s="14"/>
      <c r="AS38" s="3">
        <v>51724652</v>
      </c>
      <c r="AT38" s="3">
        <v>252683.2</v>
      </c>
      <c r="AU38" s="3">
        <v>10551701</v>
      </c>
      <c r="AV38" s="3">
        <f>AS38-AT38+AU38</f>
        <v>62023669.799999997</v>
      </c>
      <c r="AW38" s="3">
        <f>AV38/1000</f>
        <v>62023.669799999996</v>
      </c>
      <c r="AZ38" s="3">
        <v>53874438</v>
      </c>
      <c r="BA38" s="3">
        <v>295625.24</v>
      </c>
      <c r="BB38" s="3">
        <v>11364746</v>
      </c>
      <c r="BC38" s="3">
        <f>AZ38-BA38+BB38</f>
        <v>64943558.759999998</v>
      </c>
      <c r="BD38" s="3">
        <f>BC38/1000</f>
        <v>64943.55876</v>
      </c>
      <c r="BF38" s="3">
        <v>57629456.659999996</v>
      </c>
      <c r="BG38" s="3">
        <v>367953.4</v>
      </c>
      <c r="BH38" s="3">
        <v>12236664.449999999</v>
      </c>
      <c r="BI38" s="3">
        <f>BF38-BG38+BH38</f>
        <v>69498167.709999993</v>
      </c>
      <c r="BJ38" s="3">
        <f>BI38/1000</f>
        <v>69498.167709999994</v>
      </c>
      <c r="BL38" s="3">
        <v>69320626.750000015</v>
      </c>
      <c r="BM38" s="3">
        <v>499607.19</v>
      </c>
      <c r="BN38" s="3">
        <v>13626319.220000001</v>
      </c>
      <c r="BO38" s="3">
        <f>BL38-BM38+BN38</f>
        <v>82447338.780000016</v>
      </c>
      <c r="BP38" s="3">
        <f>BO38/1000</f>
        <v>82447.33878000002</v>
      </c>
      <c r="BR38" s="3">
        <v>66784094.740000002</v>
      </c>
      <c r="BS38" s="3">
        <v>517500.92</v>
      </c>
      <c r="BT38" s="3">
        <v>15297408.990000002</v>
      </c>
      <c r="BU38" s="3">
        <f>BR38-BS38+BT38</f>
        <v>81564002.810000002</v>
      </c>
      <c r="BV38" s="3">
        <f>BU38/1000</f>
        <v>81564.002810000005</v>
      </c>
      <c r="BX38" s="3">
        <v>70340938.469999999</v>
      </c>
      <c r="BY38" s="3">
        <v>570089.55000000005</v>
      </c>
      <c r="BZ38" s="3">
        <v>16153298.089999998</v>
      </c>
      <c r="CA38" s="3">
        <f>BX38-BY38+BZ38</f>
        <v>85924147.010000005</v>
      </c>
      <c r="CB38" s="3">
        <f>CA38/1000</f>
        <v>85924.147010000001</v>
      </c>
      <c r="CD38" s="3">
        <v>71132385.730000004</v>
      </c>
      <c r="CE38" s="3">
        <v>373082.86</v>
      </c>
      <c r="CF38" s="3">
        <v>16895361.849999998</v>
      </c>
      <c r="CG38" s="3">
        <f>CD38-CE38+CF38</f>
        <v>87654664.719999999</v>
      </c>
      <c r="CH38" s="3">
        <f>CG38/1000</f>
        <v>87654.664720000001</v>
      </c>
      <c r="CJ38" s="3">
        <v>67581387.539999992</v>
      </c>
      <c r="CK38" s="3">
        <v>0</v>
      </c>
      <c r="CL38" s="3">
        <v>16641478.460000001</v>
      </c>
      <c r="CM38" s="3">
        <f t="shared" si="27"/>
        <v>84222866</v>
      </c>
      <c r="CN38" s="3">
        <f t="shared" si="28"/>
        <v>84222.865999999995</v>
      </c>
      <c r="CP38" s="3">
        <v>66298497.480000004</v>
      </c>
      <c r="CQ38" s="3">
        <v>0</v>
      </c>
      <c r="CR38" s="3">
        <v>16265294.259999998</v>
      </c>
      <c r="CS38" s="3">
        <f t="shared" si="29"/>
        <v>82563791.74000001</v>
      </c>
      <c r="CT38" s="3">
        <f t="shared" si="30"/>
        <v>82563.791740000015</v>
      </c>
      <c r="CV38" s="3">
        <v>67649687.859999985</v>
      </c>
      <c r="CW38" s="3">
        <v>0</v>
      </c>
      <c r="CX38" s="3">
        <v>16682112.309999999</v>
      </c>
      <c r="CY38" s="3">
        <f t="shared" si="13"/>
        <v>84331800.169999987</v>
      </c>
      <c r="CZ38" s="3">
        <f t="shared" si="14"/>
        <v>84331.800169999988</v>
      </c>
    </row>
    <row r="39" spans="1:104">
      <c r="A39" s="17" t="s">
        <v>29</v>
      </c>
      <c r="B39" s="1">
        <v>35321</v>
      </c>
      <c r="C39" s="1">
        <v>38245</v>
      </c>
      <c r="D39" s="1">
        <v>40676.46020999999</v>
      </c>
      <c r="E39" s="1">
        <v>49534.145600000011</v>
      </c>
      <c r="F39" s="1">
        <v>48217.960710000007</v>
      </c>
      <c r="G39" s="1">
        <v>50616.869119999996</v>
      </c>
      <c r="H39" s="1">
        <v>50436.867810000003</v>
      </c>
      <c r="I39" s="1">
        <v>50699.377260000008</v>
      </c>
      <c r="J39" s="1">
        <v>50436.241959999999</v>
      </c>
      <c r="K39" s="1">
        <v>50462.924849999996</v>
      </c>
      <c r="L39" s="240">
        <f>(K39-J39)*100/J39</f>
        <v>5.2904199367506573E-2</v>
      </c>
      <c r="M39" s="48">
        <f t="shared" si="10"/>
        <v>51.49010126441339</v>
      </c>
      <c r="N39" s="14">
        <v>10062</v>
      </c>
      <c r="O39" s="14">
        <v>23194.752090000002</v>
      </c>
      <c r="P39" s="27">
        <v>12947</v>
      </c>
      <c r="Q39" s="27">
        <v>13674</v>
      </c>
      <c r="R39" s="27">
        <v>14827</v>
      </c>
      <c r="S39" s="27">
        <v>16411</v>
      </c>
      <c r="T39" s="27">
        <v>17986</v>
      </c>
      <c r="U39" s="27">
        <v>18649</v>
      </c>
      <c r="V39" s="27">
        <v>19563</v>
      </c>
      <c r="W39" s="27">
        <f>18189.896+2156.269</f>
        <v>20346.165000000001</v>
      </c>
      <c r="X39" s="36">
        <f>19273.581+2416.267</f>
        <v>21689.847999999998</v>
      </c>
      <c r="Y39" s="14">
        <f>19586.712+2528.625</f>
        <v>22115.337</v>
      </c>
      <c r="Z39" s="14">
        <v>23537</v>
      </c>
      <c r="AA39" s="14">
        <v>22792</v>
      </c>
      <c r="AB39" s="1">
        <v>24801</v>
      </c>
      <c r="AC39" s="1">
        <v>26074</v>
      </c>
      <c r="AD39" s="1">
        <v>28571</v>
      </c>
      <c r="AE39" s="1">
        <v>31160.787850000001</v>
      </c>
      <c r="AF39" s="1">
        <v>33311.037770000003</v>
      </c>
      <c r="AG39" s="129">
        <v>26893897.099999998</v>
      </c>
      <c r="AH39" s="129">
        <v>205777.65</v>
      </c>
      <c r="AI39" s="129">
        <v>4472668.4000000004</v>
      </c>
      <c r="AJ39" s="3">
        <f>AG39-AH39+AI39</f>
        <v>31160787.850000001</v>
      </c>
      <c r="AK39" s="3">
        <f>AJ39/1000</f>
        <v>31160.787850000001</v>
      </c>
      <c r="AL39" s="14"/>
      <c r="AM39" s="14">
        <v>28599298.190000005</v>
      </c>
      <c r="AN39" s="14">
        <v>219109.03</v>
      </c>
      <c r="AO39" s="14">
        <v>4930848.6099999994</v>
      </c>
      <c r="AP39" s="14">
        <f t="shared" si="11"/>
        <v>33311037.770000003</v>
      </c>
      <c r="AQ39" s="14">
        <f t="shared" si="12"/>
        <v>33311.037770000003</v>
      </c>
      <c r="AR39" s="14"/>
      <c r="AS39" s="3">
        <v>30256273</v>
      </c>
      <c r="AT39" s="3">
        <v>188205.97</v>
      </c>
      <c r="AU39" s="3">
        <v>5253347.99</v>
      </c>
      <c r="AV39" s="3">
        <f>AS39-AT39+AU39</f>
        <v>35321415.020000003</v>
      </c>
      <c r="AW39" s="3">
        <f>AV39/1000</f>
        <v>35321.41502</v>
      </c>
      <c r="AZ39" s="3">
        <v>32448352</v>
      </c>
      <c r="BA39" s="3">
        <v>190222.76</v>
      </c>
      <c r="BB39" s="3">
        <v>5986886</v>
      </c>
      <c r="BC39" s="3">
        <f>AZ39-BA39+BB39</f>
        <v>38245015.239999995</v>
      </c>
      <c r="BD39" s="3">
        <f>BC39/1000</f>
        <v>38245.015239999993</v>
      </c>
      <c r="BF39" s="3">
        <v>34213400.479999989</v>
      </c>
      <c r="BG39" s="3">
        <v>222145.58</v>
      </c>
      <c r="BH39" s="3">
        <v>6685205.3100000005</v>
      </c>
      <c r="BI39" s="3">
        <f>BF39-BG39+BH39</f>
        <v>40676460.209999993</v>
      </c>
      <c r="BJ39" s="3">
        <f>BI39/1000</f>
        <v>40676.46020999999</v>
      </c>
      <c r="BL39" s="3">
        <v>42312406.960000008</v>
      </c>
      <c r="BM39" s="3">
        <v>306474.21000000002</v>
      </c>
      <c r="BN39" s="3">
        <v>7528212.8499999996</v>
      </c>
      <c r="BO39" s="3">
        <f>BL39-BM39+BN39</f>
        <v>49534145.600000009</v>
      </c>
      <c r="BP39" s="3">
        <f>BO39/1000</f>
        <v>49534.145600000011</v>
      </c>
      <c r="BR39" s="3">
        <v>39976099.74000001</v>
      </c>
      <c r="BS39" s="3">
        <v>236472.06</v>
      </c>
      <c r="BT39" s="3">
        <v>8478333.0299999993</v>
      </c>
      <c r="BU39" s="3">
        <f>BR39-BS39+BT39</f>
        <v>48217960.710000008</v>
      </c>
      <c r="BV39" s="3">
        <f>BU39/1000</f>
        <v>48217.960710000007</v>
      </c>
      <c r="BX39" s="3">
        <v>41966312.780000001</v>
      </c>
      <c r="BY39" s="3">
        <v>261407.09</v>
      </c>
      <c r="BZ39" s="3">
        <v>8911963.4299999997</v>
      </c>
      <c r="CA39" s="3">
        <f>BX39-BY39+BZ39</f>
        <v>50616869.119999997</v>
      </c>
      <c r="CB39" s="3">
        <f>CA39/1000</f>
        <v>50616.869119999996</v>
      </c>
      <c r="CD39" s="3">
        <v>41418766.350000009</v>
      </c>
      <c r="CE39" s="3">
        <v>244184.13</v>
      </c>
      <c r="CF39" s="3">
        <v>9262285.5899999999</v>
      </c>
      <c r="CG39" s="3">
        <f>CD39-CE39+CF39</f>
        <v>50436867.810000002</v>
      </c>
      <c r="CH39" s="3">
        <f>CG39/1000</f>
        <v>50436.867810000003</v>
      </c>
      <c r="CJ39" s="3">
        <v>41541057.800000004</v>
      </c>
      <c r="CK39" s="3">
        <v>223526.12</v>
      </c>
      <c r="CL39" s="3">
        <v>9381845.5800000001</v>
      </c>
      <c r="CM39" s="3">
        <f t="shared" si="27"/>
        <v>50699377.260000005</v>
      </c>
      <c r="CN39" s="3">
        <f t="shared" si="28"/>
        <v>50699.377260000008</v>
      </c>
      <c r="CP39" s="3">
        <v>41309494.790000007</v>
      </c>
      <c r="CQ39" s="3">
        <v>241964.12</v>
      </c>
      <c r="CR39" s="3">
        <v>9368711.290000001</v>
      </c>
      <c r="CS39" s="3">
        <f t="shared" si="29"/>
        <v>50436241.960000008</v>
      </c>
      <c r="CT39" s="3">
        <f t="shared" si="30"/>
        <v>50436.241960000007</v>
      </c>
      <c r="CV39" s="3">
        <v>41392538.259999998</v>
      </c>
      <c r="CW39" s="3">
        <v>249196.64</v>
      </c>
      <c r="CX39" s="3">
        <v>9319583.2300000004</v>
      </c>
      <c r="CY39" s="3">
        <f t="shared" si="13"/>
        <v>50462924.849999994</v>
      </c>
      <c r="CZ39" s="3">
        <f t="shared" si="14"/>
        <v>50462.924849999996</v>
      </c>
    </row>
    <row r="40" spans="1:104">
      <c r="A40" s="1" t="s">
        <v>294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>
        <v>120655.53354999998</v>
      </c>
      <c r="P40" s="18"/>
      <c r="Q40" s="18"/>
      <c r="R40" s="18"/>
      <c r="W40" s="18"/>
      <c r="X40" s="7"/>
      <c r="Y40" s="7"/>
      <c r="AN40" s="14"/>
    </row>
    <row r="41" spans="1:104">
      <c r="O41" s="14">
        <v>84222.865999999995</v>
      </c>
      <c r="P41" s="14"/>
      <c r="Q41" s="14"/>
      <c r="R41" s="14"/>
      <c r="W41" s="14"/>
      <c r="X41" s="14"/>
      <c r="Y41" s="14"/>
      <c r="AN41" s="14"/>
    </row>
    <row r="42" spans="1:104">
      <c r="O42" s="14">
        <v>50699.377260000008</v>
      </c>
      <c r="P42" s="14"/>
      <c r="Q42" s="14"/>
      <c r="W42" s="14"/>
      <c r="X42" s="14"/>
      <c r="Y42" s="14"/>
    </row>
    <row r="43" spans="1:104">
      <c r="O43" s="14"/>
      <c r="P43" s="14"/>
      <c r="Q43" s="14"/>
      <c r="W43" s="14"/>
      <c r="X43" s="14"/>
      <c r="Y43" s="14"/>
    </row>
    <row r="44" spans="1:104">
      <c r="O44" s="14"/>
      <c r="P44" s="14"/>
      <c r="Q44" s="14"/>
      <c r="W44" s="14"/>
      <c r="X44" s="14"/>
      <c r="Y44" s="14"/>
    </row>
    <row r="45" spans="1:104">
      <c r="O45" s="14"/>
      <c r="P45" s="14"/>
      <c r="Q45" s="14"/>
      <c r="W45" s="14"/>
      <c r="X45" s="14"/>
      <c r="Y45" s="14"/>
    </row>
    <row r="46" spans="1:104">
      <c r="O46" s="14"/>
      <c r="P46" s="14"/>
      <c r="Q46" s="14"/>
      <c r="W46" s="14"/>
      <c r="X46" s="14"/>
      <c r="Y46" s="14"/>
    </row>
    <row r="47" spans="1:104">
      <c r="W47" s="14"/>
      <c r="X47" s="14"/>
      <c r="Y47" s="14"/>
    </row>
    <row r="48" spans="1:104">
      <c r="W48" s="14"/>
      <c r="X48" s="14"/>
      <c r="Y48" s="14"/>
    </row>
    <row r="49" spans="23:25">
      <c r="W49" s="14"/>
      <c r="X49" s="14"/>
      <c r="Y49" s="14"/>
    </row>
    <row r="50" spans="23:25">
      <c r="W50" s="14"/>
      <c r="X50" s="14"/>
      <c r="Y50" s="14"/>
    </row>
    <row r="51" spans="23:25">
      <c r="W51" s="14"/>
      <c r="X51" s="14"/>
      <c r="Y51" s="14"/>
    </row>
  </sheetData>
  <sheetProtection password="CAF5" sheet="1" objects="1" scenarios="1"/>
  <mergeCells count="8">
    <mergeCell ref="A4:M4"/>
    <mergeCell ref="AZ6:BB6"/>
    <mergeCell ref="AZ7:BA7"/>
    <mergeCell ref="BB7:BB9"/>
    <mergeCell ref="AZ5:BC5"/>
    <mergeCell ref="AG6:AI6"/>
    <mergeCell ref="AG7:AH7"/>
    <mergeCell ref="AI7:AI9"/>
  </mergeCells>
  <phoneticPr fontId="2" type="noConversion"/>
  <printOptions horizontalCentered="1"/>
  <pageMargins left="0.48" right="0.45" top="1" bottom="1" header="0.5" footer="0.5"/>
  <pageSetup scale="77" orientation="landscape" horizontalDpi="4294967292" verticalDpi="4294967292" r:id="rId1"/>
  <headerFooter scaleWithDoc="0" alignWithMargins="0">
    <oddFooter>&amp;L&amp;"Arial,Italic"&amp;10MSDE - LFRO  12 / 2014&amp;C&amp;"Arial,Regular"&amp;10- 11 -&amp;R&amp;"Arial,Italic"&amp;10Selected Financial Data - Part 4</oddFooter>
  </headerFooter>
  <rowBreaks count="1" manualBreakCount="1">
    <brk id="41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CY46"/>
  <sheetViews>
    <sheetView workbookViewId="0"/>
  </sheetViews>
  <sheetFormatPr defaultColWidth="10" defaultRowHeight="12.75"/>
  <cols>
    <col min="1" max="1" width="12.875" style="1" customWidth="1"/>
    <col min="2" max="11" width="12.625" style="1" customWidth="1"/>
    <col min="12" max="12" width="8.375" style="1" customWidth="1"/>
    <col min="13" max="13" width="8.125" style="1" customWidth="1"/>
    <col min="14" max="14" width="9.625" style="1" customWidth="1"/>
    <col min="15" max="15" width="9.375" style="1" customWidth="1"/>
    <col min="16" max="24" width="10.125" style="1" customWidth="1"/>
    <col min="25" max="25" width="13.25" style="1" customWidth="1"/>
    <col min="26" max="26" width="11.25" style="1" bestFit="1" customWidth="1"/>
    <col min="27" max="29" width="11.125" style="1" customWidth="1"/>
    <col min="30" max="30" width="8.375" style="1" bestFit="1" customWidth="1"/>
    <col min="31" max="32" width="8.375" style="1" customWidth="1"/>
    <col min="33" max="33" width="11.875" style="1" customWidth="1"/>
    <col min="34" max="34" width="10" style="1" customWidth="1"/>
    <col min="35" max="35" width="12.125" style="1" customWidth="1"/>
    <col min="36" max="36" width="11.625" style="1" customWidth="1"/>
    <col min="37" max="37" width="8.375" style="1" customWidth="1"/>
    <col min="38" max="38" width="6.25" style="1" customWidth="1"/>
    <col min="39" max="39" width="9" style="1" customWidth="1"/>
    <col min="40" max="41" width="10" style="1" customWidth="1"/>
    <col min="42" max="43" width="10.875" style="1" customWidth="1"/>
    <col min="44" max="44" width="8.375" style="1" customWidth="1"/>
    <col min="45" max="45" width="11.25" style="3" bestFit="1" customWidth="1"/>
    <col min="46" max="46" width="10.875" style="3" customWidth="1"/>
    <col min="47" max="47" width="12.375" style="3" customWidth="1"/>
    <col min="48" max="48" width="11.875" style="3" customWidth="1"/>
    <col min="49" max="50" width="10.125" style="3" customWidth="1"/>
    <col min="51" max="51" width="11.25" style="3" bestFit="1" customWidth="1"/>
    <col min="52" max="52" width="10" style="3" customWidth="1"/>
    <col min="53" max="53" width="11.625" style="3" customWidth="1"/>
    <col min="54" max="54" width="12.125" style="3" customWidth="1"/>
    <col min="55" max="55" width="14.125" style="3" customWidth="1"/>
    <col min="56" max="56" width="10" style="3" customWidth="1"/>
    <col min="57" max="57" width="11.25" style="3" bestFit="1" customWidth="1"/>
    <col min="58" max="59" width="10" style="3" customWidth="1"/>
    <col min="60" max="60" width="11.5" style="3" bestFit="1" customWidth="1"/>
    <col min="61" max="62" width="10" style="3" customWidth="1"/>
    <col min="63" max="63" width="11.5" style="3" customWidth="1"/>
    <col min="64" max="65" width="10" style="3" customWidth="1"/>
    <col min="66" max="66" width="12.875" style="3" customWidth="1"/>
    <col min="67" max="68" width="10" style="3" customWidth="1"/>
    <col min="69" max="69" width="11.25" style="3" bestFit="1" customWidth="1"/>
    <col min="70" max="71" width="10" style="3" customWidth="1"/>
    <col min="72" max="72" width="11.5" style="3" bestFit="1" customWidth="1"/>
    <col min="73" max="73" width="10.125" style="3" bestFit="1" customWidth="1"/>
    <col min="74" max="74" width="10" style="3"/>
    <col min="75" max="75" width="11.25" style="3" bestFit="1" customWidth="1"/>
    <col min="76" max="76" width="10.125" style="3" bestFit="1" customWidth="1"/>
    <col min="77" max="77" width="10.25" style="3" bestFit="1" customWidth="1"/>
    <col min="78" max="78" width="11.5" style="3" bestFit="1" customWidth="1"/>
    <col min="79" max="79" width="10.125" style="3" bestFit="1" customWidth="1"/>
    <col min="80" max="80" width="10" style="3"/>
    <col min="81" max="81" width="11.625" style="3" customWidth="1"/>
    <col min="82" max="82" width="10.125" style="3" bestFit="1" customWidth="1"/>
    <col min="83" max="83" width="10.375" style="3" bestFit="1" customWidth="1"/>
    <col min="84" max="84" width="11.5" style="3" bestFit="1" customWidth="1"/>
    <col min="85" max="85" width="10.125" style="3" bestFit="1" customWidth="1"/>
    <col min="86" max="86" width="2.75" style="3" customWidth="1"/>
    <col min="87" max="87" width="10.875" style="3" customWidth="1"/>
    <col min="88" max="89" width="10" style="3"/>
    <col min="90" max="90" width="12.875" style="3" customWidth="1"/>
    <col min="91" max="91" width="10" style="3"/>
    <col min="92" max="92" width="7.125" style="3" customWidth="1"/>
    <col min="93" max="93" width="12.375" style="3" customWidth="1"/>
    <col min="94" max="95" width="10" style="3"/>
    <col min="96" max="96" width="12.75" style="3" customWidth="1"/>
    <col min="97" max="16384" width="10" style="3"/>
  </cols>
  <sheetData>
    <row r="1" spans="1:103" ht="15.75" customHeight="1">
      <c r="A1" s="235" t="s">
        <v>88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10"/>
      <c r="O1" s="10"/>
      <c r="P1" s="2"/>
      <c r="Q1" s="2"/>
      <c r="R1" s="2"/>
    </row>
    <row r="2" spans="1:103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68"/>
      <c r="O2" s="68"/>
      <c r="P2" s="2"/>
      <c r="Q2" s="2"/>
      <c r="R2" s="2"/>
      <c r="W2" s="68"/>
      <c r="X2" s="68"/>
      <c r="Y2" s="68"/>
    </row>
    <row r="3" spans="1:103" s="221" customFormat="1">
      <c r="A3" s="115" t="s">
        <v>52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99"/>
      <c r="O3" s="68"/>
      <c r="P3" s="68"/>
      <c r="Q3" s="68"/>
      <c r="R3" s="68"/>
      <c r="S3" s="68"/>
      <c r="T3" s="68"/>
      <c r="U3" s="68"/>
      <c r="V3" s="68"/>
      <c r="W3" s="199"/>
      <c r="X3" s="199"/>
      <c r="Y3" s="199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</row>
    <row r="4" spans="1:103">
      <c r="A4" s="405" t="s">
        <v>367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115"/>
      <c r="O4" s="199"/>
      <c r="P4" s="199"/>
      <c r="Q4" s="10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1"/>
    </row>
    <row r="5" spans="1:103" ht="13.5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AG5" s="1" t="s">
        <v>166</v>
      </c>
      <c r="AM5" s="1" t="s">
        <v>177</v>
      </c>
      <c r="AS5" s="3" t="s">
        <v>193</v>
      </c>
      <c r="AY5" s="3" t="s">
        <v>207</v>
      </c>
      <c r="BE5" s="3" t="s">
        <v>222</v>
      </c>
      <c r="BK5" s="3" t="s">
        <v>245</v>
      </c>
      <c r="BQ5" s="3" t="s">
        <v>267</v>
      </c>
      <c r="BW5" s="3" t="s">
        <v>275</v>
      </c>
      <c r="CC5" s="3" t="s">
        <v>284</v>
      </c>
      <c r="CI5" s="3" t="s">
        <v>314</v>
      </c>
      <c r="CO5" s="3" t="s">
        <v>345</v>
      </c>
      <c r="CU5" s="3" t="s">
        <v>362</v>
      </c>
    </row>
    <row r="6" spans="1:103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7"/>
      <c r="AG6" s="103" t="s">
        <v>141</v>
      </c>
      <c r="AH6" s="109" t="s">
        <v>147</v>
      </c>
      <c r="AI6" s="109" t="s">
        <v>149</v>
      </c>
      <c r="AJ6" s="110" t="s">
        <v>112</v>
      </c>
      <c r="AK6" s="110"/>
      <c r="AL6" s="3"/>
      <c r="AM6" s="103" t="s">
        <v>141</v>
      </c>
      <c r="AN6" s="109" t="s">
        <v>147</v>
      </c>
      <c r="AO6" s="109" t="s">
        <v>149</v>
      </c>
      <c r="AP6" s="110" t="s">
        <v>112</v>
      </c>
      <c r="AQ6" s="110"/>
      <c r="AR6" s="3"/>
      <c r="AS6" s="103" t="s">
        <v>141</v>
      </c>
      <c r="AT6" s="109" t="s">
        <v>147</v>
      </c>
      <c r="AU6" s="109" t="s">
        <v>149</v>
      </c>
      <c r="AV6" s="110" t="s">
        <v>112</v>
      </c>
      <c r="AY6" s="103" t="s">
        <v>141</v>
      </c>
      <c r="AZ6" s="109" t="s">
        <v>147</v>
      </c>
      <c r="BA6" s="109" t="s">
        <v>149</v>
      </c>
      <c r="BB6" s="110" t="s">
        <v>112</v>
      </c>
      <c r="BE6" s="103" t="s">
        <v>141</v>
      </c>
      <c r="BF6" s="109" t="s">
        <v>147</v>
      </c>
      <c r="BG6" s="109" t="s">
        <v>149</v>
      </c>
      <c r="BH6" s="110" t="s">
        <v>112</v>
      </c>
      <c r="BK6" s="103" t="s">
        <v>141</v>
      </c>
      <c r="BL6" s="109" t="s">
        <v>147</v>
      </c>
      <c r="BM6" s="109" t="s">
        <v>149</v>
      </c>
      <c r="BN6" s="110" t="s">
        <v>112</v>
      </c>
      <c r="BQ6" s="103" t="s">
        <v>141</v>
      </c>
      <c r="BR6" s="109" t="s">
        <v>147</v>
      </c>
      <c r="BS6" s="109" t="s">
        <v>149</v>
      </c>
      <c r="BT6" s="110" t="s">
        <v>112</v>
      </c>
      <c r="BW6" s="103" t="s">
        <v>141</v>
      </c>
      <c r="BX6" s="109" t="s">
        <v>147</v>
      </c>
      <c r="BY6" s="109" t="s">
        <v>149</v>
      </c>
      <c r="BZ6" s="110" t="s">
        <v>112</v>
      </c>
      <c r="CC6" s="103" t="s">
        <v>141</v>
      </c>
      <c r="CD6" s="109" t="s">
        <v>147</v>
      </c>
      <c r="CE6" s="109" t="s">
        <v>149</v>
      </c>
      <c r="CF6" s="110" t="s">
        <v>112</v>
      </c>
      <c r="CI6" s="103" t="s">
        <v>141</v>
      </c>
      <c r="CJ6" s="109" t="s">
        <v>147</v>
      </c>
      <c r="CK6" s="109" t="s">
        <v>149</v>
      </c>
      <c r="CL6" s="110" t="s">
        <v>112</v>
      </c>
      <c r="CO6" s="103" t="s">
        <v>141</v>
      </c>
      <c r="CP6" s="109" t="s">
        <v>147</v>
      </c>
      <c r="CQ6" s="109" t="s">
        <v>149</v>
      </c>
      <c r="CR6" s="110" t="s">
        <v>112</v>
      </c>
      <c r="CU6" s="103" t="s">
        <v>141</v>
      </c>
      <c r="CV6" s="109" t="s">
        <v>147</v>
      </c>
      <c r="CW6" s="109" t="s">
        <v>149</v>
      </c>
      <c r="CX6" s="110" t="s">
        <v>112</v>
      </c>
    </row>
    <row r="7" spans="1:103">
      <c r="A7" s="7"/>
      <c r="L7" s="6" t="s">
        <v>34</v>
      </c>
      <c r="M7" s="6"/>
      <c r="O7" s="7"/>
      <c r="P7" s="7"/>
      <c r="Q7" s="7"/>
      <c r="T7" s="7"/>
      <c r="U7" s="7"/>
      <c r="V7" s="7"/>
      <c r="W7" s="7"/>
      <c r="X7" s="7"/>
      <c r="Y7" s="7"/>
      <c r="Z7" s="7"/>
      <c r="AA7" s="7"/>
      <c r="AB7" s="7"/>
      <c r="AG7" s="348" t="s">
        <v>112</v>
      </c>
      <c r="AH7" s="3"/>
      <c r="AI7" s="347" t="s">
        <v>112</v>
      </c>
      <c r="AJ7" s="103" t="s">
        <v>141</v>
      </c>
      <c r="AK7" s="103"/>
      <c r="AL7" s="3"/>
      <c r="AM7" s="394" t="s">
        <v>112</v>
      </c>
      <c r="AN7" s="3"/>
      <c r="AO7" s="393" t="s">
        <v>112</v>
      </c>
      <c r="AP7" s="103" t="s">
        <v>141</v>
      </c>
      <c r="AQ7" s="103"/>
      <c r="AR7" s="3"/>
      <c r="AS7" s="39" t="s">
        <v>112</v>
      </c>
      <c r="AU7" s="29" t="s">
        <v>112</v>
      </c>
      <c r="AV7" s="103" t="s">
        <v>141</v>
      </c>
      <c r="AY7" s="39" t="s">
        <v>112</v>
      </c>
      <c r="BA7" s="29" t="s">
        <v>112</v>
      </c>
      <c r="BB7" s="103" t="s">
        <v>141</v>
      </c>
      <c r="BE7" s="39" t="s">
        <v>112</v>
      </c>
      <c r="BG7" s="29" t="s">
        <v>112</v>
      </c>
      <c r="BH7" s="103" t="s">
        <v>141</v>
      </c>
      <c r="BK7" s="39" t="s">
        <v>112</v>
      </c>
      <c r="BM7" s="29" t="s">
        <v>112</v>
      </c>
      <c r="BN7" s="103" t="s">
        <v>141</v>
      </c>
      <c r="BQ7" s="39" t="s">
        <v>112</v>
      </c>
      <c r="BS7" s="29" t="s">
        <v>112</v>
      </c>
      <c r="BT7" s="103" t="s">
        <v>141</v>
      </c>
      <c r="BW7" s="39" t="s">
        <v>112</v>
      </c>
      <c r="BY7" s="29" t="s">
        <v>112</v>
      </c>
      <c r="BZ7" s="103" t="s">
        <v>141</v>
      </c>
      <c r="CC7" s="39" t="s">
        <v>112</v>
      </c>
      <c r="CE7" s="29" t="s">
        <v>112</v>
      </c>
      <c r="CF7" s="103" t="s">
        <v>141</v>
      </c>
      <c r="CI7" s="310" t="s">
        <v>112</v>
      </c>
      <c r="CK7" s="309" t="s">
        <v>112</v>
      </c>
      <c r="CL7" s="103" t="s">
        <v>141</v>
      </c>
      <c r="CO7" s="361" t="s">
        <v>112</v>
      </c>
      <c r="CQ7" s="360" t="s">
        <v>112</v>
      </c>
      <c r="CR7" s="103" t="s">
        <v>141</v>
      </c>
      <c r="CU7" s="394" t="s">
        <v>112</v>
      </c>
      <c r="CW7" s="393" t="s">
        <v>112</v>
      </c>
      <c r="CX7" s="103" t="s">
        <v>141</v>
      </c>
    </row>
    <row r="8" spans="1:10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O8" s="7"/>
      <c r="P8" s="7"/>
      <c r="Q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348" t="s">
        <v>143</v>
      </c>
      <c r="AH8" s="102" t="s">
        <v>145</v>
      </c>
      <c r="AI8" s="348" t="s">
        <v>145</v>
      </c>
      <c r="AJ8" s="109" t="s">
        <v>150</v>
      </c>
      <c r="AK8" s="109"/>
      <c r="AL8" s="3"/>
      <c r="AM8" s="394" t="s">
        <v>143</v>
      </c>
      <c r="AN8" s="102" t="s">
        <v>145</v>
      </c>
      <c r="AO8" s="394" t="s">
        <v>145</v>
      </c>
      <c r="AP8" s="109" t="s">
        <v>150</v>
      </c>
      <c r="AQ8" s="109"/>
      <c r="AR8" s="3"/>
      <c r="AS8" s="39" t="s">
        <v>143</v>
      </c>
      <c r="AT8" s="102" t="s">
        <v>145</v>
      </c>
      <c r="AU8" s="39" t="s">
        <v>145</v>
      </c>
      <c r="AV8" s="109" t="s">
        <v>150</v>
      </c>
      <c r="AY8" s="39" t="s">
        <v>143</v>
      </c>
      <c r="AZ8" s="102" t="s">
        <v>145</v>
      </c>
      <c r="BA8" s="39" t="s">
        <v>145</v>
      </c>
      <c r="BB8" s="109" t="s">
        <v>150</v>
      </c>
      <c r="BE8" s="39" t="s">
        <v>143</v>
      </c>
      <c r="BF8" s="102" t="s">
        <v>145</v>
      </c>
      <c r="BG8" s="39" t="s">
        <v>145</v>
      </c>
      <c r="BH8" s="109" t="s">
        <v>150</v>
      </c>
      <c r="BK8" s="39" t="s">
        <v>143</v>
      </c>
      <c r="BL8" s="102" t="s">
        <v>145</v>
      </c>
      <c r="BM8" s="39" t="s">
        <v>145</v>
      </c>
      <c r="BN8" s="109" t="s">
        <v>150</v>
      </c>
      <c r="BQ8" s="39" t="s">
        <v>143</v>
      </c>
      <c r="BR8" s="102" t="s">
        <v>145</v>
      </c>
      <c r="BS8" s="39" t="s">
        <v>145</v>
      </c>
      <c r="BT8" s="109" t="s">
        <v>150</v>
      </c>
      <c r="BW8" s="39" t="s">
        <v>143</v>
      </c>
      <c r="BX8" s="102" t="s">
        <v>145</v>
      </c>
      <c r="BY8" s="39" t="s">
        <v>145</v>
      </c>
      <c r="BZ8" s="109" t="s">
        <v>150</v>
      </c>
      <c r="CC8" s="39" t="s">
        <v>143</v>
      </c>
      <c r="CD8" s="102" t="s">
        <v>145</v>
      </c>
      <c r="CE8" s="39" t="s">
        <v>145</v>
      </c>
      <c r="CF8" s="109" t="s">
        <v>150</v>
      </c>
      <c r="CI8" s="310" t="s">
        <v>143</v>
      </c>
      <c r="CJ8" s="102" t="s">
        <v>145</v>
      </c>
      <c r="CK8" s="310" t="s">
        <v>145</v>
      </c>
      <c r="CL8" s="315" t="s">
        <v>150</v>
      </c>
      <c r="CM8" s="417" t="s">
        <v>186</v>
      </c>
      <c r="CO8" s="361" t="s">
        <v>143</v>
      </c>
      <c r="CP8" s="102" t="s">
        <v>145</v>
      </c>
      <c r="CQ8" s="361" t="s">
        <v>145</v>
      </c>
      <c r="CR8" s="315" t="s">
        <v>150</v>
      </c>
      <c r="CS8" s="417" t="s">
        <v>186</v>
      </c>
      <c r="CU8" s="394" t="s">
        <v>143</v>
      </c>
      <c r="CV8" s="102" t="s">
        <v>145</v>
      </c>
      <c r="CW8" s="394" t="s">
        <v>145</v>
      </c>
      <c r="CX8" s="315" t="s">
        <v>150</v>
      </c>
      <c r="CY8" s="417" t="s">
        <v>186</v>
      </c>
    </row>
    <row r="9" spans="1:103" ht="13.5" thickBot="1">
      <c r="A9" s="8" t="s">
        <v>1</v>
      </c>
      <c r="B9" s="397" t="s">
        <v>184</v>
      </c>
      <c r="C9" s="397" t="s">
        <v>194</v>
      </c>
      <c r="D9" s="397" t="s">
        <v>208</v>
      </c>
      <c r="E9" s="397" t="s">
        <v>243</v>
      </c>
      <c r="F9" s="397" t="s">
        <v>256</v>
      </c>
      <c r="G9" s="397" t="s">
        <v>269</v>
      </c>
      <c r="H9" s="397" t="s">
        <v>283</v>
      </c>
      <c r="I9" s="397" t="s">
        <v>303</v>
      </c>
      <c r="J9" s="397" t="s">
        <v>330</v>
      </c>
      <c r="K9" s="397" t="s">
        <v>360</v>
      </c>
      <c r="L9" s="9" t="s">
        <v>84</v>
      </c>
      <c r="M9" s="9" t="s">
        <v>84</v>
      </c>
      <c r="N9" s="9" t="s">
        <v>55</v>
      </c>
      <c r="O9" s="9" t="s">
        <v>53</v>
      </c>
      <c r="P9" s="9" t="s">
        <v>73</v>
      </c>
      <c r="Q9" s="9" t="s">
        <v>74</v>
      </c>
      <c r="R9" s="9" t="s">
        <v>75</v>
      </c>
      <c r="S9" s="9" t="s">
        <v>76</v>
      </c>
      <c r="T9" s="9" t="s">
        <v>77</v>
      </c>
      <c r="U9" s="9" t="s">
        <v>50</v>
      </c>
      <c r="V9" s="9" t="s">
        <v>66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08" t="s">
        <v>105</v>
      </c>
      <c r="AE9" s="342" t="s">
        <v>161</v>
      </c>
      <c r="AF9" s="387" t="s">
        <v>168</v>
      </c>
      <c r="AG9" s="341" t="s">
        <v>144</v>
      </c>
      <c r="AH9" s="341" t="s">
        <v>146</v>
      </c>
      <c r="AI9" s="341" t="s">
        <v>148</v>
      </c>
      <c r="AJ9" s="109" t="s">
        <v>151</v>
      </c>
      <c r="AK9" s="109"/>
      <c r="AL9" s="3"/>
      <c r="AM9" s="388" t="s">
        <v>144</v>
      </c>
      <c r="AN9" s="388" t="s">
        <v>146</v>
      </c>
      <c r="AO9" s="388" t="s">
        <v>148</v>
      </c>
      <c r="AP9" s="109" t="s">
        <v>151</v>
      </c>
      <c r="AQ9" s="109"/>
      <c r="AR9" s="3"/>
      <c r="AS9" s="40" t="s">
        <v>144</v>
      </c>
      <c r="AT9" s="40" t="s">
        <v>146</v>
      </c>
      <c r="AU9" s="40" t="s">
        <v>148</v>
      </c>
      <c r="AV9" s="109" t="s">
        <v>151</v>
      </c>
      <c r="AY9" s="40" t="s">
        <v>144</v>
      </c>
      <c r="AZ9" s="40" t="s">
        <v>146</v>
      </c>
      <c r="BA9" s="40" t="s">
        <v>148</v>
      </c>
      <c r="BB9" s="109" t="s">
        <v>151</v>
      </c>
      <c r="BE9" s="40" t="s">
        <v>144</v>
      </c>
      <c r="BF9" s="40" t="s">
        <v>146</v>
      </c>
      <c r="BG9" s="40" t="s">
        <v>148</v>
      </c>
      <c r="BH9" s="109" t="s">
        <v>151</v>
      </c>
      <c r="BK9" s="40" t="s">
        <v>144</v>
      </c>
      <c r="BL9" s="40" t="s">
        <v>146</v>
      </c>
      <c r="BM9" s="40" t="s">
        <v>148</v>
      </c>
      <c r="BN9" s="109" t="s">
        <v>151</v>
      </c>
      <c r="BQ9" s="40" t="s">
        <v>144</v>
      </c>
      <c r="BR9" s="40" t="s">
        <v>146</v>
      </c>
      <c r="BS9" s="40" t="s">
        <v>148</v>
      </c>
      <c r="BT9" s="109" t="s">
        <v>151</v>
      </c>
      <c r="BW9" s="40" t="s">
        <v>144</v>
      </c>
      <c r="BX9" s="40" t="s">
        <v>146</v>
      </c>
      <c r="BY9" s="40" t="s">
        <v>148</v>
      </c>
      <c r="BZ9" s="109" t="s">
        <v>151</v>
      </c>
      <c r="CC9" s="40" t="s">
        <v>144</v>
      </c>
      <c r="CD9" s="40" t="s">
        <v>146</v>
      </c>
      <c r="CE9" s="40" t="s">
        <v>148</v>
      </c>
      <c r="CF9" s="109" t="s">
        <v>151</v>
      </c>
      <c r="CI9" s="307" t="s">
        <v>144</v>
      </c>
      <c r="CJ9" s="307" t="s">
        <v>146</v>
      </c>
      <c r="CK9" s="307" t="s">
        <v>148</v>
      </c>
      <c r="CL9" s="316" t="s">
        <v>151</v>
      </c>
      <c r="CM9" s="431"/>
      <c r="CO9" s="359" t="s">
        <v>144</v>
      </c>
      <c r="CP9" s="359" t="s">
        <v>146</v>
      </c>
      <c r="CQ9" s="359" t="s">
        <v>148</v>
      </c>
      <c r="CR9" s="316" t="s">
        <v>151</v>
      </c>
      <c r="CS9" s="431"/>
      <c r="CU9" s="388" t="s">
        <v>144</v>
      </c>
      <c r="CV9" s="388" t="s">
        <v>146</v>
      </c>
      <c r="CW9" s="388" t="s">
        <v>148</v>
      </c>
      <c r="CX9" s="316" t="s">
        <v>151</v>
      </c>
      <c r="CY9" s="431"/>
    </row>
    <row r="10" spans="1:103">
      <c r="A10" s="7" t="s">
        <v>5</v>
      </c>
      <c r="B10" s="11">
        <f>SUM(B12:B39)</f>
        <v>199115</v>
      </c>
      <c r="C10" s="11">
        <f t="shared" ref="C10:K10" si="0">SUM(C12:C39)</f>
        <v>212154</v>
      </c>
      <c r="D10" s="11">
        <f t="shared" si="0"/>
        <v>225699.26066999999</v>
      </c>
      <c r="E10" s="11">
        <f t="shared" si="0"/>
        <v>235176.38896999997</v>
      </c>
      <c r="F10" s="11">
        <f t="shared" si="0"/>
        <v>239459.55296999999</v>
      </c>
      <c r="G10" s="11">
        <f t="shared" si="0"/>
        <v>206124.37111000001</v>
      </c>
      <c r="H10" s="11">
        <f t="shared" si="0"/>
        <v>240669.50852999999</v>
      </c>
      <c r="I10" s="11">
        <f t="shared" si="0"/>
        <v>229832.41720000008</v>
      </c>
      <c r="J10" s="11">
        <f t="shared" si="0"/>
        <v>211795.49862000003</v>
      </c>
      <c r="K10" s="11">
        <f t="shared" si="0"/>
        <v>219475.22209999998</v>
      </c>
      <c r="L10" s="239">
        <f>(K10-J10)*100/J10</f>
        <v>3.6260088292899884</v>
      </c>
      <c r="M10" s="239">
        <f>(K10-AF10)*100/AF10</f>
        <v>29.525940127965942</v>
      </c>
      <c r="N10" s="11">
        <f t="shared" ref="N10:Y10" si="1">SUM(N12:N43)</f>
        <v>51235</v>
      </c>
      <c r="O10" s="11">
        <f t="shared" si="1"/>
        <v>53826</v>
      </c>
      <c r="P10" s="11">
        <f t="shared" si="1"/>
        <v>58258</v>
      </c>
      <c r="Q10" s="11">
        <f t="shared" si="1"/>
        <v>66768</v>
      </c>
      <c r="R10" s="11">
        <f t="shared" si="1"/>
        <v>73781</v>
      </c>
      <c r="S10" s="11">
        <f t="shared" si="1"/>
        <v>74878</v>
      </c>
      <c r="T10" s="11">
        <f t="shared" si="1"/>
        <v>83017</v>
      </c>
      <c r="U10" s="11">
        <f t="shared" si="1"/>
        <v>79703</v>
      </c>
      <c r="V10" s="11">
        <f t="shared" si="1"/>
        <v>86937.35100000001</v>
      </c>
      <c r="W10" s="11">
        <f t="shared" si="1"/>
        <v>92660.431999999986</v>
      </c>
      <c r="X10" s="11">
        <f t="shared" si="1"/>
        <v>102245.94799999999</v>
      </c>
      <c r="Y10" s="11">
        <f t="shared" si="1"/>
        <v>106367.85999999999</v>
      </c>
      <c r="Z10" s="11">
        <f>SUM(Z12:Z43)</f>
        <v>118365</v>
      </c>
      <c r="AA10" s="11">
        <f>SUM(AA12:AA43)</f>
        <v>128153</v>
      </c>
      <c r="AB10" s="11">
        <f>SUM(AB12:AB43)</f>
        <v>148298</v>
      </c>
      <c r="AC10" s="11">
        <f>SUM(AC12:AC43)</f>
        <v>157072.46999999997</v>
      </c>
      <c r="AD10" s="11">
        <f t="shared" ref="AD10:AF10" si="2">SUM(AD12:AD43)</f>
        <v>165196</v>
      </c>
      <c r="AE10" s="11">
        <f t="shared" si="2"/>
        <v>168489.34783999997</v>
      </c>
      <c r="AF10" s="11">
        <f t="shared" si="2"/>
        <v>169444.99447999999</v>
      </c>
      <c r="AG10" s="11">
        <f>SUM(AG12:AG43)</f>
        <v>156972543.35999998</v>
      </c>
      <c r="AH10" s="11">
        <f>SUM(AH12:AH43)</f>
        <v>960458.48999999987</v>
      </c>
      <c r="AI10" s="11">
        <f>SUM(AI12:AI43)</f>
        <v>12477262.970000001</v>
      </c>
      <c r="AJ10" s="11">
        <f>SUM(AJ12:AJ43)</f>
        <v>168489347.84</v>
      </c>
      <c r="AK10" s="11">
        <f>SUM(AK12:AK43)</f>
        <v>168489.34783999997</v>
      </c>
      <c r="AL10" s="11"/>
      <c r="AM10" s="11"/>
      <c r="AN10" s="11"/>
      <c r="AO10" s="11"/>
      <c r="AP10" s="11"/>
      <c r="AQ10" s="11"/>
      <c r="AR10" s="11"/>
      <c r="AS10" s="11">
        <f>SUM(AS12:AS43)</f>
        <v>180428021.13999999</v>
      </c>
      <c r="AT10" s="11">
        <f>SUM(AT12:AT43)</f>
        <v>902268.87999999989</v>
      </c>
      <c r="AU10" s="11">
        <f>SUM(AU12:AU43)</f>
        <v>19586974.449999999</v>
      </c>
      <c r="AV10" s="11">
        <f>SUM(AV12:AV43)</f>
        <v>199112726.71000001</v>
      </c>
      <c r="AW10" s="11">
        <f>SUM(AW12:AW43)</f>
        <v>199112.72671000002</v>
      </c>
      <c r="AY10" s="11">
        <f>SUM(AY12:AY43)</f>
        <v>198386931.60000002</v>
      </c>
      <c r="AZ10" s="11">
        <f>SUM(AZ12:AZ43)</f>
        <v>598290.42999999993</v>
      </c>
      <c r="BA10" s="11">
        <f>SUM(BA12:BA43)</f>
        <v>14365748.91</v>
      </c>
      <c r="BB10" s="11">
        <f>SUM(BB12:BB43)</f>
        <v>212154390.07999995</v>
      </c>
      <c r="BC10" s="11">
        <f>SUM(BC12:BC43)</f>
        <v>212154.39007999995</v>
      </c>
      <c r="BE10" s="11">
        <f>SUM(BE12:BE43)</f>
        <v>210645798.68000001</v>
      </c>
      <c r="BF10" s="11">
        <f>SUM(BF12:BF43)</f>
        <v>435938.30000000005</v>
      </c>
      <c r="BG10" s="11">
        <f>SUM(BG12:BG43)</f>
        <v>15489400.289999997</v>
      </c>
      <c r="BH10" s="11">
        <f>SUM(BH12:BH43)</f>
        <v>225699260.67000005</v>
      </c>
      <c r="BI10" s="11">
        <f>SUM(BI12:BI43)</f>
        <v>225699.26066999999</v>
      </c>
      <c r="BK10" s="11">
        <f>SUM(BK12:BK43)</f>
        <v>219122013.72000003</v>
      </c>
      <c r="BL10" s="11">
        <f>SUM(BL12:BL43)</f>
        <v>276209.14</v>
      </c>
      <c r="BM10" s="11">
        <f>SUM(BM12:BM43)</f>
        <v>16330584.390000001</v>
      </c>
      <c r="BN10" s="11">
        <f>SUM(BN12:BN43)</f>
        <v>235176388.97</v>
      </c>
      <c r="BO10" s="11">
        <f>SUM(BO12:BO43)</f>
        <v>235176.38896999997</v>
      </c>
      <c r="BQ10" s="11">
        <f>SUM(BQ12:BQ43)</f>
        <v>226468445.66999999</v>
      </c>
      <c r="BR10" s="11">
        <f>SUM(BR12:BR43)</f>
        <v>267348.63999999996</v>
      </c>
      <c r="BS10" s="11">
        <f>SUM(BS12:BS43)</f>
        <v>13258455.939999998</v>
      </c>
      <c r="BT10" s="11">
        <f>SUM(BT12:BT43)</f>
        <v>239459552.96999997</v>
      </c>
      <c r="BU10" s="11">
        <f>SUM(BU12:BU43)</f>
        <v>239459.55296999999</v>
      </c>
      <c r="BW10" s="11">
        <f>SUM(BW12:BW43)</f>
        <v>194332900.53999999</v>
      </c>
      <c r="BX10" s="11">
        <f>SUM(BX12:BX43)</f>
        <v>298871.89999999997</v>
      </c>
      <c r="BY10" s="11">
        <f>SUM(BY12:BY43)</f>
        <v>12090342.470000001</v>
      </c>
      <c r="BZ10" s="11">
        <f>SUM(BZ12:BZ43)</f>
        <v>206124371.11000001</v>
      </c>
      <c r="CA10" s="11">
        <f>SUM(CA12:CA43)</f>
        <v>206124.37111000001</v>
      </c>
      <c r="CC10" s="11">
        <f>SUM(CC12:CC43)</f>
        <v>216558494.83999994</v>
      </c>
      <c r="CD10" s="11">
        <f>SUM(CD12:CD43)</f>
        <v>234652.81999999998</v>
      </c>
      <c r="CE10" s="11">
        <f>SUM(CE12:CE43)</f>
        <v>24345666.510000005</v>
      </c>
      <c r="CF10" s="11">
        <f>SUM(CF12:CF43)</f>
        <v>240669508.52999991</v>
      </c>
      <c r="CG10" s="11">
        <f>SUM(CG12:CG43)</f>
        <v>240669.50852999999</v>
      </c>
      <c r="CI10" s="11">
        <f>SUM(CI12:CI43)</f>
        <v>200717393.16999999</v>
      </c>
      <c r="CJ10" s="11">
        <f>SUM(CJ12:CJ43)</f>
        <v>237277.35999999996</v>
      </c>
      <c r="CK10" s="11">
        <f>SUM(CK12:CK43)</f>
        <v>29352301.390000001</v>
      </c>
      <c r="CL10" s="11">
        <f>SUM(CL12:CL43)</f>
        <v>229832417.19999999</v>
      </c>
      <c r="CM10" s="11">
        <f>SUM(CM12:CM43)</f>
        <v>229832.41720000008</v>
      </c>
      <c r="CO10" s="11">
        <f>SUM(CO12:CO43)</f>
        <v>188481877.05000001</v>
      </c>
      <c r="CP10" s="11">
        <f>SUM(CP12:CP43)</f>
        <v>110935.91000000002</v>
      </c>
      <c r="CQ10" s="11">
        <f>SUM(CQ12:CQ43)</f>
        <v>23424557.480000008</v>
      </c>
      <c r="CR10" s="11">
        <f>SUM(CR12:CR43)</f>
        <v>211795498.62</v>
      </c>
      <c r="CS10" s="11">
        <f>SUM(CS12:CS43)</f>
        <v>211795.49862000003</v>
      </c>
      <c r="CU10" s="3">
        <f>SUM(CU12:CU39)</f>
        <v>201496199.77000001</v>
      </c>
      <c r="CV10" s="3">
        <f t="shared" ref="CV10:CY10" si="3">SUM(CV12:CV39)</f>
        <v>122206.84000000001</v>
      </c>
      <c r="CW10" s="3">
        <f t="shared" si="3"/>
        <v>18101229.169999998</v>
      </c>
      <c r="CX10" s="3">
        <f t="shared" si="3"/>
        <v>219475222.09999999</v>
      </c>
      <c r="CY10" s="3">
        <f t="shared" si="3"/>
        <v>219475.22209999998</v>
      </c>
    </row>
    <row r="11" spans="1:103">
      <c r="M11" s="14"/>
      <c r="O11" s="14"/>
      <c r="R11" s="14"/>
      <c r="S11" s="14"/>
      <c r="X11" s="21"/>
      <c r="Y11" s="14"/>
      <c r="Z11" s="14"/>
      <c r="AA11" s="30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1"/>
    </row>
    <row r="12" spans="1:103">
      <c r="A12" s="1" t="s">
        <v>6</v>
      </c>
      <c r="B12" s="1">
        <v>3355</v>
      </c>
      <c r="C12" s="1">
        <v>2726</v>
      </c>
      <c r="D12" s="1">
        <v>2536.37907</v>
      </c>
      <c r="E12" s="1">
        <v>2599.5074300000001</v>
      </c>
      <c r="F12" s="1">
        <v>3081.7034399999998</v>
      </c>
      <c r="G12" s="1">
        <v>4061.8552899999995</v>
      </c>
      <c r="H12" s="1">
        <v>4172.1013300000004</v>
      </c>
      <c r="I12" s="1">
        <v>2873.5337200000008</v>
      </c>
      <c r="J12" s="1">
        <v>2314.6140900000005</v>
      </c>
      <c r="K12" s="1">
        <v>2966.1222300000004</v>
      </c>
      <c r="L12" s="239">
        <f>(K12-J12)*100/J12</f>
        <v>28.147592413558659</v>
      </c>
      <c r="M12" s="239">
        <f>(K12-AF12)*100/AF12</f>
        <v>60.314633852330509</v>
      </c>
      <c r="N12" s="14">
        <v>944</v>
      </c>
      <c r="O12" s="14">
        <v>973</v>
      </c>
      <c r="P12" s="14">
        <v>937</v>
      </c>
      <c r="Q12" s="27">
        <v>1132</v>
      </c>
      <c r="R12" s="27">
        <v>1082</v>
      </c>
      <c r="S12" s="27">
        <v>988</v>
      </c>
      <c r="T12" s="27">
        <v>1358</v>
      </c>
      <c r="U12" s="27">
        <v>1281</v>
      </c>
      <c r="V12" s="27">
        <f>1289.705+41.488</f>
        <v>1331.193</v>
      </c>
      <c r="W12" s="27">
        <f>1145.467+44.58</f>
        <v>1190.047</v>
      </c>
      <c r="X12" s="36">
        <f>1173.419+43.288</f>
        <v>1216.7070000000001</v>
      </c>
      <c r="Y12" s="14">
        <f>1371.021+56.466</f>
        <v>1427.4869999999999</v>
      </c>
      <c r="Z12" s="14">
        <v>1510</v>
      </c>
      <c r="AA12" s="80">
        <v>1591</v>
      </c>
      <c r="AB12" s="1">
        <v>1212</v>
      </c>
      <c r="AC12" s="1">
        <v>1387</v>
      </c>
      <c r="AD12" s="1">
        <v>1743</v>
      </c>
      <c r="AE12" s="3">
        <v>2200.4315000000001</v>
      </c>
      <c r="AF12" s="1">
        <v>1850.1880699999999</v>
      </c>
      <c r="AG12" s="128">
        <v>2053318.4</v>
      </c>
      <c r="AH12" s="128">
        <v>12407.45</v>
      </c>
      <c r="AI12" s="128">
        <v>159520.54999999999</v>
      </c>
      <c r="AJ12" s="3">
        <f>AG12-AH12+AI12</f>
        <v>2200431.5</v>
      </c>
      <c r="AK12" s="3">
        <f>AJ12/1000</f>
        <v>2200.4315000000001</v>
      </c>
      <c r="AL12" s="3"/>
      <c r="AM12" s="3">
        <v>1751693.9</v>
      </c>
      <c r="AN12" s="3">
        <v>27003.68</v>
      </c>
      <c r="AO12" s="3">
        <v>125497.85</v>
      </c>
      <c r="AP12" s="3">
        <f>AM12-AN12+AO12</f>
        <v>1850188.07</v>
      </c>
      <c r="AQ12" s="3">
        <f>AP12/1000</f>
        <v>1850.1880700000002</v>
      </c>
      <c r="AR12" s="3"/>
      <c r="AS12" s="1">
        <v>3155991.97</v>
      </c>
      <c r="AT12" s="3">
        <v>18504.38</v>
      </c>
      <c r="AU12" s="92">
        <v>217752.79</v>
      </c>
      <c r="AV12" s="3">
        <f>AS12-AT12+AU12</f>
        <v>3355240.3800000004</v>
      </c>
      <c r="AW12" s="3">
        <f>AV12/1000</f>
        <v>3355.2403800000002</v>
      </c>
      <c r="AY12" s="3">
        <v>2576381</v>
      </c>
      <c r="AZ12" s="3">
        <v>11025</v>
      </c>
      <c r="BA12" s="3">
        <v>161032</v>
      </c>
      <c r="BB12" s="3">
        <f>AY12-AZ12+BA12</f>
        <v>2726388</v>
      </c>
      <c r="BC12" s="3">
        <f>BB12/1000</f>
        <v>2726.3879999999999</v>
      </c>
      <c r="BE12" s="3">
        <v>2391158.39</v>
      </c>
      <c r="BF12" s="3">
        <v>22822.37</v>
      </c>
      <c r="BG12" s="3">
        <v>168043.05</v>
      </c>
      <c r="BH12" s="3">
        <f>BE12-BF12+BG12</f>
        <v>2536379.0699999998</v>
      </c>
      <c r="BI12" s="3">
        <f>BH12/1000</f>
        <v>2536.37907</v>
      </c>
      <c r="BK12" s="3">
        <v>2445242.13</v>
      </c>
      <c r="BL12" s="3">
        <v>11729.36</v>
      </c>
      <c r="BM12" s="3">
        <v>165994.66</v>
      </c>
      <c r="BN12" s="3">
        <f>BK12-BL12+BM12</f>
        <v>2599507.4300000002</v>
      </c>
      <c r="BO12" s="3">
        <f>BN12/1000</f>
        <v>2599.5074300000001</v>
      </c>
      <c r="BQ12" s="256">
        <v>2929568.4</v>
      </c>
      <c r="BR12" s="3">
        <v>7360.48</v>
      </c>
      <c r="BS12" s="3">
        <v>159495.51999999999</v>
      </c>
      <c r="BT12" s="3">
        <f>BQ12-BR12+BS12</f>
        <v>3081703.44</v>
      </c>
      <c r="BU12" s="3">
        <f>BT12/1000</f>
        <v>3081.7034399999998</v>
      </c>
      <c r="BW12" s="256">
        <v>3935223.2199999997</v>
      </c>
      <c r="BX12" s="3">
        <v>26190.91</v>
      </c>
      <c r="BY12" s="3">
        <v>152822.97999999998</v>
      </c>
      <c r="BZ12" s="3">
        <f>BW12-BX12+BY12</f>
        <v>4061855.2899999996</v>
      </c>
      <c r="CA12" s="3">
        <f>BZ12/1000</f>
        <v>4061.8552899999995</v>
      </c>
      <c r="CC12" s="256">
        <v>3679029.2</v>
      </c>
      <c r="CD12" s="3">
        <v>10194.43</v>
      </c>
      <c r="CE12" s="3">
        <v>503266.56</v>
      </c>
      <c r="CF12" s="3">
        <f>CC12-CD12+CE12</f>
        <v>4172101.33</v>
      </c>
      <c r="CG12" s="3">
        <f>CF12/1000</f>
        <v>4172.1013300000004</v>
      </c>
      <c r="CI12" s="3">
        <v>2547972.3500000006</v>
      </c>
      <c r="CJ12" s="3">
        <v>16710.089999999997</v>
      </c>
      <c r="CK12" s="3">
        <v>342271.46</v>
      </c>
      <c r="CL12" s="3">
        <f>CI12-CJ12+CK12</f>
        <v>2873533.7200000007</v>
      </c>
      <c r="CM12" s="3">
        <f>CL12/1000</f>
        <v>2873.5337200000008</v>
      </c>
      <c r="CO12" s="3">
        <v>2099601.9900000002</v>
      </c>
      <c r="CP12" s="3">
        <v>12245.28</v>
      </c>
      <c r="CQ12" s="3">
        <v>227257.38</v>
      </c>
      <c r="CR12" s="3">
        <f>CO12-CP12+CQ12</f>
        <v>2314614.0900000003</v>
      </c>
      <c r="CS12" s="3">
        <f>CR12/1000</f>
        <v>2314.6140900000005</v>
      </c>
      <c r="CU12" s="3">
        <v>2877254.7100000004</v>
      </c>
      <c r="CV12" s="3">
        <v>12595.82</v>
      </c>
      <c r="CW12" s="3">
        <v>101463.34000000001</v>
      </c>
      <c r="CX12" s="3">
        <f>CU12-CV12+CW12</f>
        <v>2966122.2300000004</v>
      </c>
      <c r="CY12" s="3">
        <f>CX12/1000</f>
        <v>2966.1222300000004</v>
      </c>
    </row>
    <row r="13" spans="1:103">
      <c r="A13" s="1" t="s">
        <v>7</v>
      </c>
      <c r="B13" s="1">
        <v>19833</v>
      </c>
      <c r="C13" s="1">
        <v>19045</v>
      </c>
      <c r="D13" s="1">
        <v>15171.932210000001</v>
      </c>
      <c r="E13" s="1">
        <v>16487.675369999997</v>
      </c>
      <c r="F13" s="1">
        <v>15529.478159999999</v>
      </c>
      <c r="G13" s="1">
        <v>14093.600209999995</v>
      </c>
      <c r="H13" s="1">
        <v>16834.20306</v>
      </c>
      <c r="I13" s="1">
        <v>28695.008360000003</v>
      </c>
      <c r="J13" s="1">
        <v>30176.336199999998</v>
      </c>
      <c r="K13" s="1">
        <v>33104.713669999997</v>
      </c>
      <c r="L13" s="239">
        <f>(K13-J13)*100/J13</f>
        <v>9.7042180687263144</v>
      </c>
      <c r="M13" s="239">
        <f t="shared" ref="M13:M39" si="4">(K13-AF13)*100/AF13</f>
        <v>122.40161096718781</v>
      </c>
      <c r="N13" s="14">
        <v>5395</v>
      </c>
      <c r="O13" s="14">
        <v>6289</v>
      </c>
      <c r="P13" s="14">
        <v>6767</v>
      </c>
      <c r="Q13" s="27">
        <v>7175</v>
      </c>
      <c r="R13" s="27">
        <v>7630</v>
      </c>
      <c r="S13" s="27">
        <v>7504</v>
      </c>
      <c r="T13" s="27">
        <v>6932</v>
      </c>
      <c r="U13" s="27">
        <v>7161</v>
      </c>
      <c r="V13" s="27">
        <f>7309.27+192.166</f>
        <v>7501.4360000000006</v>
      </c>
      <c r="W13" s="27">
        <f>7046.705+247.969</f>
        <v>7294.674</v>
      </c>
      <c r="X13" s="36">
        <f>6976.744+241.606</f>
        <v>7218.3499999999995</v>
      </c>
      <c r="Y13" s="14">
        <f>8457.689+205.559</f>
        <v>8663.2479999999996</v>
      </c>
      <c r="Z13" s="14">
        <v>8912</v>
      </c>
      <c r="AA13" s="80">
        <v>8435</v>
      </c>
      <c r="AB13" s="1">
        <v>7928</v>
      </c>
      <c r="AC13" s="1">
        <v>10301.81</v>
      </c>
      <c r="AD13" s="1">
        <v>12755</v>
      </c>
      <c r="AE13" s="3">
        <v>13181.775230000001</v>
      </c>
      <c r="AF13" s="1">
        <v>14885.105159999999</v>
      </c>
      <c r="AG13" s="128">
        <v>11891876.58</v>
      </c>
      <c r="AH13" s="128">
        <v>0</v>
      </c>
      <c r="AI13" s="128">
        <v>1289898.6499999999</v>
      </c>
      <c r="AJ13" s="3">
        <f>AG13-AH13+AI13</f>
        <v>13181775.23</v>
      </c>
      <c r="AK13" s="3">
        <f t="shared" ref="AK13:AK39" si="5">AJ13/1000</f>
        <v>13181.775230000001</v>
      </c>
      <c r="AL13" s="3"/>
      <c r="AM13" s="3">
        <v>13402012.900000004</v>
      </c>
      <c r="AN13" s="3">
        <v>0</v>
      </c>
      <c r="AO13" s="3">
        <v>1483092.26</v>
      </c>
      <c r="AP13" s="3">
        <f t="shared" ref="AP13:AP39" si="6">AM13-AN13+AO13</f>
        <v>14885105.160000004</v>
      </c>
      <c r="AQ13" s="3">
        <f t="shared" ref="AQ13:AQ39" si="7">AP13/1000</f>
        <v>14885.105160000005</v>
      </c>
      <c r="AR13" s="3"/>
      <c r="AS13" s="1">
        <v>18523412</v>
      </c>
      <c r="AT13" s="3">
        <v>0</v>
      </c>
      <c r="AU13" s="92">
        <v>1309909.6000000001</v>
      </c>
      <c r="AV13" s="3">
        <f>AS13-AT13+AU13</f>
        <v>19833321.600000001</v>
      </c>
      <c r="AW13" s="3">
        <f>AV13/1000</f>
        <v>19833.321600000003</v>
      </c>
      <c r="AY13" s="3">
        <v>17479522</v>
      </c>
      <c r="AZ13" s="3">
        <v>0</v>
      </c>
      <c r="BA13" s="3">
        <v>1565393.4</v>
      </c>
      <c r="BB13" s="3">
        <f>AY13-AZ13+BA13</f>
        <v>19044915.399999999</v>
      </c>
      <c r="BC13" s="3">
        <f>BB13/1000</f>
        <v>19044.915399999998</v>
      </c>
      <c r="BE13" s="3">
        <v>13649630.210000001</v>
      </c>
      <c r="BF13" s="3">
        <v>0</v>
      </c>
      <c r="BG13" s="3">
        <v>1522302</v>
      </c>
      <c r="BH13" s="3">
        <f>BE13-BF13+BG13</f>
        <v>15171932.210000001</v>
      </c>
      <c r="BI13" s="3">
        <f>BH13/1000</f>
        <v>15171.932210000001</v>
      </c>
      <c r="BK13" s="3">
        <v>15242043.369999995</v>
      </c>
      <c r="BL13" s="3">
        <v>3497</v>
      </c>
      <c r="BM13" s="3">
        <v>1249129</v>
      </c>
      <c r="BN13" s="3">
        <f>BK13-BL13+BM13</f>
        <v>16487675.369999995</v>
      </c>
      <c r="BO13" s="3">
        <f>BN13/1000</f>
        <v>16487.675369999997</v>
      </c>
      <c r="BQ13" s="256">
        <v>14382971.909999998</v>
      </c>
      <c r="BR13" s="3">
        <v>12911.75</v>
      </c>
      <c r="BS13" s="3">
        <v>1159418</v>
      </c>
      <c r="BT13" s="3">
        <f>BQ13-BR13+BS13</f>
        <v>15529478.159999998</v>
      </c>
      <c r="BU13" s="3">
        <f>BT13/1000</f>
        <v>15529.478159999999</v>
      </c>
      <c r="BW13" s="256">
        <v>13014431.209999995</v>
      </c>
      <c r="BX13" s="3">
        <v>16862</v>
      </c>
      <c r="BY13" s="3">
        <v>1096031.0000000005</v>
      </c>
      <c r="BZ13" s="3">
        <f>BW13-BX13+BY13</f>
        <v>14093600.209999995</v>
      </c>
      <c r="CA13" s="3">
        <f>BZ13/1000</f>
        <v>14093.600209999995</v>
      </c>
      <c r="CC13" s="256">
        <v>14495779.059999999</v>
      </c>
      <c r="CD13" s="3">
        <v>6599.66</v>
      </c>
      <c r="CE13" s="3">
        <v>2345023.6599999997</v>
      </c>
      <c r="CF13" s="3">
        <f>CC13-CD13+CE13</f>
        <v>16834203.059999999</v>
      </c>
      <c r="CG13" s="3">
        <f>CF13/1000</f>
        <v>16834.20306</v>
      </c>
      <c r="CI13" s="3">
        <v>24587278.880000003</v>
      </c>
      <c r="CJ13" s="3">
        <v>28257</v>
      </c>
      <c r="CK13" s="3">
        <v>4135986.48</v>
      </c>
      <c r="CL13" s="3">
        <f>CI13-CJ13+CK13</f>
        <v>28695008.360000003</v>
      </c>
      <c r="CM13" s="3">
        <f>CL13/1000</f>
        <v>28695.008360000003</v>
      </c>
      <c r="CO13" s="3">
        <v>27334010.599999998</v>
      </c>
      <c r="CP13" s="3">
        <v>0</v>
      </c>
      <c r="CQ13" s="3">
        <v>2842325.6000000006</v>
      </c>
      <c r="CR13" s="3">
        <f>CO13-CP13+CQ13</f>
        <v>30176336.199999999</v>
      </c>
      <c r="CS13" s="3">
        <f>CR13/1000</f>
        <v>30176.336199999998</v>
      </c>
      <c r="CU13" s="3">
        <v>31661761.68</v>
      </c>
      <c r="CV13" s="3">
        <v>0</v>
      </c>
      <c r="CW13" s="3">
        <v>1442951.99</v>
      </c>
      <c r="CX13" s="3">
        <f t="shared" ref="CX13:CX39" si="8">CU13-CV13+CW13</f>
        <v>33104713.669999998</v>
      </c>
      <c r="CY13" s="3">
        <f t="shared" ref="CY13:CY39" si="9">CX13/1000</f>
        <v>33104.713669999997</v>
      </c>
    </row>
    <row r="14" spans="1:103">
      <c r="A14" s="1" t="s">
        <v>8</v>
      </c>
      <c r="B14" s="1">
        <v>21649</v>
      </c>
      <c r="C14" s="1">
        <v>31057</v>
      </c>
      <c r="D14" s="1">
        <v>24806.690609999998</v>
      </c>
      <c r="E14" s="1">
        <v>27990.090179999999</v>
      </c>
      <c r="F14" s="1">
        <v>28827.159349999998</v>
      </c>
      <c r="G14" s="1">
        <v>20998.856039999999</v>
      </c>
      <c r="H14" s="1">
        <v>27037.738829999998</v>
      </c>
      <c r="I14" s="1">
        <v>28793.391449999999</v>
      </c>
      <c r="J14" s="1">
        <v>26997.824670000002</v>
      </c>
      <c r="K14" s="1">
        <v>28261.519250000001</v>
      </c>
      <c r="L14" s="239">
        <f>(K14-J14)*100/J14</f>
        <v>4.6807274121022706</v>
      </c>
      <c r="M14" s="239">
        <f t="shared" si="4"/>
        <v>347.20725403709167</v>
      </c>
      <c r="N14" s="14">
        <v>6059</v>
      </c>
      <c r="O14" s="14">
        <v>6628</v>
      </c>
      <c r="P14" s="14">
        <v>5979</v>
      </c>
      <c r="Q14" s="27">
        <v>9487</v>
      </c>
      <c r="R14" s="27">
        <v>11057</v>
      </c>
      <c r="S14" s="27">
        <v>7688</v>
      </c>
      <c r="T14" s="27">
        <v>9749</v>
      </c>
      <c r="U14" s="27">
        <v>11196</v>
      </c>
      <c r="V14" s="27">
        <f>10121.235+556.359</f>
        <v>10677.594000000001</v>
      </c>
      <c r="W14" s="27">
        <f>10298.384+618.024</f>
        <v>10916.407999999999</v>
      </c>
      <c r="X14" s="36">
        <f>10338.604+737.458</f>
        <v>11076.062</v>
      </c>
      <c r="Y14" s="14">
        <f>9312.388+776.952</f>
        <v>10089.34</v>
      </c>
      <c r="Z14" s="14">
        <v>13038</v>
      </c>
      <c r="AA14" s="80">
        <v>20520</v>
      </c>
      <c r="AB14" s="1">
        <v>24200</v>
      </c>
      <c r="AC14" s="1">
        <v>23185</v>
      </c>
      <c r="AD14" s="1">
        <v>11949</v>
      </c>
      <c r="AE14" s="3">
        <v>14470.580840000002</v>
      </c>
      <c r="AF14" s="1">
        <v>6319.5574299999998</v>
      </c>
      <c r="AG14" s="128">
        <v>12111240.230000002</v>
      </c>
      <c r="AH14" s="128">
        <v>7906</v>
      </c>
      <c r="AI14" s="128">
        <v>2367246.61</v>
      </c>
      <c r="AJ14" s="3">
        <f>AG14-AH14+AI14</f>
        <v>14470580.840000002</v>
      </c>
      <c r="AK14" s="3">
        <f t="shared" si="5"/>
        <v>14470.580840000002</v>
      </c>
      <c r="AL14" s="3"/>
      <c r="AM14" s="3">
        <v>5599140.46</v>
      </c>
      <c r="AN14" s="3">
        <v>2108</v>
      </c>
      <c r="AO14" s="3">
        <v>722524.97</v>
      </c>
      <c r="AP14" s="3">
        <f t="shared" si="6"/>
        <v>6319557.4299999997</v>
      </c>
      <c r="AQ14" s="3">
        <f t="shared" si="7"/>
        <v>6319.5574299999998</v>
      </c>
      <c r="AR14" s="3"/>
      <c r="AS14" s="1">
        <v>12065115</v>
      </c>
      <c r="AT14" s="3">
        <v>0</v>
      </c>
      <c r="AU14" s="92">
        <v>9583591</v>
      </c>
      <c r="AV14" s="3">
        <f>AS14-AT14+AU14</f>
        <v>21648706</v>
      </c>
      <c r="AW14" s="3">
        <f>AV14/1000</f>
        <v>21648.705999999998</v>
      </c>
      <c r="AY14" s="3">
        <v>30036410</v>
      </c>
      <c r="AZ14" s="3">
        <v>0</v>
      </c>
      <c r="BA14" s="3">
        <v>1020128.26</v>
      </c>
      <c r="BB14" s="3">
        <f>AY14-AZ14+BA14</f>
        <v>31056538.260000002</v>
      </c>
      <c r="BC14" s="3">
        <f>BB14/1000</f>
        <v>31056.538260000001</v>
      </c>
      <c r="BE14" s="3">
        <v>24493800.969999999</v>
      </c>
      <c r="BF14" s="3">
        <v>0</v>
      </c>
      <c r="BG14" s="3">
        <v>312889.64</v>
      </c>
      <c r="BH14" s="3">
        <f>BE14-BF14+BG14</f>
        <v>24806690.609999999</v>
      </c>
      <c r="BI14" s="3">
        <f>BH14/1000</f>
        <v>24806.690609999998</v>
      </c>
      <c r="BK14" s="3">
        <v>27596510.469999999</v>
      </c>
      <c r="BL14" s="3">
        <v>0</v>
      </c>
      <c r="BM14" s="3">
        <v>393579.71</v>
      </c>
      <c r="BN14" s="3">
        <f>BK14-BL14+BM14</f>
        <v>27990090.18</v>
      </c>
      <c r="BO14" s="3">
        <f>BN14/1000</f>
        <v>27990.090179999999</v>
      </c>
      <c r="BQ14" s="256">
        <v>27988212.219999999</v>
      </c>
      <c r="BR14" s="3">
        <v>0</v>
      </c>
      <c r="BS14" s="3">
        <v>838947.13</v>
      </c>
      <c r="BT14" s="3">
        <f>BQ14-BR14+BS14</f>
        <v>28827159.349999998</v>
      </c>
      <c r="BU14" s="3">
        <f>BT14/1000</f>
        <v>28827.159349999998</v>
      </c>
      <c r="BW14" s="256">
        <v>20547264.34</v>
      </c>
      <c r="BX14" s="3">
        <v>0</v>
      </c>
      <c r="BY14" s="3">
        <v>451591.7</v>
      </c>
      <c r="BZ14" s="3">
        <f>BW14-BX14+BY14</f>
        <v>20998856.039999999</v>
      </c>
      <c r="CA14" s="3">
        <f>BZ14/1000</f>
        <v>20998.856039999999</v>
      </c>
      <c r="CC14" s="256">
        <v>23460847.829999998</v>
      </c>
      <c r="CD14" s="3">
        <v>0</v>
      </c>
      <c r="CE14" s="3">
        <v>3576891.0000000009</v>
      </c>
      <c r="CF14" s="3">
        <f>CC14-CD14+CE14</f>
        <v>27037738.829999998</v>
      </c>
      <c r="CG14" s="3">
        <f>CF14/1000</f>
        <v>27037.738829999998</v>
      </c>
      <c r="CI14" s="3">
        <v>22259593.52</v>
      </c>
      <c r="CJ14" s="3">
        <v>0</v>
      </c>
      <c r="CK14" s="3">
        <v>6533797.9299999997</v>
      </c>
      <c r="CL14" s="3">
        <f>CI14-CJ14+CK14</f>
        <v>28793391.449999999</v>
      </c>
      <c r="CM14" s="3">
        <f>CL14/1000</f>
        <v>28793.391449999999</v>
      </c>
      <c r="CO14" s="3">
        <v>19948691.609999999</v>
      </c>
      <c r="CP14" s="3">
        <v>0</v>
      </c>
      <c r="CQ14" s="3">
        <v>7049133.0600000015</v>
      </c>
      <c r="CR14" s="3">
        <f>CO14-CP14+CQ14</f>
        <v>26997824.670000002</v>
      </c>
      <c r="CS14" s="3">
        <f>CR14/1000</f>
        <v>26997.824670000002</v>
      </c>
      <c r="CU14" s="3">
        <v>22681104.23</v>
      </c>
      <c r="CV14" s="3">
        <v>0</v>
      </c>
      <c r="CW14" s="3">
        <v>5580415.0199999986</v>
      </c>
      <c r="CX14" s="3">
        <f t="shared" si="8"/>
        <v>28261519.25</v>
      </c>
      <c r="CY14" s="3">
        <f t="shared" si="9"/>
        <v>28261.519250000001</v>
      </c>
    </row>
    <row r="15" spans="1:103">
      <c r="A15" s="1" t="s">
        <v>9</v>
      </c>
      <c r="B15" s="1">
        <v>25013</v>
      </c>
      <c r="C15" s="1">
        <v>26160</v>
      </c>
      <c r="D15" s="1">
        <v>25451.316400000003</v>
      </c>
      <c r="E15" s="1">
        <v>27910.764080000008</v>
      </c>
      <c r="F15" s="1">
        <v>26645.976909999994</v>
      </c>
      <c r="G15" s="1">
        <v>27391.025820000003</v>
      </c>
      <c r="H15" s="1">
        <v>48754.598250000003</v>
      </c>
      <c r="I15" s="1">
        <v>32374.295330000004</v>
      </c>
      <c r="J15" s="1">
        <v>26499.408149999999</v>
      </c>
      <c r="K15" s="1">
        <v>28729.853129999996</v>
      </c>
      <c r="L15" s="239">
        <f>(K15-J15)*100/J15</f>
        <v>8.4169614935343251</v>
      </c>
      <c r="M15" s="239">
        <f t="shared" si="4"/>
        <v>33.722464731636684</v>
      </c>
      <c r="N15" s="14">
        <v>6120</v>
      </c>
      <c r="O15" s="14">
        <v>6280</v>
      </c>
      <c r="P15" s="14">
        <v>7435</v>
      </c>
      <c r="Q15" s="27">
        <v>7899</v>
      </c>
      <c r="R15" s="27">
        <v>6779</v>
      </c>
      <c r="S15" s="27">
        <v>6661</v>
      </c>
      <c r="T15" s="27">
        <v>8505</v>
      </c>
      <c r="U15" s="27">
        <v>8729</v>
      </c>
      <c r="V15" s="27">
        <f>8990.268+256.153</f>
        <v>9246.4210000000003</v>
      </c>
      <c r="W15" s="27">
        <f>11845.479+237.188</f>
        <v>12082.666999999999</v>
      </c>
      <c r="X15" s="36">
        <f>14503.129+281.919</f>
        <v>14785.048000000001</v>
      </c>
      <c r="Y15" s="14">
        <f>13940.889+266.459</f>
        <v>14207.348</v>
      </c>
      <c r="Z15" s="14">
        <v>17138</v>
      </c>
      <c r="AA15" s="80">
        <v>13771</v>
      </c>
      <c r="AB15" s="1">
        <v>17796</v>
      </c>
      <c r="AC15" s="1">
        <v>19895</v>
      </c>
      <c r="AD15" s="1">
        <v>30914</v>
      </c>
      <c r="AE15" s="3">
        <v>25049.393029999992</v>
      </c>
      <c r="AF15" s="1">
        <v>21484.687099999999</v>
      </c>
      <c r="AG15" s="128">
        <v>23248324.559999995</v>
      </c>
      <c r="AH15" s="128">
        <v>7295.19</v>
      </c>
      <c r="AI15" s="128">
        <v>1808363.66</v>
      </c>
      <c r="AJ15" s="3">
        <f>AG15-AH15+AI15</f>
        <v>25049393.029999994</v>
      </c>
      <c r="AK15" s="3">
        <f t="shared" si="5"/>
        <v>25049.393029999992</v>
      </c>
      <c r="AL15" s="3"/>
      <c r="AM15" s="3">
        <v>20066123.489999995</v>
      </c>
      <c r="AN15" s="3">
        <v>25453.25</v>
      </c>
      <c r="AO15" s="3">
        <v>1444016.86</v>
      </c>
      <c r="AP15" s="3">
        <f t="shared" si="6"/>
        <v>21484687.099999994</v>
      </c>
      <c r="AQ15" s="3">
        <f t="shared" si="7"/>
        <v>21484.687099999996</v>
      </c>
      <c r="AR15" s="3"/>
      <c r="AS15" s="1">
        <v>23556944</v>
      </c>
      <c r="AT15" s="3">
        <v>22404.7</v>
      </c>
      <c r="AU15" s="92">
        <v>1478105.36</v>
      </c>
      <c r="AV15" s="3">
        <f>AS15-AT15+AU15</f>
        <v>25012644.66</v>
      </c>
      <c r="AW15" s="3">
        <f>AV15/1000</f>
        <v>25012.644660000002</v>
      </c>
      <c r="AY15" s="3">
        <v>23900345</v>
      </c>
      <c r="AZ15" s="3">
        <v>12746.95</v>
      </c>
      <c r="BA15" s="3">
        <v>2272764.2599999998</v>
      </c>
      <c r="BB15" s="3">
        <f>AY15-AZ15+BA15</f>
        <v>26160362.310000002</v>
      </c>
      <c r="BC15" s="3">
        <f>BB15/1000</f>
        <v>26160.362310000004</v>
      </c>
      <c r="BE15" s="3">
        <v>23789127.740000002</v>
      </c>
      <c r="BF15" s="3">
        <v>6986.22</v>
      </c>
      <c r="BG15" s="3">
        <v>1669174.88</v>
      </c>
      <c r="BH15" s="3">
        <f>BE15-BF15+BG15</f>
        <v>25451316.400000002</v>
      </c>
      <c r="BI15" s="3">
        <f>BH15/1000</f>
        <v>25451.316400000003</v>
      </c>
      <c r="BK15" s="3">
        <v>26423980.850000009</v>
      </c>
      <c r="BL15" s="3">
        <v>3715.47</v>
      </c>
      <c r="BM15" s="3">
        <v>1490498.7</v>
      </c>
      <c r="BN15" s="3">
        <f>BK15-BL15+BM15</f>
        <v>27910764.080000009</v>
      </c>
      <c r="BO15" s="3">
        <f>BN15/1000</f>
        <v>27910.764080000008</v>
      </c>
      <c r="BQ15" s="256">
        <v>25106037.929999996</v>
      </c>
      <c r="BR15" s="3">
        <v>5370.17</v>
      </c>
      <c r="BS15" s="3">
        <v>1545309.15</v>
      </c>
      <c r="BT15" s="3">
        <f>BQ15-BR15+BS15</f>
        <v>26645976.909999993</v>
      </c>
      <c r="BU15" s="3">
        <f>BT15/1000</f>
        <v>26645.976909999994</v>
      </c>
      <c r="BW15" s="256">
        <v>25856869.680000003</v>
      </c>
      <c r="BX15" s="3">
        <v>5121.8</v>
      </c>
      <c r="BY15" s="3">
        <v>1539277.94</v>
      </c>
      <c r="BZ15" s="3">
        <f>BW15-BX15+BY15</f>
        <v>27391025.820000004</v>
      </c>
      <c r="CA15" s="3">
        <f>BZ15/1000</f>
        <v>27391.025820000003</v>
      </c>
      <c r="CC15" s="256">
        <v>46048999.140000001</v>
      </c>
      <c r="CD15" s="3">
        <v>4391.33</v>
      </c>
      <c r="CE15" s="3">
        <v>2709990.4400000004</v>
      </c>
      <c r="CF15" s="3">
        <f>CC15-CD15+CE15</f>
        <v>48754598.25</v>
      </c>
      <c r="CG15" s="3">
        <f>CF15/1000</f>
        <v>48754.598250000003</v>
      </c>
      <c r="CI15" s="3">
        <v>29388114.940000005</v>
      </c>
      <c r="CJ15" s="3">
        <v>5628.4699999999993</v>
      </c>
      <c r="CK15" s="3">
        <v>2991808.86</v>
      </c>
      <c r="CL15" s="3">
        <f>CI15-CJ15+CK15</f>
        <v>32374295.330000006</v>
      </c>
      <c r="CM15" s="3">
        <f>CL15/1000</f>
        <v>32374.295330000004</v>
      </c>
      <c r="CO15" s="3">
        <v>24542059.379999999</v>
      </c>
      <c r="CP15" s="3">
        <v>10445.039999999999</v>
      </c>
      <c r="CQ15" s="3">
        <v>1967793.8100000003</v>
      </c>
      <c r="CR15" s="3">
        <f>CO15-CP15+CQ15</f>
        <v>26499408.149999999</v>
      </c>
      <c r="CS15" s="3">
        <f>CR15/1000</f>
        <v>26499.408149999999</v>
      </c>
      <c r="CU15" s="3">
        <v>26908764.839999996</v>
      </c>
      <c r="CV15" s="3">
        <v>0</v>
      </c>
      <c r="CW15" s="3">
        <v>1821088.2900000003</v>
      </c>
      <c r="CX15" s="3">
        <f t="shared" si="8"/>
        <v>28729853.129999995</v>
      </c>
      <c r="CY15" s="3">
        <f t="shared" si="9"/>
        <v>28729.853129999996</v>
      </c>
    </row>
    <row r="16" spans="1:103">
      <c r="A16" s="1" t="s">
        <v>10</v>
      </c>
      <c r="B16" s="1">
        <v>3420</v>
      </c>
      <c r="C16" s="1">
        <v>3175</v>
      </c>
      <c r="D16" s="1">
        <v>3198.73117</v>
      </c>
      <c r="E16" s="1">
        <v>3598.6335500000005</v>
      </c>
      <c r="F16" s="1">
        <v>3564.4922800000004</v>
      </c>
      <c r="G16" s="1">
        <v>2980.9489099999996</v>
      </c>
      <c r="H16" s="1">
        <v>3249.2194100000002</v>
      </c>
      <c r="I16" s="1">
        <v>2770.3303599999999</v>
      </c>
      <c r="J16" s="1">
        <v>2883.0970499999999</v>
      </c>
      <c r="K16" s="1">
        <v>2679.1137200000007</v>
      </c>
      <c r="L16" s="239">
        <f>(K16-J16)*100/J16</f>
        <v>-7.0751461522947734</v>
      </c>
      <c r="M16" s="239">
        <f t="shared" si="4"/>
        <v>-18.996332724461936</v>
      </c>
      <c r="N16" s="14">
        <v>889</v>
      </c>
      <c r="O16" s="14">
        <v>970</v>
      </c>
      <c r="P16" s="14">
        <v>925</v>
      </c>
      <c r="Q16" s="27">
        <v>1102</v>
      </c>
      <c r="R16" s="27">
        <v>1292</v>
      </c>
      <c r="S16" s="27">
        <v>1344</v>
      </c>
      <c r="T16" s="27">
        <v>1594</v>
      </c>
      <c r="U16" s="27">
        <v>1776</v>
      </c>
      <c r="V16" s="27">
        <f>2147.481+56.866</f>
        <v>2204.3470000000002</v>
      </c>
      <c r="W16" s="27">
        <f>2167.412+100.095</f>
        <v>2267.5069999999996</v>
      </c>
      <c r="X16" s="36">
        <f>2101.896+96.839</f>
        <v>2198.7350000000001</v>
      </c>
      <c r="Y16" s="14">
        <f>2364.224+162.213</f>
        <v>2526.4370000000004</v>
      </c>
      <c r="Z16" s="14">
        <v>2415</v>
      </c>
      <c r="AA16" s="80">
        <v>2451</v>
      </c>
      <c r="AB16" s="1">
        <v>2503</v>
      </c>
      <c r="AC16" s="1">
        <v>2934</v>
      </c>
      <c r="AD16" s="1">
        <v>3371</v>
      </c>
      <c r="AE16" s="3">
        <v>2935.0184800000002</v>
      </c>
      <c r="AF16" s="1">
        <v>3307.39806</v>
      </c>
      <c r="AG16" s="128">
        <v>2624322.12</v>
      </c>
      <c r="AH16" s="128">
        <v>15105.21</v>
      </c>
      <c r="AI16" s="128">
        <v>325801.57</v>
      </c>
      <c r="AJ16" s="3">
        <f>AG16-AH16+AI16</f>
        <v>2935018.48</v>
      </c>
      <c r="AK16" s="3">
        <f t="shared" si="5"/>
        <v>2935.0184800000002</v>
      </c>
      <c r="AL16" s="3"/>
      <c r="AM16" s="3">
        <v>2997907.34</v>
      </c>
      <c r="AN16" s="3">
        <v>22956.38</v>
      </c>
      <c r="AO16" s="3">
        <v>332447.10000000003</v>
      </c>
      <c r="AP16" s="3">
        <f t="shared" si="6"/>
        <v>3307398.06</v>
      </c>
      <c r="AQ16" s="3">
        <f t="shared" si="7"/>
        <v>3307.39806</v>
      </c>
      <c r="AR16" s="3"/>
      <c r="AS16" s="1">
        <v>3098520.7</v>
      </c>
      <c r="AT16" s="3">
        <v>8552.34</v>
      </c>
      <c r="AU16" s="92">
        <v>329615.64</v>
      </c>
      <c r="AV16" s="3">
        <f>AS16-AT16+AU16</f>
        <v>3419584.0000000005</v>
      </c>
      <c r="AW16" s="3">
        <f>AV16/1000</f>
        <v>3419.5840000000003</v>
      </c>
      <c r="AY16" s="3">
        <v>2812874.75</v>
      </c>
      <c r="AZ16" s="3">
        <v>22138.29</v>
      </c>
      <c r="BA16" s="3">
        <v>384120.52</v>
      </c>
      <c r="BB16" s="3">
        <f>AY16-AZ16+BA16</f>
        <v>3174856.98</v>
      </c>
      <c r="BC16" s="3">
        <f>BB16/1000</f>
        <v>3174.85698</v>
      </c>
      <c r="BE16" s="3">
        <v>2867215.25</v>
      </c>
      <c r="BF16" s="3">
        <v>11292.46</v>
      </c>
      <c r="BG16" s="3">
        <v>342808.38</v>
      </c>
      <c r="BH16" s="3">
        <f>BE16-BF16+BG16</f>
        <v>3198731.17</v>
      </c>
      <c r="BI16" s="3">
        <f>BH16/1000</f>
        <v>3198.73117</v>
      </c>
      <c r="BK16" s="3">
        <v>3292318.66</v>
      </c>
      <c r="BL16" s="3">
        <v>14304.67</v>
      </c>
      <c r="BM16" s="3">
        <v>320619.56</v>
      </c>
      <c r="BN16" s="3">
        <f>BK16-BL16+BM16</f>
        <v>3598633.5500000003</v>
      </c>
      <c r="BO16" s="3">
        <f>BN16/1000</f>
        <v>3598.6335500000005</v>
      </c>
      <c r="BQ16" s="256">
        <v>3221178.08</v>
      </c>
      <c r="BR16" s="3">
        <v>28893.83</v>
      </c>
      <c r="BS16" s="3">
        <v>372208.03</v>
      </c>
      <c r="BT16" s="3">
        <f>BQ16-BR16+BS16</f>
        <v>3564492.2800000003</v>
      </c>
      <c r="BU16" s="3">
        <f>BT16/1000</f>
        <v>3564.4922800000004</v>
      </c>
      <c r="BW16" s="256">
        <v>2602465.81</v>
      </c>
      <c r="BX16" s="3">
        <v>20753.739999999998</v>
      </c>
      <c r="BY16" s="3">
        <v>399236.84</v>
      </c>
      <c r="BZ16" s="3">
        <f>BW16-BX16+BY16</f>
        <v>2980948.9099999997</v>
      </c>
      <c r="CA16" s="3">
        <f>BZ16/1000</f>
        <v>2980.9489099999996</v>
      </c>
      <c r="CC16" s="256">
        <v>2614791.77</v>
      </c>
      <c r="CD16" s="3">
        <v>15192.45</v>
      </c>
      <c r="CE16" s="3">
        <v>649620.09000000008</v>
      </c>
      <c r="CF16" s="3">
        <f>CC16-CD16+CE16</f>
        <v>3249219.41</v>
      </c>
      <c r="CG16" s="3">
        <f>CF16/1000</f>
        <v>3249.2194100000002</v>
      </c>
      <c r="CI16" s="3">
        <v>2342957.88</v>
      </c>
      <c r="CJ16" s="3">
        <v>15591.52</v>
      </c>
      <c r="CK16" s="3">
        <v>442963.99999999994</v>
      </c>
      <c r="CL16" s="3">
        <f>CI16-CJ16+CK16</f>
        <v>2770330.36</v>
      </c>
      <c r="CM16" s="3">
        <f>CL16/1000</f>
        <v>2770.3303599999999</v>
      </c>
      <c r="CO16" s="3">
        <v>2512175.9</v>
      </c>
      <c r="CP16" s="3">
        <v>12052.789999999999</v>
      </c>
      <c r="CQ16" s="3">
        <v>382973.93999999994</v>
      </c>
      <c r="CR16" s="3">
        <f>CO16-CP16+CQ16</f>
        <v>2883097.05</v>
      </c>
      <c r="CS16" s="3">
        <f>CR16/1000</f>
        <v>2883.0970499999999</v>
      </c>
      <c r="CU16" s="3">
        <v>2333886.7100000004</v>
      </c>
      <c r="CV16" s="3">
        <v>14879.570000000002</v>
      </c>
      <c r="CW16" s="3">
        <v>360106.58</v>
      </c>
      <c r="CX16" s="3">
        <f t="shared" si="8"/>
        <v>2679113.7200000007</v>
      </c>
      <c r="CY16" s="3">
        <f t="shared" si="9"/>
        <v>2679.1137200000007</v>
      </c>
    </row>
    <row r="17" spans="1:103">
      <c r="L17" s="239"/>
      <c r="M17" s="239"/>
      <c r="N17" s="14"/>
      <c r="P17" s="14"/>
      <c r="Q17" s="27"/>
      <c r="R17" s="27"/>
      <c r="S17" s="27"/>
      <c r="T17" s="27"/>
      <c r="U17" s="27"/>
      <c r="V17" s="27"/>
      <c r="W17" s="27"/>
      <c r="X17" s="36"/>
      <c r="Y17" s="14"/>
      <c r="Z17" s="14"/>
      <c r="AA17" s="80"/>
      <c r="AE17" s="3"/>
      <c r="AG17" s="128"/>
      <c r="AH17" s="128"/>
      <c r="AI17" s="128"/>
      <c r="AJ17" s="3"/>
      <c r="AK17" s="3">
        <f t="shared" si="5"/>
        <v>0</v>
      </c>
      <c r="AL17" s="3"/>
      <c r="AM17" s="3"/>
      <c r="AN17" s="3"/>
      <c r="AO17" s="3"/>
      <c r="AP17" s="3"/>
      <c r="AQ17" s="3"/>
      <c r="AR17" s="3"/>
      <c r="AS17" s="1"/>
      <c r="AU17" s="92"/>
      <c r="BF17" s="92"/>
      <c r="BL17" s="92"/>
      <c r="BQ17" s="256"/>
      <c r="BR17" s="92"/>
      <c r="BW17" s="256"/>
      <c r="BX17" s="92"/>
      <c r="CC17" s="256"/>
      <c r="CD17" s="92"/>
    </row>
    <row r="18" spans="1:103">
      <c r="A18" s="1" t="s">
        <v>11</v>
      </c>
      <c r="B18" s="1">
        <v>1232</v>
      </c>
      <c r="C18" s="1">
        <v>933</v>
      </c>
      <c r="D18" s="1">
        <v>1149.40526</v>
      </c>
      <c r="E18" s="1">
        <v>1372.9059499999998</v>
      </c>
      <c r="F18" s="1">
        <v>1796.2453</v>
      </c>
      <c r="G18" s="1">
        <v>1263.9775199999999</v>
      </c>
      <c r="H18" s="1">
        <v>1235.3475999999998</v>
      </c>
      <c r="I18" s="1">
        <v>1123.2915399999999</v>
      </c>
      <c r="J18" s="1">
        <v>914.63399000000004</v>
      </c>
      <c r="K18" s="1">
        <v>1083.9968600000002</v>
      </c>
      <c r="L18" s="239">
        <f>(K18-J18)*100/J18</f>
        <v>18.517010285174308</v>
      </c>
      <c r="M18" s="239">
        <f t="shared" si="4"/>
        <v>-5.1017765384088136</v>
      </c>
      <c r="N18" s="14">
        <v>268</v>
      </c>
      <c r="O18" s="14">
        <v>336</v>
      </c>
      <c r="P18" s="14">
        <v>344</v>
      </c>
      <c r="Q18" s="27">
        <v>339</v>
      </c>
      <c r="R18" s="27">
        <v>420</v>
      </c>
      <c r="S18" s="27">
        <v>409</v>
      </c>
      <c r="T18" s="27">
        <v>467</v>
      </c>
      <c r="U18" s="27">
        <v>429</v>
      </c>
      <c r="V18" s="27">
        <f>531.577+27.956</f>
        <v>559.53300000000002</v>
      </c>
      <c r="W18" s="27">
        <f>640.399+29.637</f>
        <v>670.03600000000006</v>
      </c>
      <c r="X18" s="36">
        <f>768.326+31.511</f>
        <v>799.83699999999999</v>
      </c>
      <c r="Y18" s="14">
        <f>602.432+35.31</f>
        <v>637.74199999999996</v>
      </c>
      <c r="Z18" s="14">
        <v>867</v>
      </c>
      <c r="AA18" s="80">
        <v>817</v>
      </c>
      <c r="AB18" s="1">
        <v>808</v>
      </c>
      <c r="AC18" s="1">
        <v>1016</v>
      </c>
      <c r="AD18" s="1">
        <v>1266</v>
      </c>
      <c r="AE18" s="3">
        <v>1189.9574599999999</v>
      </c>
      <c r="AF18" s="1">
        <v>1142.2730799999999</v>
      </c>
      <c r="AG18" s="128">
        <v>1123068.5900000001</v>
      </c>
      <c r="AH18" s="128">
        <v>0</v>
      </c>
      <c r="AI18" s="128">
        <v>66888.87</v>
      </c>
      <c r="AJ18" s="3">
        <f>AG18-AH18+AI18</f>
        <v>1189957.46</v>
      </c>
      <c r="AK18" s="3">
        <f t="shared" si="5"/>
        <v>1189.9574599999999</v>
      </c>
      <c r="AL18" s="3"/>
      <c r="AM18" s="3">
        <v>1060268.8899999999</v>
      </c>
      <c r="AN18" s="3">
        <v>0</v>
      </c>
      <c r="AO18" s="3">
        <v>82004.19</v>
      </c>
      <c r="AP18" s="3">
        <f t="shared" si="6"/>
        <v>1142273.0799999998</v>
      </c>
      <c r="AQ18" s="3">
        <f t="shared" si="7"/>
        <v>1142.2730799999999</v>
      </c>
      <c r="AR18" s="3"/>
      <c r="AS18" s="1">
        <v>1170252.08</v>
      </c>
      <c r="AT18" s="3">
        <v>0</v>
      </c>
      <c r="AU18" s="92">
        <v>61536.83</v>
      </c>
      <c r="AV18" s="3">
        <f>AS18-AT18+AU18</f>
        <v>1231788.9100000001</v>
      </c>
      <c r="AW18" s="3">
        <f>AV18/1000</f>
        <v>1231.7889100000002</v>
      </c>
      <c r="AY18" s="3">
        <v>874644.6</v>
      </c>
      <c r="AZ18" s="3">
        <v>0</v>
      </c>
      <c r="BA18" s="3">
        <v>58457.74</v>
      </c>
      <c r="BB18" s="3">
        <f>AY18-AZ18+BA18</f>
        <v>933102.34</v>
      </c>
      <c r="BC18" s="3">
        <f>BB18/1000</f>
        <v>933.10233999999991</v>
      </c>
      <c r="BE18" s="3">
        <v>1049427.6100000001</v>
      </c>
      <c r="BF18" s="3">
        <v>0</v>
      </c>
      <c r="BG18" s="3">
        <v>99977.65</v>
      </c>
      <c r="BH18" s="3">
        <f>BE18-BF18+BG18</f>
        <v>1149405.26</v>
      </c>
      <c r="BI18" s="3">
        <f>BH18/1000</f>
        <v>1149.40526</v>
      </c>
      <c r="BK18" s="3">
        <v>1253443.29</v>
      </c>
      <c r="BL18" s="3">
        <v>0</v>
      </c>
      <c r="BM18" s="3">
        <v>119462.66</v>
      </c>
      <c r="BN18" s="3">
        <f>BK18-BL18+BM18</f>
        <v>1372905.95</v>
      </c>
      <c r="BO18" s="3">
        <f>BN18/1000</f>
        <v>1372.9059499999998</v>
      </c>
      <c r="BQ18" s="256">
        <v>1579464.8</v>
      </c>
      <c r="BR18" s="3">
        <v>0</v>
      </c>
      <c r="BS18" s="3">
        <v>216780.5</v>
      </c>
      <c r="BT18" s="3">
        <f>BQ18-BR18+BS18</f>
        <v>1796245.3</v>
      </c>
      <c r="BU18" s="3">
        <f>BT18/1000</f>
        <v>1796.2453</v>
      </c>
      <c r="BW18" s="256">
        <v>1000272.04</v>
      </c>
      <c r="BX18" s="3">
        <v>0</v>
      </c>
      <c r="BY18" s="3">
        <v>263705.48</v>
      </c>
      <c r="BZ18" s="3">
        <f>BW18-BX18+BY18</f>
        <v>1263977.52</v>
      </c>
      <c r="CA18" s="3">
        <f>BZ18/1000</f>
        <v>1263.9775199999999</v>
      </c>
      <c r="CC18" s="256">
        <v>850140</v>
      </c>
      <c r="CD18" s="3">
        <v>0</v>
      </c>
      <c r="CE18" s="3">
        <v>385207.59999999992</v>
      </c>
      <c r="CF18" s="3">
        <f>CC18-CD18+CE18</f>
        <v>1235347.5999999999</v>
      </c>
      <c r="CG18" s="3">
        <f>CF18/1000</f>
        <v>1235.3475999999998</v>
      </c>
      <c r="CI18" s="3">
        <v>836222.33000000007</v>
      </c>
      <c r="CJ18" s="3">
        <v>0</v>
      </c>
      <c r="CK18" s="3">
        <v>287069.21000000002</v>
      </c>
      <c r="CL18" s="3">
        <f>CI18-CJ18+CK18</f>
        <v>1123291.54</v>
      </c>
      <c r="CM18" s="3">
        <f>CL18/1000</f>
        <v>1123.2915399999999</v>
      </c>
      <c r="CO18" s="3">
        <v>666707.93999999994</v>
      </c>
      <c r="CP18" s="3">
        <v>0</v>
      </c>
      <c r="CQ18" s="3">
        <v>247926.05000000008</v>
      </c>
      <c r="CR18" s="3">
        <f>CO18-CP18+CQ18</f>
        <v>914633.99</v>
      </c>
      <c r="CS18" s="3">
        <f>CR18/1000</f>
        <v>914.63399000000004</v>
      </c>
      <c r="CU18" s="3">
        <v>893270.89</v>
      </c>
      <c r="CV18" s="3">
        <v>0</v>
      </c>
      <c r="CW18" s="3">
        <v>190725.97</v>
      </c>
      <c r="CX18" s="3">
        <f t="shared" si="8"/>
        <v>1083996.8600000001</v>
      </c>
      <c r="CY18" s="3">
        <f t="shared" si="9"/>
        <v>1083.9968600000002</v>
      </c>
    </row>
    <row r="19" spans="1:103">
      <c r="A19" s="1" t="s">
        <v>12</v>
      </c>
      <c r="B19" s="1">
        <v>6879</v>
      </c>
      <c r="C19" s="1">
        <v>8679</v>
      </c>
      <c r="D19" s="1">
        <v>8698.9282500000027</v>
      </c>
      <c r="E19" s="1">
        <v>8053.6635299999953</v>
      </c>
      <c r="F19" s="1">
        <v>7057.1363200000005</v>
      </c>
      <c r="G19" s="1">
        <v>8976.7979099999993</v>
      </c>
      <c r="H19" s="1">
        <v>10418.64688</v>
      </c>
      <c r="I19" s="1">
        <v>8649.6299999999992</v>
      </c>
      <c r="J19" s="1">
        <v>9612.5217200000006</v>
      </c>
      <c r="K19" s="1">
        <v>8999.9438699999992</v>
      </c>
      <c r="L19" s="239">
        <f>(K19-J19)*100/J19</f>
        <v>-6.3727070569365791</v>
      </c>
      <c r="M19" s="239">
        <f t="shared" si="4"/>
        <v>8.2850885363175024</v>
      </c>
      <c r="N19" s="14">
        <v>1774</v>
      </c>
      <c r="O19" s="14">
        <v>1805</v>
      </c>
      <c r="P19" s="14">
        <v>1900</v>
      </c>
      <c r="Q19" s="27">
        <v>2094</v>
      </c>
      <c r="R19" s="27">
        <v>2317</v>
      </c>
      <c r="S19" s="27">
        <v>2648</v>
      </c>
      <c r="T19" s="27">
        <v>3095</v>
      </c>
      <c r="U19" s="27">
        <v>2858</v>
      </c>
      <c r="V19" s="27">
        <f>3000.603+197.829</f>
        <v>3198.4320000000002</v>
      </c>
      <c r="W19" s="27">
        <f>3069.181+212.298</f>
        <v>3281.4790000000003</v>
      </c>
      <c r="X19" s="36">
        <f>4576.299+291.499</f>
        <v>4867.7979999999998</v>
      </c>
      <c r="Y19" s="14">
        <f>2766.735+273.994</f>
        <v>3040.7290000000003</v>
      </c>
      <c r="Z19" s="14">
        <v>4443</v>
      </c>
      <c r="AA19" s="80">
        <v>3403</v>
      </c>
      <c r="AB19" s="1">
        <v>4324</v>
      </c>
      <c r="AC19" s="1">
        <v>4323</v>
      </c>
      <c r="AD19" s="1">
        <v>4975</v>
      </c>
      <c r="AE19" s="3">
        <v>5733.3108500000008</v>
      </c>
      <c r="AF19" s="1">
        <v>8311.3418399999991</v>
      </c>
      <c r="AG19" s="128">
        <v>5472431.1299999999</v>
      </c>
      <c r="AH19" s="128">
        <v>29366.97</v>
      </c>
      <c r="AI19" s="128">
        <v>290246.69</v>
      </c>
      <c r="AJ19" s="3">
        <f>AG19-AH19+AI19</f>
        <v>5733310.8500000006</v>
      </c>
      <c r="AK19" s="3">
        <f t="shared" si="5"/>
        <v>5733.3108500000008</v>
      </c>
      <c r="AL19" s="3"/>
      <c r="AM19" s="3">
        <v>7875024.4300000016</v>
      </c>
      <c r="AN19" s="3">
        <v>30992.19</v>
      </c>
      <c r="AO19" s="3">
        <v>467309.60000000003</v>
      </c>
      <c r="AP19" s="3">
        <f t="shared" si="6"/>
        <v>8311341.8400000008</v>
      </c>
      <c r="AQ19" s="3">
        <f t="shared" si="7"/>
        <v>8311.341840000001</v>
      </c>
      <c r="AR19" s="3"/>
      <c r="AS19" s="1">
        <v>6541196</v>
      </c>
      <c r="AT19" s="3">
        <v>26547.599999999999</v>
      </c>
      <c r="AU19" s="92">
        <v>364092.67</v>
      </c>
      <c r="AV19" s="3">
        <f>AS19-AT19+AU19</f>
        <v>6878741.0700000003</v>
      </c>
      <c r="AW19" s="3">
        <f>AV19/1000</f>
        <v>6878.74107</v>
      </c>
      <c r="AY19" s="3">
        <v>8323165</v>
      </c>
      <c r="AZ19" s="3">
        <v>26903.74</v>
      </c>
      <c r="BA19" s="3">
        <v>382645.94</v>
      </c>
      <c r="BB19" s="3">
        <f>AY19-AZ19+BA19</f>
        <v>8678907.1999999993</v>
      </c>
      <c r="BC19" s="3">
        <f>BB19/1000</f>
        <v>8678.9071999999996</v>
      </c>
      <c r="BE19" s="3">
        <v>8318163.5000000019</v>
      </c>
      <c r="BF19" s="3">
        <v>30077.15</v>
      </c>
      <c r="BG19" s="3">
        <v>410841.9</v>
      </c>
      <c r="BH19" s="3">
        <f>BE19-BF19+BG19</f>
        <v>8698928.2500000019</v>
      </c>
      <c r="BI19" s="3">
        <f>BH19/1000</f>
        <v>8698.9282500000027</v>
      </c>
      <c r="BK19" s="3">
        <v>7678901.2999999952</v>
      </c>
      <c r="BL19" s="3">
        <v>18691.75</v>
      </c>
      <c r="BM19" s="3">
        <v>393453.98</v>
      </c>
      <c r="BN19" s="3">
        <f>BK19-BL19+BM19</f>
        <v>8053663.5299999956</v>
      </c>
      <c r="BO19" s="3">
        <f>BN19/1000</f>
        <v>8053.6635299999953</v>
      </c>
      <c r="BQ19" s="256">
        <v>6722681.4199999999</v>
      </c>
      <c r="BR19" s="3">
        <v>0</v>
      </c>
      <c r="BS19" s="3">
        <v>334454.90000000002</v>
      </c>
      <c r="BT19" s="3">
        <f>BQ19-BR19+BS19</f>
        <v>7057136.3200000003</v>
      </c>
      <c r="BU19" s="3">
        <f>BT19/1000</f>
        <v>7057.1363200000005</v>
      </c>
      <c r="BW19" s="256">
        <v>8471676.4299999997</v>
      </c>
      <c r="BX19" s="3">
        <v>0</v>
      </c>
      <c r="BY19" s="3">
        <v>505121.47999999992</v>
      </c>
      <c r="BZ19" s="3">
        <f>BW19-BX19+BY19</f>
        <v>8976797.9100000001</v>
      </c>
      <c r="CA19" s="3">
        <f>BZ19/1000</f>
        <v>8976.7979099999993</v>
      </c>
      <c r="CC19" s="256">
        <v>9099881.7100000009</v>
      </c>
      <c r="CD19" s="3">
        <v>0</v>
      </c>
      <c r="CE19" s="3">
        <v>1318765.1700000002</v>
      </c>
      <c r="CF19" s="3">
        <f>CC19-CD19+CE19</f>
        <v>10418646.880000001</v>
      </c>
      <c r="CG19" s="3">
        <f>CF19/1000</f>
        <v>10418.64688</v>
      </c>
      <c r="CI19" s="3">
        <v>7719274.1999999993</v>
      </c>
      <c r="CJ19" s="3">
        <v>0</v>
      </c>
      <c r="CK19" s="3">
        <v>930355.79999999993</v>
      </c>
      <c r="CL19" s="3">
        <f>CI19-CJ19+CK19</f>
        <v>8649630</v>
      </c>
      <c r="CM19" s="3">
        <f>CL19/1000</f>
        <v>8649.6299999999992</v>
      </c>
      <c r="CO19" s="3">
        <v>8589502.6699999999</v>
      </c>
      <c r="CP19" s="3">
        <v>0</v>
      </c>
      <c r="CQ19" s="3">
        <v>1023019.05</v>
      </c>
      <c r="CR19" s="3">
        <f>CO19-CP19+CQ19</f>
        <v>9612521.7200000007</v>
      </c>
      <c r="CS19" s="3">
        <f>CR19/1000</f>
        <v>9612.5217200000006</v>
      </c>
      <c r="CU19" s="3">
        <v>8342595.4399999995</v>
      </c>
      <c r="CV19" s="3">
        <v>0</v>
      </c>
      <c r="CW19" s="3">
        <v>657348.42999999993</v>
      </c>
      <c r="CX19" s="3">
        <f t="shared" si="8"/>
        <v>8999943.8699999992</v>
      </c>
      <c r="CY19" s="3">
        <f t="shared" si="9"/>
        <v>8999.9438699999992</v>
      </c>
    </row>
    <row r="20" spans="1:103">
      <c r="A20" s="1" t="s">
        <v>13</v>
      </c>
      <c r="B20" s="1">
        <v>2867</v>
      </c>
      <c r="C20" s="1">
        <v>3063</v>
      </c>
      <c r="D20" s="1">
        <v>3070.2928099999999</v>
      </c>
      <c r="E20" s="1">
        <v>3274.5041900000001</v>
      </c>
      <c r="F20" s="1">
        <v>3395.93822</v>
      </c>
      <c r="G20" s="1">
        <v>3575.2915699999999</v>
      </c>
      <c r="H20" s="1">
        <v>3181.1709500000002</v>
      </c>
      <c r="I20" s="1">
        <v>2716.6153899999995</v>
      </c>
      <c r="J20" s="1">
        <v>3055.9956299999999</v>
      </c>
      <c r="K20" s="1">
        <v>3993.7271799999999</v>
      </c>
      <c r="L20" s="239">
        <f>(K20-J20)*100/J20</f>
        <v>30.684976797561717</v>
      </c>
      <c r="M20" s="239">
        <f t="shared" si="4"/>
        <v>24.73235227874433</v>
      </c>
      <c r="N20" s="14">
        <v>1010</v>
      </c>
      <c r="O20" s="14">
        <v>888</v>
      </c>
      <c r="P20" s="14">
        <v>799</v>
      </c>
      <c r="Q20" s="27">
        <v>1254</v>
      </c>
      <c r="R20" s="27">
        <v>1486</v>
      </c>
      <c r="S20" s="27">
        <v>1510</v>
      </c>
      <c r="T20" s="27">
        <v>1504</v>
      </c>
      <c r="U20" s="27">
        <v>1968</v>
      </c>
      <c r="V20" s="27">
        <f>1184.891+63.407</f>
        <v>1248.298</v>
      </c>
      <c r="W20" s="27">
        <f>1401.841+89.234</f>
        <v>1491.0749999999998</v>
      </c>
      <c r="X20" s="36">
        <f>1415.867+106.176</f>
        <v>1522.0429999999999</v>
      </c>
      <c r="Y20" s="14">
        <f>1485.162+103.747</f>
        <v>1588.9090000000001</v>
      </c>
      <c r="Z20" s="14">
        <v>1652</v>
      </c>
      <c r="AA20" s="80">
        <v>1969</v>
      </c>
      <c r="AB20" s="1">
        <v>2592</v>
      </c>
      <c r="AC20" s="1">
        <v>2298</v>
      </c>
      <c r="AD20" s="1">
        <v>2331</v>
      </c>
      <c r="AE20" s="3">
        <v>2846.8704400000001</v>
      </c>
      <c r="AF20" s="1">
        <v>3201.8374600000002</v>
      </c>
      <c r="AG20" s="128">
        <v>2456789.56</v>
      </c>
      <c r="AH20" s="128">
        <v>0</v>
      </c>
      <c r="AI20" s="128">
        <v>390080.88</v>
      </c>
      <c r="AJ20" s="3">
        <f>AG20-AH20+AI20</f>
        <v>2846870.44</v>
      </c>
      <c r="AK20" s="3">
        <f t="shared" si="5"/>
        <v>2846.8704400000001</v>
      </c>
      <c r="AL20" s="3"/>
      <c r="AM20" s="3">
        <v>2898365.17</v>
      </c>
      <c r="AN20" s="3">
        <v>0</v>
      </c>
      <c r="AO20" s="3">
        <v>303472.28999999998</v>
      </c>
      <c r="AP20" s="3">
        <f t="shared" si="6"/>
        <v>3201837.46</v>
      </c>
      <c r="AQ20" s="3">
        <f t="shared" si="7"/>
        <v>3201.8374599999997</v>
      </c>
      <c r="AR20" s="3"/>
      <c r="AS20" s="1">
        <v>2640537.8199999998</v>
      </c>
      <c r="AT20" s="3">
        <v>0</v>
      </c>
      <c r="AU20" s="92">
        <v>226328.09</v>
      </c>
      <c r="AV20" s="3">
        <f>AS20-AT20+AU20</f>
        <v>2866865.9099999997</v>
      </c>
      <c r="AW20" s="3">
        <f>AV20/1000</f>
        <v>2866.8659099999995</v>
      </c>
      <c r="AY20" s="3">
        <v>2763119.79</v>
      </c>
      <c r="AZ20" s="3">
        <v>0</v>
      </c>
      <c r="BA20" s="3">
        <v>300280.48</v>
      </c>
      <c r="BB20" s="3">
        <f>AY20-AZ20+BA20</f>
        <v>3063400.27</v>
      </c>
      <c r="BC20" s="3">
        <f>BB20/1000</f>
        <v>3063.4002700000001</v>
      </c>
      <c r="BE20" s="3">
        <v>2866571.31</v>
      </c>
      <c r="BF20" s="3">
        <v>0</v>
      </c>
      <c r="BG20" s="3">
        <v>203721.5</v>
      </c>
      <c r="BH20" s="3">
        <f>BE20-BF20+BG20</f>
        <v>3070292.81</v>
      </c>
      <c r="BI20" s="3">
        <f>BH20/1000</f>
        <v>3070.2928099999999</v>
      </c>
      <c r="BK20" s="3">
        <v>3095297.33</v>
      </c>
      <c r="BL20" s="3">
        <v>0</v>
      </c>
      <c r="BM20" s="3">
        <v>179206.86</v>
      </c>
      <c r="BN20" s="3">
        <f>BK20-BL20+BM20</f>
        <v>3274504.19</v>
      </c>
      <c r="BO20" s="3">
        <f>BN20/1000</f>
        <v>3274.5041900000001</v>
      </c>
      <c r="BQ20" s="256">
        <v>3196669.56</v>
      </c>
      <c r="BR20" s="3">
        <v>0</v>
      </c>
      <c r="BS20" s="3">
        <v>199268.66</v>
      </c>
      <c r="BT20" s="3">
        <f>BQ20-BR20+BS20</f>
        <v>3395938.22</v>
      </c>
      <c r="BU20" s="3">
        <f>BT20/1000</f>
        <v>3395.93822</v>
      </c>
      <c r="BW20" s="256">
        <v>3337872.5</v>
      </c>
      <c r="BX20" s="3">
        <v>0</v>
      </c>
      <c r="BY20" s="3">
        <v>237419.07000000004</v>
      </c>
      <c r="BZ20" s="3">
        <f>BW20-BX20+BY20</f>
        <v>3575291.57</v>
      </c>
      <c r="CA20" s="3">
        <f>BZ20/1000</f>
        <v>3575.2915699999999</v>
      </c>
      <c r="CC20" s="256">
        <v>2780869.88</v>
      </c>
      <c r="CD20" s="3">
        <v>0</v>
      </c>
      <c r="CE20" s="3">
        <v>400301.07000000007</v>
      </c>
      <c r="CF20" s="3">
        <f>CC20-CD20+CE20</f>
        <v>3181170.95</v>
      </c>
      <c r="CG20" s="3">
        <f>CF20/1000</f>
        <v>3181.1709500000002</v>
      </c>
      <c r="CI20" s="3">
        <v>2266800.5799999996</v>
      </c>
      <c r="CJ20" s="3">
        <v>0</v>
      </c>
      <c r="CK20" s="3">
        <v>449814.81</v>
      </c>
      <c r="CL20" s="3">
        <f>CI20-CJ20+CK20</f>
        <v>2716615.3899999997</v>
      </c>
      <c r="CM20" s="3">
        <f>CL20/1000</f>
        <v>2716.6153899999995</v>
      </c>
      <c r="CO20" s="3">
        <v>2793248.48</v>
      </c>
      <c r="CP20" s="3">
        <v>0</v>
      </c>
      <c r="CQ20" s="3">
        <v>262747.14999999997</v>
      </c>
      <c r="CR20" s="3">
        <f>CO20-CP20+CQ20</f>
        <v>3055995.63</v>
      </c>
      <c r="CS20" s="3">
        <f>CR20/1000</f>
        <v>3055.9956299999999</v>
      </c>
      <c r="CU20" s="3">
        <v>3643215.3899999997</v>
      </c>
      <c r="CV20" s="3">
        <v>0</v>
      </c>
      <c r="CW20" s="3">
        <v>350511.79</v>
      </c>
      <c r="CX20" s="3">
        <f t="shared" si="8"/>
        <v>3993727.1799999997</v>
      </c>
      <c r="CY20" s="3">
        <f t="shared" si="9"/>
        <v>3993.7271799999999</v>
      </c>
    </row>
    <row r="21" spans="1:103">
      <c r="A21" s="1" t="s">
        <v>14</v>
      </c>
      <c r="B21" s="1">
        <v>6121</v>
      </c>
      <c r="C21" s="1">
        <v>8360</v>
      </c>
      <c r="D21" s="1">
        <v>9063.0518100000027</v>
      </c>
      <c r="E21" s="1">
        <v>10901.27656</v>
      </c>
      <c r="F21" s="1">
        <v>9760.4370699999981</v>
      </c>
      <c r="G21" s="1">
        <v>7995.2089499999993</v>
      </c>
      <c r="H21" s="1">
        <v>6802.1990600000008</v>
      </c>
      <c r="I21" s="1">
        <v>4607.2891099999997</v>
      </c>
      <c r="J21" s="1">
        <v>5265.6119400000007</v>
      </c>
      <c r="K21" s="1">
        <v>5562.4944900000019</v>
      </c>
      <c r="L21" s="239">
        <f>(K21-J21)*100/J21</f>
        <v>5.6381395625595827</v>
      </c>
      <c r="M21" s="239">
        <f t="shared" si="4"/>
        <v>2.0203583390275726</v>
      </c>
      <c r="N21" s="14">
        <v>1018</v>
      </c>
      <c r="O21" s="14">
        <v>1280</v>
      </c>
      <c r="P21" s="14">
        <v>1817</v>
      </c>
      <c r="Q21" s="27">
        <v>1867</v>
      </c>
      <c r="R21" s="27">
        <v>1859</v>
      </c>
      <c r="S21" s="27">
        <v>2179</v>
      </c>
      <c r="T21" s="27">
        <v>2045</v>
      </c>
      <c r="U21" s="27">
        <v>1791</v>
      </c>
      <c r="V21" s="27">
        <f>2094.013+65.518</f>
        <v>2159.5309999999999</v>
      </c>
      <c r="W21" s="27">
        <f>1867.932+126.749</f>
        <v>1994.681</v>
      </c>
      <c r="X21" s="36">
        <f>1920.384+61.494</f>
        <v>1981.8779999999999</v>
      </c>
      <c r="Y21" s="14">
        <f>2046.87+56.289</f>
        <v>2103.1590000000001</v>
      </c>
      <c r="Z21" s="14">
        <v>3349</v>
      </c>
      <c r="AA21" s="80">
        <v>2812</v>
      </c>
      <c r="AB21" s="1">
        <v>3241</v>
      </c>
      <c r="AC21" s="1">
        <v>4473</v>
      </c>
      <c r="AD21" s="1">
        <v>3844</v>
      </c>
      <c r="AE21" s="3">
        <v>4871.8441299999986</v>
      </c>
      <c r="AF21" s="1">
        <v>5452.3377300000002</v>
      </c>
      <c r="AG21" s="128">
        <v>4774116.3099999996</v>
      </c>
      <c r="AH21" s="128">
        <v>109055.69</v>
      </c>
      <c r="AI21" s="128">
        <v>206783.51</v>
      </c>
      <c r="AJ21" s="3">
        <f>AG21-AH21+AI21</f>
        <v>4871844.129999999</v>
      </c>
      <c r="AK21" s="3">
        <f t="shared" si="5"/>
        <v>4871.8441299999986</v>
      </c>
      <c r="AL21" s="3"/>
      <c r="AM21" s="3">
        <v>5317197.87</v>
      </c>
      <c r="AN21" s="3">
        <v>84608.28</v>
      </c>
      <c r="AO21" s="3">
        <v>219748.13999999998</v>
      </c>
      <c r="AP21" s="3">
        <f t="shared" si="6"/>
        <v>5452337.7299999995</v>
      </c>
      <c r="AQ21" s="3">
        <f t="shared" si="7"/>
        <v>5452.3377299999993</v>
      </c>
      <c r="AR21" s="3"/>
      <c r="AS21" s="1">
        <v>5893332</v>
      </c>
      <c r="AT21" s="3">
        <v>53727.33</v>
      </c>
      <c r="AU21" s="92">
        <v>281348.93</v>
      </c>
      <c r="AV21" s="3">
        <f>AS21-AT21+AU21</f>
        <v>6120953.5999999996</v>
      </c>
      <c r="AW21" s="3">
        <f>AV21/1000</f>
        <v>6120.9535999999998</v>
      </c>
      <c r="AY21" s="3">
        <v>8112400</v>
      </c>
      <c r="AZ21" s="3">
        <v>69240.87</v>
      </c>
      <c r="BA21" s="3">
        <v>316833</v>
      </c>
      <c r="BB21" s="3">
        <f>AY21-AZ21+BA21</f>
        <v>8359992.1299999999</v>
      </c>
      <c r="BC21" s="3">
        <f>BB21/1000</f>
        <v>8359.9921300000005</v>
      </c>
      <c r="BE21" s="3">
        <v>8851957.2300000023</v>
      </c>
      <c r="BF21" s="3">
        <v>61667.07</v>
      </c>
      <c r="BG21" s="3">
        <v>272761.65000000002</v>
      </c>
      <c r="BH21" s="3">
        <f>BE21-BF21+BG21</f>
        <v>9063051.8100000024</v>
      </c>
      <c r="BI21" s="3">
        <f>BH21/1000</f>
        <v>9063.0518100000027</v>
      </c>
      <c r="BK21" s="3">
        <v>10674897.529999999</v>
      </c>
      <c r="BL21" s="3">
        <v>68738.69</v>
      </c>
      <c r="BM21" s="3">
        <v>295117.71999999997</v>
      </c>
      <c r="BN21" s="3">
        <f>BK21-BL21+BM21</f>
        <v>10901276.560000001</v>
      </c>
      <c r="BO21" s="3">
        <f>BN21/1000</f>
        <v>10901.27656</v>
      </c>
      <c r="BQ21" s="256">
        <v>9459957.209999999</v>
      </c>
      <c r="BR21" s="3">
        <v>46471.23</v>
      </c>
      <c r="BS21" s="3">
        <v>346951.09</v>
      </c>
      <c r="BT21" s="3">
        <f>BQ21-BR21+BS21</f>
        <v>9760437.0699999984</v>
      </c>
      <c r="BU21" s="3">
        <f>BT21/1000</f>
        <v>9760.4370699999981</v>
      </c>
      <c r="BW21" s="256">
        <v>7676044.419999999</v>
      </c>
      <c r="BX21" s="3">
        <v>52921.18</v>
      </c>
      <c r="BY21" s="3">
        <v>372085.71000000008</v>
      </c>
      <c r="BZ21" s="3">
        <f>BW21-BX21+BY21</f>
        <v>7995208.9499999993</v>
      </c>
      <c r="CA21" s="3">
        <f>BZ21/1000</f>
        <v>7995.2089499999993</v>
      </c>
      <c r="CC21" s="256">
        <v>6161337.2400000012</v>
      </c>
      <c r="CD21" s="3">
        <v>43273.979999999996</v>
      </c>
      <c r="CE21" s="3">
        <v>684135.8</v>
      </c>
      <c r="CF21" s="3">
        <f>CC21-CD21+CE21</f>
        <v>6802199.0600000005</v>
      </c>
      <c r="CG21" s="3">
        <f>CF21/1000</f>
        <v>6802.1990600000008</v>
      </c>
      <c r="CI21" s="3">
        <v>4166508.38</v>
      </c>
      <c r="CJ21" s="3">
        <v>70141.989999999991</v>
      </c>
      <c r="CK21" s="3">
        <v>510922.72000000003</v>
      </c>
      <c r="CL21" s="3">
        <f>CI21-CJ21+CK21</f>
        <v>4607289.1099999994</v>
      </c>
      <c r="CM21" s="3">
        <f>CL21/1000</f>
        <v>4607.2891099999997</v>
      </c>
      <c r="CO21" s="3">
        <v>4850027.54</v>
      </c>
      <c r="CP21" s="3">
        <v>40139.46</v>
      </c>
      <c r="CQ21" s="3">
        <v>455723.85999999993</v>
      </c>
      <c r="CR21" s="3">
        <f>CO21-CP21+CQ21</f>
        <v>5265611.9400000004</v>
      </c>
      <c r="CS21" s="3">
        <f>CR21/1000</f>
        <v>5265.6119400000007</v>
      </c>
      <c r="CU21" s="3">
        <v>5474610.7600000016</v>
      </c>
      <c r="CV21" s="3">
        <v>56747.920000000013</v>
      </c>
      <c r="CW21" s="3">
        <v>144631.65</v>
      </c>
      <c r="CX21" s="3">
        <f t="shared" si="8"/>
        <v>5562494.4900000021</v>
      </c>
      <c r="CY21" s="3">
        <f t="shared" si="9"/>
        <v>5562.4944900000019</v>
      </c>
    </row>
    <row r="22" spans="1:103">
      <c r="A22" s="1" t="s">
        <v>15</v>
      </c>
      <c r="B22" s="1">
        <v>1448</v>
      </c>
      <c r="C22" s="1">
        <v>1454</v>
      </c>
      <c r="D22" s="1">
        <v>1316.1938</v>
      </c>
      <c r="E22" s="1">
        <v>1647.9083600000001</v>
      </c>
      <c r="F22" s="1">
        <v>1633.7899199999999</v>
      </c>
      <c r="G22" s="1">
        <v>1285.5540399999998</v>
      </c>
      <c r="H22" s="1">
        <v>1382.1461600000002</v>
      </c>
      <c r="I22" s="1">
        <v>1361.13372</v>
      </c>
      <c r="J22" s="1">
        <v>1355.23993</v>
      </c>
      <c r="K22" s="1">
        <v>1488.1068599999999</v>
      </c>
      <c r="L22" s="239">
        <f>(K22-J22)*100/J22</f>
        <v>9.8039415057671686</v>
      </c>
      <c r="M22" s="239">
        <f t="shared" si="4"/>
        <v>33.754977004155066</v>
      </c>
      <c r="N22" s="14">
        <v>384</v>
      </c>
      <c r="O22" s="14">
        <v>348</v>
      </c>
      <c r="P22" s="14">
        <v>364</v>
      </c>
      <c r="Q22" s="27">
        <v>382</v>
      </c>
      <c r="R22" s="27">
        <v>423</v>
      </c>
      <c r="S22" s="27">
        <v>449</v>
      </c>
      <c r="T22" s="27">
        <v>536</v>
      </c>
      <c r="U22" s="27">
        <v>456</v>
      </c>
      <c r="V22" s="27">
        <f>489.899+34.139</f>
        <v>524.03800000000001</v>
      </c>
      <c r="W22" s="27">
        <f>620.312+44.517</f>
        <v>664.82900000000006</v>
      </c>
      <c r="X22" s="36">
        <f>674.24+45.444</f>
        <v>719.68399999999997</v>
      </c>
      <c r="Y22" s="14">
        <f>652.659+39.758</f>
        <v>692.41700000000003</v>
      </c>
      <c r="Z22" s="14">
        <v>754</v>
      </c>
      <c r="AA22" s="80">
        <v>944</v>
      </c>
      <c r="AB22" s="1">
        <v>779</v>
      </c>
      <c r="AC22" s="1">
        <v>951</v>
      </c>
      <c r="AD22" s="1">
        <v>869</v>
      </c>
      <c r="AE22" s="3">
        <v>762.05896999999993</v>
      </c>
      <c r="AF22" s="1">
        <v>1112.56186</v>
      </c>
      <c r="AG22" s="128">
        <v>746892.88</v>
      </c>
      <c r="AH22" s="128">
        <v>26625</v>
      </c>
      <c r="AI22" s="128">
        <v>41791.089999999997</v>
      </c>
      <c r="AJ22" s="3">
        <f>AG22-AH22+AI22</f>
        <v>762058.97</v>
      </c>
      <c r="AK22" s="3">
        <f t="shared" si="5"/>
        <v>762.05896999999993</v>
      </c>
      <c r="AL22" s="3"/>
      <c r="AM22" s="3">
        <v>1070231.21</v>
      </c>
      <c r="AN22" s="3">
        <v>38599.760000000002</v>
      </c>
      <c r="AO22" s="3">
        <v>80930.41</v>
      </c>
      <c r="AP22" s="3">
        <f t="shared" si="6"/>
        <v>1112561.8599999999</v>
      </c>
      <c r="AQ22" s="3">
        <f t="shared" si="7"/>
        <v>1112.5618599999998</v>
      </c>
      <c r="AR22" s="3"/>
      <c r="AS22" s="1">
        <v>1410842.82</v>
      </c>
      <c r="AT22" s="3">
        <v>26064.880000000001</v>
      </c>
      <c r="AU22" s="92">
        <v>62892.97</v>
      </c>
      <c r="AV22" s="3">
        <f>AS22-AT22+AU22</f>
        <v>1447670.9100000001</v>
      </c>
      <c r="AW22" s="3">
        <f>AV22/1000</f>
        <v>1447.67091</v>
      </c>
      <c r="AY22" s="3">
        <v>1430998.93</v>
      </c>
      <c r="AZ22" s="3">
        <v>19543.349999999999</v>
      </c>
      <c r="BA22" s="3">
        <v>42795.73</v>
      </c>
      <c r="BB22" s="3">
        <f>AY22-AZ22+BA22</f>
        <v>1454251.3099999998</v>
      </c>
      <c r="BC22" s="3">
        <f>BB22/1000</f>
        <v>1454.2513099999999</v>
      </c>
      <c r="BE22" s="3">
        <v>1263764.71</v>
      </c>
      <c r="BF22" s="3">
        <v>23512.43</v>
      </c>
      <c r="BG22" s="3">
        <v>75941.52</v>
      </c>
      <c r="BH22" s="3">
        <f>BE22-BF22+BG22</f>
        <v>1316193.8</v>
      </c>
      <c r="BI22" s="3">
        <f>BH22/1000</f>
        <v>1316.1938</v>
      </c>
      <c r="BK22" s="3">
        <v>1512075.19</v>
      </c>
      <c r="BL22" s="3">
        <v>25122.9</v>
      </c>
      <c r="BM22" s="3">
        <v>160956.07</v>
      </c>
      <c r="BN22" s="3">
        <f>BK22-BL22+BM22</f>
        <v>1647908.36</v>
      </c>
      <c r="BO22" s="3">
        <f>BN22/1000</f>
        <v>1647.9083600000001</v>
      </c>
      <c r="BQ22" s="256">
        <v>1493507.13</v>
      </c>
      <c r="BR22" s="3">
        <v>11919.31</v>
      </c>
      <c r="BS22" s="3">
        <v>152202.1</v>
      </c>
      <c r="BT22" s="3">
        <f>BQ22-BR22+BS22</f>
        <v>1633789.92</v>
      </c>
      <c r="BU22" s="3">
        <f>BT22/1000</f>
        <v>1633.7899199999999</v>
      </c>
      <c r="BW22" s="256">
        <v>1186393.71</v>
      </c>
      <c r="BX22" s="3">
        <v>770.33</v>
      </c>
      <c r="BY22" s="3">
        <v>99930.66</v>
      </c>
      <c r="BZ22" s="3">
        <f>BW22-BX22+BY22</f>
        <v>1285554.0399999998</v>
      </c>
      <c r="CA22" s="3">
        <f>BZ22/1000</f>
        <v>1285.5540399999998</v>
      </c>
      <c r="CC22" s="256">
        <v>1075916.54</v>
      </c>
      <c r="CD22" s="3">
        <v>75</v>
      </c>
      <c r="CE22" s="3">
        <v>306304.62000000005</v>
      </c>
      <c r="CF22" s="3">
        <f>CC22-CD22+CE22</f>
        <v>1382146.1600000001</v>
      </c>
      <c r="CG22" s="3">
        <f>CF22/1000</f>
        <v>1382.1461600000002</v>
      </c>
      <c r="CI22" s="3">
        <v>1070992.8599999999</v>
      </c>
      <c r="CJ22" s="3">
        <v>1000</v>
      </c>
      <c r="CK22" s="3">
        <v>291140.86000000004</v>
      </c>
      <c r="CL22" s="3">
        <f>CI22-CJ22+CK22</f>
        <v>1361133.72</v>
      </c>
      <c r="CM22" s="3">
        <f>CL22/1000</f>
        <v>1361.13372</v>
      </c>
      <c r="CO22" s="3">
        <v>1117491.17</v>
      </c>
      <c r="CP22" s="3">
        <v>406.65</v>
      </c>
      <c r="CQ22" s="3">
        <v>238155.41</v>
      </c>
      <c r="CR22" s="3">
        <f>CO22-CP22+CQ22</f>
        <v>1355239.93</v>
      </c>
      <c r="CS22" s="3">
        <f>CR22/1000</f>
        <v>1355.23993</v>
      </c>
      <c r="CU22" s="3">
        <v>1288339.46</v>
      </c>
      <c r="CV22" s="3">
        <v>1010.85</v>
      </c>
      <c r="CW22" s="3">
        <v>200778.25000000003</v>
      </c>
      <c r="CX22" s="3">
        <f t="shared" si="8"/>
        <v>1488106.8599999999</v>
      </c>
      <c r="CY22" s="3">
        <f t="shared" si="9"/>
        <v>1488.1068599999999</v>
      </c>
    </row>
    <row r="23" spans="1:103">
      <c r="L23" s="239"/>
      <c r="M23" s="239"/>
      <c r="N23" s="14"/>
      <c r="P23" s="14"/>
      <c r="Q23" s="27"/>
      <c r="R23" s="27"/>
      <c r="S23" s="27"/>
      <c r="T23" s="27"/>
      <c r="U23" s="27"/>
      <c r="V23" s="27"/>
      <c r="W23" s="27"/>
      <c r="X23" s="36"/>
      <c r="Y23" s="14"/>
      <c r="Z23" s="14"/>
      <c r="AA23" s="80"/>
      <c r="AE23" s="3"/>
      <c r="AG23" s="128"/>
      <c r="AH23" s="128"/>
      <c r="AI23" s="128"/>
      <c r="AJ23" s="3"/>
      <c r="AK23" s="3">
        <f t="shared" si="5"/>
        <v>0</v>
      </c>
      <c r="AL23" s="3"/>
      <c r="AM23" s="3"/>
      <c r="AN23" s="3"/>
      <c r="AO23" s="3"/>
      <c r="AP23" s="3"/>
      <c r="AQ23" s="3"/>
      <c r="AR23" s="3"/>
      <c r="AS23" s="1"/>
      <c r="AU23" s="92"/>
      <c r="BQ23" s="256"/>
      <c r="BW23" s="256"/>
      <c r="CC23" s="256"/>
    </row>
    <row r="24" spans="1:103">
      <c r="A24" s="1" t="s">
        <v>16</v>
      </c>
      <c r="B24" s="1">
        <v>10040</v>
      </c>
      <c r="C24" s="1">
        <v>7585</v>
      </c>
      <c r="D24" s="1">
        <v>10272.426720000001</v>
      </c>
      <c r="E24" s="1">
        <v>10850.015940000003</v>
      </c>
      <c r="F24" s="1">
        <v>11688.067780000001</v>
      </c>
      <c r="G24" s="1">
        <v>10608.577519999997</v>
      </c>
      <c r="H24" s="1">
        <v>11699.430289999998</v>
      </c>
      <c r="I24" s="1">
        <v>13744.932359999999</v>
      </c>
      <c r="J24" s="1">
        <v>9236.1102899999987</v>
      </c>
      <c r="K24" s="1">
        <v>7815.9506999999976</v>
      </c>
      <c r="L24" s="239">
        <f>(K24-J24)*100/J24</f>
        <v>-15.376165348930686</v>
      </c>
      <c r="M24" s="239">
        <f t="shared" si="4"/>
        <v>14.239839200740972</v>
      </c>
      <c r="N24" s="14">
        <v>1932</v>
      </c>
      <c r="O24" s="14">
        <v>1853</v>
      </c>
      <c r="P24" s="14">
        <v>2081</v>
      </c>
      <c r="Q24" s="27">
        <v>2423</v>
      </c>
      <c r="R24" s="27">
        <v>2953</v>
      </c>
      <c r="S24" s="27">
        <v>3156</v>
      </c>
      <c r="T24" s="27">
        <v>3386</v>
      </c>
      <c r="U24" s="27">
        <v>3194</v>
      </c>
      <c r="V24" s="27">
        <f>3040.017+188.168</f>
        <v>3228.1849999999999</v>
      </c>
      <c r="W24" s="27">
        <f>2936.017+186.746</f>
        <v>3122.7629999999999</v>
      </c>
      <c r="X24" s="36">
        <f>3291.797+193.647</f>
        <v>3485.444</v>
      </c>
      <c r="Y24" s="14">
        <f>3780.892+203.581</f>
        <v>3984.473</v>
      </c>
      <c r="Z24" s="14">
        <v>4153</v>
      </c>
      <c r="AA24" s="80">
        <v>5019</v>
      </c>
      <c r="AB24" s="1">
        <v>5693</v>
      </c>
      <c r="AC24" s="1">
        <v>4750.7299999999996</v>
      </c>
      <c r="AD24" s="1">
        <v>5323</v>
      </c>
      <c r="AE24" s="3">
        <v>7154.2667600000004</v>
      </c>
      <c r="AF24" s="1">
        <v>6841.7031699999998</v>
      </c>
      <c r="AG24" s="128">
        <v>6736228.2800000003</v>
      </c>
      <c r="AH24" s="128">
        <v>67365.06</v>
      </c>
      <c r="AI24" s="128">
        <v>485403.54</v>
      </c>
      <c r="AJ24" s="3">
        <f>AG24-AH24+AI24</f>
        <v>7154266.7600000007</v>
      </c>
      <c r="AK24" s="3">
        <f t="shared" si="5"/>
        <v>7154.2667600000004</v>
      </c>
      <c r="AL24" s="3"/>
      <c r="AM24" s="3">
        <v>6513738.6699999999</v>
      </c>
      <c r="AN24" s="3">
        <v>57223.130000000005</v>
      </c>
      <c r="AO24" s="3">
        <v>385187.62999999995</v>
      </c>
      <c r="AP24" s="3">
        <f t="shared" si="6"/>
        <v>6841703.1699999999</v>
      </c>
      <c r="AQ24" s="3">
        <f t="shared" si="7"/>
        <v>6841.7031699999998</v>
      </c>
      <c r="AR24" s="3"/>
      <c r="AS24" s="1">
        <v>9619372</v>
      </c>
      <c r="AT24" s="3">
        <v>76834.720000000001</v>
      </c>
      <c r="AU24" s="92">
        <v>497021.95</v>
      </c>
      <c r="AV24" s="3">
        <f>AS24-AT24+AU24</f>
        <v>10039559.229999999</v>
      </c>
      <c r="AW24" s="3">
        <f>AV24/1000</f>
        <v>10039.559229999999</v>
      </c>
      <c r="AY24" s="3">
        <v>7127790</v>
      </c>
      <c r="AZ24" s="3">
        <v>57966.42</v>
      </c>
      <c r="BA24" s="3">
        <v>515518.15</v>
      </c>
      <c r="BB24" s="3">
        <f>AY24-AZ24+BA24</f>
        <v>7585341.7300000004</v>
      </c>
      <c r="BC24" s="3">
        <f>BB24/1000</f>
        <v>7585.3417300000001</v>
      </c>
      <c r="BE24" s="3">
        <v>9747799.0200000014</v>
      </c>
      <c r="BF24" s="3">
        <v>67454.38</v>
      </c>
      <c r="BG24" s="3">
        <v>592082.07999999996</v>
      </c>
      <c r="BH24" s="3">
        <f>BE24-BF24+BG24</f>
        <v>10272426.720000001</v>
      </c>
      <c r="BI24" s="3">
        <f>BH24/1000</f>
        <v>10272.426720000001</v>
      </c>
      <c r="BK24" s="3">
        <v>10372680.590000004</v>
      </c>
      <c r="BL24" s="3">
        <v>44578.66</v>
      </c>
      <c r="BM24" s="3">
        <v>521914.01</v>
      </c>
      <c r="BN24" s="3">
        <f>BK24-BL24+BM24</f>
        <v>10850015.940000003</v>
      </c>
      <c r="BO24" s="3">
        <f>BN24/1000</f>
        <v>10850.015940000003</v>
      </c>
      <c r="BQ24" s="256">
        <v>11204535.120000001</v>
      </c>
      <c r="BR24" s="3">
        <v>48020.51</v>
      </c>
      <c r="BS24" s="3">
        <v>531553.17000000004</v>
      </c>
      <c r="BT24" s="3">
        <f>BQ24-BR24+BS24</f>
        <v>11688067.780000001</v>
      </c>
      <c r="BU24" s="3">
        <f>BT24/1000</f>
        <v>11688.067780000001</v>
      </c>
      <c r="BW24" s="256">
        <v>10136559.579999998</v>
      </c>
      <c r="BX24" s="3">
        <v>106425.31999999999</v>
      </c>
      <c r="BY24" s="3">
        <v>578443.26</v>
      </c>
      <c r="BZ24" s="3">
        <f>BW24-BX24+BY24</f>
        <v>10608577.519999998</v>
      </c>
      <c r="CA24" s="3">
        <f>BZ24/1000</f>
        <v>10608.577519999997</v>
      </c>
      <c r="CC24" s="256">
        <v>10153576.93</v>
      </c>
      <c r="CD24" s="3">
        <v>92955.749999999985</v>
      </c>
      <c r="CE24" s="3">
        <v>1638809.11</v>
      </c>
      <c r="CF24" s="3">
        <f>CC24-CD24+CE24</f>
        <v>11699430.289999999</v>
      </c>
      <c r="CG24" s="3">
        <f>CF24/1000</f>
        <v>11699.430289999998</v>
      </c>
      <c r="CI24" s="3">
        <v>11929222.68</v>
      </c>
      <c r="CJ24" s="3">
        <v>65001.560000000005</v>
      </c>
      <c r="CK24" s="3">
        <v>1880711.24</v>
      </c>
      <c r="CL24" s="3">
        <f>CI24-CJ24+CK24</f>
        <v>13744932.359999999</v>
      </c>
      <c r="CM24" s="3">
        <f>CL24/1000</f>
        <v>13744.932359999999</v>
      </c>
      <c r="CO24" s="3">
        <v>8504956.1899999995</v>
      </c>
      <c r="CP24" s="3">
        <v>942.5</v>
      </c>
      <c r="CQ24" s="3">
        <v>732096.6</v>
      </c>
      <c r="CR24" s="3">
        <f>CO24-CP24+CQ24</f>
        <v>9236110.2899999991</v>
      </c>
      <c r="CS24" s="3">
        <f>CR24/1000</f>
        <v>9236.1102899999987</v>
      </c>
      <c r="CU24" s="3">
        <v>7054392.8099999977</v>
      </c>
      <c r="CV24" s="3">
        <v>0</v>
      </c>
      <c r="CW24" s="3">
        <v>761557.8899999999</v>
      </c>
      <c r="CX24" s="3">
        <f t="shared" si="8"/>
        <v>7815950.6999999974</v>
      </c>
      <c r="CY24" s="3">
        <f t="shared" si="9"/>
        <v>7815.9506999999976</v>
      </c>
    </row>
    <row r="25" spans="1:103">
      <c r="A25" s="1" t="s">
        <v>17</v>
      </c>
      <c r="B25" s="1">
        <v>1140</v>
      </c>
      <c r="C25" s="1">
        <v>928</v>
      </c>
      <c r="D25" s="1">
        <v>1066.64318</v>
      </c>
      <c r="E25" s="1">
        <v>1168.02242</v>
      </c>
      <c r="F25" s="1">
        <v>1440.1010999999999</v>
      </c>
      <c r="G25" s="1">
        <v>860.38078000000007</v>
      </c>
      <c r="H25" s="1">
        <v>800.02827999999988</v>
      </c>
      <c r="I25" s="1">
        <v>752.10877000000005</v>
      </c>
      <c r="J25" s="1">
        <v>660.11347999999998</v>
      </c>
      <c r="K25" s="1">
        <v>897.54565000000002</v>
      </c>
      <c r="L25" s="239">
        <f>(K25-J25)*100/J25</f>
        <v>35.968386829488779</v>
      </c>
      <c r="M25" s="239">
        <f t="shared" si="4"/>
        <v>-18.552995274281312</v>
      </c>
      <c r="N25" s="14">
        <v>333</v>
      </c>
      <c r="O25" s="14">
        <v>350</v>
      </c>
      <c r="P25" s="14">
        <v>425</v>
      </c>
      <c r="Q25" s="27">
        <v>439</v>
      </c>
      <c r="R25" s="27">
        <v>511</v>
      </c>
      <c r="S25" s="27">
        <v>557</v>
      </c>
      <c r="T25" s="27">
        <v>340</v>
      </c>
      <c r="U25" s="27">
        <v>548</v>
      </c>
      <c r="V25" s="27">
        <f>583.549+15.356</f>
        <v>598.90499999999997</v>
      </c>
      <c r="W25" s="27">
        <f>563.146+16.911</f>
        <v>580.05700000000002</v>
      </c>
      <c r="X25" s="36">
        <f>514.444+23.662</f>
        <v>538.10599999999999</v>
      </c>
      <c r="Y25" s="14">
        <f>445.3+17.207</f>
        <v>462.50700000000001</v>
      </c>
      <c r="Z25" s="14">
        <v>606</v>
      </c>
      <c r="AA25" s="80">
        <v>648</v>
      </c>
      <c r="AB25" s="1">
        <v>870</v>
      </c>
      <c r="AC25" s="1">
        <v>971.93</v>
      </c>
      <c r="AD25" s="1">
        <v>1032</v>
      </c>
      <c r="AE25" s="3">
        <v>1198.4680499999997</v>
      </c>
      <c r="AF25" s="1">
        <v>1101.9995799999999</v>
      </c>
      <c r="AG25" s="128">
        <v>1138478.3799999999</v>
      </c>
      <c r="AH25" s="128">
        <v>0</v>
      </c>
      <c r="AI25" s="128">
        <v>59989.67</v>
      </c>
      <c r="AJ25" s="3">
        <f>AG25-AH25+AI25</f>
        <v>1198468.0499999998</v>
      </c>
      <c r="AK25" s="3">
        <f t="shared" si="5"/>
        <v>1198.4680499999997</v>
      </c>
      <c r="AL25" s="3"/>
      <c r="AM25" s="3">
        <v>1040401.3499999999</v>
      </c>
      <c r="AN25" s="3">
        <v>0</v>
      </c>
      <c r="AO25" s="3">
        <v>61598.229999999996</v>
      </c>
      <c r="AP25" s="3">
        <f t="shared" si="6"/>
        <v>1101999.5799999998</v>
      </c>
      <c r="AQ25" s="3">
        <f t="shared" si="7"/>
        <v>1101.9995799999999</v>
      </c>
      <c r="AR25" s="3"/>
      <c r="AS25" s="1">
        <v>1072713.33</v>
      </c>
      <c r="AT25" s="3">
        <v>0</v>
      </c>
      <c r="AU25" s="92">
        <v>67404.789999999994</v>
      </c>
      <c r="AV25" s="3">
        <f>AS25-AT25+AU25</f>
        <v>1140118.1200000001</v>
      </c>
      <c r="AW25" s="3">
        <f>AV25/1000</f>
        <v>1140.1181200000001</v>
      </c>
      <c r="AY25" s="3">
        <v>883309.31</v>
      </c>
      <c r="AZ25" s="3">
        <v>0</v>
      </c>
      <c r="BA25" s="3">
        <v>44384.34</v>
      </c>
      <c r="BB25" s="3">
        <f>AY25-AZ25+BA25</f>
        <v>927693.65</v>
      </c>
      <c r="BC25" s="3">
        <f>BB25/1000</f>
        <v>927.69365000000005</v>
      </c>
      <c r="BE25" s="3">
        <v>1010812.69</v>
      </c>
      <c r="BF25" s="3">
        <v>0</v>
      </c>
      <c r="BG25" s="3">
        <v>55830.49</v>
      </c>
      <c r="BH25" s="3">
        <f>BE25-BF25+BG25</f>
        <v>1066643.18</v>
      </c>
      <c r="BI25" s="3">
        <f>BH25/1000</f>
        <v>1066.64318</v>
      </c>
      <c r="BK25" s="3">
        <v>1120845.44</v>
      </c>
      <c r="BL25" s="3">
        <v>0</v>
      </c>
      <c r="BM25" s="3">
        <v>47176.98</v>
      </c>
      <c r="BN25" s="3">
        <f>BK25-BL25+BM25</f>
        <v>1168022.42</v>
      </c>
      <c r="BO25" s="3">
        <f>BN25/1000</f>
        <v>1168.02242</v>
      </c>
      <c r="BQ25" s="256">
        <v>1390433.64</v>
      </c>
      <c r="BR25" s="3">
        <v>0</v>
      </c>
      <c r="BS25" s="3">
        <v>49667.46</v>
      </c>
      <c r="BT25" s="3">
        <f>BQ25-BR25+BS25</f>
        <v>1440101.0999999999</v>
      </c>
      <c r="BU25" s="3">
        <f>BT25/1000</f>
        <v>1440.1010999999999</v>
      </c>
      <c r="BW25" s="256">
        <v>739818.64</v>
      </c>
      <c r="BX25" s="3">
        <v>0</v>
      </c>
      <c r="BY25" s="3">
        <v>120562.14</v>
      </c>
      <c r="BZ25" s="3">
        <f>BW25-BX25+BY25</f>
        <v>860380.78</v>
      </c>
      <c r="CA25" s="3">
        <f>BZ25/1000</f>
        <v>860.38078000000007</v>
      </c>
      <c r="CC25" s="256">
        <v>724539.07</v>
      </c>
      <c r="CD25" s="3">
        <v>0</v>
      </c>
      <c r="CE25" s="3">
        <v>75489.210000000006</v>
      </c>
      <c r="CF25" s="3">
        <f>CC25-CD25+CE25</f>
        <v>800028.27999999991</v>
      </c>
      <c r="CG25" s="3">
        <f>CF25/1000</f>
        <v>800.02827999999988</v>
      </c>
      <c r="CI25" s="3">
        <v>631657.74</v>
      </c>
      <c r="CJ25" s="3">
        <v>0</v>
      </c>
      <c r="CK25" s="3">
        <v>120451.03000000003</v>
      </c>
      <c r="CL25" s="3">
        <f>CI25-CJ25+CK25</f>
        <v>752108.77</v>
      </c>
      <c r="CM25" s="3">
        <f>CL25/1000</f>
        <v>752.10877000000005</v>
      </c>
      <c r="CO25" s="3">
        <v>579950.16</v>
      </c>
      <c r="CP25" s="3">
        <v>0</v>
      </c>
      <c r="CQ25" s="3">
        <v>80163.320000000007</v>
      </c>
      <c r="CR25" s="3">
        <f>CO25-CP25+CQ25</f>
        <v>660113.48</v>
      </c>
      <c r="CS25" s="3">
        <f>CR25/1000</f>
        <v>660.11347999999998</v>
      </c>
      <c r="CU25" s="3">
        <v>854131.88</v>
      </c>
      <c r="CV25" s="3">
        <v>0</v>
      </c>
      <c r="CW25" s="3">
        <v>43413.770000000004</v>
      </c>
      <c r="CX25" s="3">
        <f t="shared" si="8"/>
        <v>897545.65</v>
      </c>
      <c r="CY25" s="3">
        <f t="shared" si="9"/>
        <v>897.54565000000002</v>
      </c>
    </row>
    <row r="26" spans="1:103">
      <c r="A26" s="1" t="s">
        <v>18</v>
      </c>
      <c r="B26" s="1">
        <v>7109</v>
      </c>
      <c r="C26" s="1">
        <v>6957</v>
      </c>
      <c r="D26" s="1">
        <v>9738.8558900000007</v>
      </c>
      <c r="E26" s="1">
        <v>11324.309359999999</v>
      </c>
      <c r="F26" s="1">
        <v>10673.900670000001</v>
      </c>
      <c r="G26" s="1">
        <v>9220.3349799999978</v>
      </c>
      <c r="H26" s="1">
        <v>9585.4146099999998</v>
      </c>
      <c r="I26" s="1">
        <v>9082.6704100000006</v>
      </c>
      <c r="J26" s="1">
        <v>8971.070749999999</v>
      </c>
      <c r="K26" s="1">
        <v>8268.7341400000023</v>
      </c>
      <c r="L26" s="239">
        <f>(K26-J26)*100/J26</f>
        <v>-7.8289050390110546</v>
      </c>
      <c r="M26" s="239">
        <f t="shared" si="4"/>
        <v>13.019781002966512</v>
      </c>
      <c r="N26" s="14">
        <v>2338</v>
      </c>
      <c r="O26" s="14">
        <v>2378</v>
      </c>
      <c r="P26" s="14">
        <v>2492</v>
      </c>
      <c r="Q26" s="27">
        <v>2639</v>
      </c>
      <c r="R26" s="27">
        <v>3106</v>
      </c>
      <c r="S26" s="27">
        <v>3541</v>
      </c>
      <c r="T26" s="27">
        <v>3833</v>
      </c>
      <c r="U26" s="27">
        <v>4372</v>
      </c>
      <c r="V26" s="27">
        <f>4882.398+139.684</f>
        <v>5022.0820000000003</v>
      </c>
      <c r="W26" s="27">
        <f>5718.579+230.947</f>
        <v>5949.5259999999998</v>
      </c>
      <c r="X26" s="36">
        <f>5941.856+187.617</f>
        <v>6129.473</v>
      </c>
      <c r="Y26" s="14">
        <f>6052.769+190.654</f>
        <v>6243.4230000000007</v>
      </c>
      <c r="Z26" s="14">
        <v>6217</v>
      </c>
      <c r="AA26" s="80">
        <v>6212</v>
      </c>
      <c r="AB26" s="1">
        <v>6103</v>
      </c>
      <c r="AC26" s="1">
        <v>5270</v>
      </c>
      <c r="AD26" s="1">
        <v>5773</v>
      </c>
      <c r="AE26" s="3">
        <v>6698.9224799999993</v>
      </c>
      <c r="AF26" s="1">
        <v>7316.1831199999997</v>
      </c>
      <c r="AG26" s="128">
        <v>6466460.7799999993</v>
      </c>
      <c r="AH26" s="128">
        <v>0</v>
      </c>
      <c r="AI26" s="128">
        <v>232461.7</v>
      </c>
      <c r="AJ26" s="3">
        <f>AG26-AH26+AI26</f>
        <v>6698922.4799999995</v>
      </c>
      <c r="AK26" s="3">
        <f t="shared" si="5"/>
        <v>6698.9224799999993</v>
      </c>
      <c r="AL26" s="3"/>
      <c r="AM26" s="3">
        <v>7078400.9499999993</v>
      </c>
      <c r="AN26" s="3">
        <v>0</v>
      </c>
      <c r="AO26" s="3">
        <v>237782.16999999998</v>
      </c>
      <c r="AP26" s="3">
        <f t="shared" si="6"/>
        <v>7316183.1199999992</v>
      </c>
      <c r="AQ26" s="3">
        <f t="shared" si="7"/>
        <v>7316.1831199999988</v>
      </c>
      <c r="AR26" s="3"/>
      <c r="AS26" s="1">
        <v>6878110</v>
      </c>
      <c r="AT26" s="3">
        <v>0</v>
      </c>
      <c r="AU26" s="92">
        <v>230711.15</v>
      </c>
      <c r="AV26" s="3">
        <f>AS26-AT26+AU26</f>
        <v>7108821.1500000004</v>
      </c>
      <c r="AW26" s="3">
        <f>AV26/1000</f>
        <v>7108.8211500000007</v>
      </c>
      <c r="AY26" s="3">
        <v>6590470</v>
      </c>
      <c r="AZ26" s="3">
        <v>0</v>
      </c>
      <c r="BA26" s="3">
        <v>366844.76</v>
      </c>
      <c r="BB26" s="3">
        <f>AY26-AZ26+BA26</f>
        <v>6957314.7599999998</v>
      </c>
      <c r="BC26" s="3">
        <f>BB26/1000</f>
        <v>6957.3147600000002</v>
      </c>
      <c r="BE26" s="3">
        <v>9223712.1400000006</v>
      </c>
      <c r="BF26" s="3">
        <v>0</v>
      </c>
      <c r="BG26" s="3">
        <v>515143.75</v>
      </c>
      <c r="BH26" s="3">
        <f>BE26-BF26+BG26</f>
        <v>9738855.8900000006</v>
      </c>
      <c r="BI26" s="3">
        <f>BH26/1000</f>
        <v>9738.8558900000007</v>
      </c>
      <c r="BK26" s="3">
        <v>10749755.84</v>
      </c>
      <c r="BL26" s="3">
        <v>0</v>
      </c>
      <c r="BM26" s="3">
        <v>574553.52</v>
      </c>
      <c r="BN26" s="3">
        <f>BK26-BL26+BM26</f>
        <v>11324309.359999999</v>
      </c>
      <c r="BO26" s="3">
        <f>BN26/1000</f>
        <v>11324.309359999999</v>
      </c>
      <c r="BQ26" s="256">
        <v>10245351.710000001</v>
      </c>
      <c r="BR26" s="3">
        <v>0</v>
      </c>
      <c r="BS26" s="3">
        <v>428548.96</v>
      </c>
      <c r="BT26" s="3">
        <f>BQ26-BR26+BS26</f>
        <v>10673900.670000002</v>
      </c>
      <c r="BU26" s="3">
        <f>BT26/1000</f>
        <v>10673.900670000001</v>
      </c>
      <c r="BW26" s="256">
        <v>8825846.1199999992</v>
      </c>
      <c r="BX26" s="3">
        <v>0</v>
      </c>
      <c r="BY26" s="3">
        <v>394488.85999999993</v>
      </c>
      <c r="BZ26" s="3">
        <f>BW26-BX26+BY26</f>
        <v>9220334.9799999986</v>
      </c>
      <c r="CA26" s="3">
        <f>BZ26/1000</f>
        <v>9220.3349799999978</v>
      </c>
      <c r="CC26" s="256">
        <v>8192386.9399999995</v>
      </c>
      <c r="CD26" s="3">
        <v>0</v>
      </c>
      <c r="CE26" s="3">
        <v>1393027.6699999995</v>
      </c>
      <c r="CF26" s="3">
        <f>CC26-CD26+CE26</f>
        <v>9585414.6099999994</v>
      </c>
      <c r="CG26" s="3">
        <f>CF26/1000</f>
        <v>9585.4146099999998</v>
      </c>
      <c r="CI26" s="3">
        <v>8477986.0999999996</v>
      </c>
      <c r="CJ26" s="3">
        <v>0</v>
      </c>
      <c r="CK26" s="3">
        <v>604684.30999999994</v>
      </c>
      <c r="CL26" s="3">
        <f>CI26-CJ26+CK26</f>
        <v>9082670.4100000001</v>
      </c>
      <c r="CM26" s="3">
        <f>CL26/1000</f>
        <v>9082.6704100000006</v>
      </c>
      <c r="CO26" s="3">
        <v>8641736.7199999988</v>
      </c>
      <c r="CP26" s="3">
        <v>0</v>
      </c>
      <c r="CQ26" s="3">
        <v>329334.02999999997</v>
      </c>
      <c r="CR26" s="3">
        <f>CO26-CP26+CQ26</f>
        <v>8971070.7499999981</v>
      </c>
      <c r="CS26" s="3">
        <f>CR26/1000</f>
        <v>8971.070749999999</v>
      </c>
      <c r="CU26" s="3">
        <v>7746777.6100000013</v>
      </c>
      <c r="CV26" s="3">
        <v>0</v>
      </c>
      <c r="CW26" s="3">
        <v>521956.52999999991</v>
      </c>
      <c r="CX26" s="3">
        <f t="shared" si="8"/>
        <v>8268734.1400000015</v>
      </c>
      <c r="CY26" s="3">
        <f t="shared" si="9"/>
        <v>8268.7341400000023</v>
      </c>
    </row>
    <row r="27" spans="1:103">
      <c r="A27" s="1" t="s">
        <v>19</v>
      </c>
      <c r="B27" s="1">
        <v>11600</v>
      </c>
      <c r="C27" s="1">
        <v>10664</v>
      </c>
      <c r="D27" s="1">
        <v>12965.42389</v>
      </c>
      <c r="E27" s="1">
        <v>10258.912269999999</v>
      </c>
      <c r="F27" s="1">
        <v>14449.1222</v>
      </c>
      <c r="G27" s="1">
        <v>13975.30406</v>
      </c>
      <c r="H27" s="1">
        <v>14405.145699999999</v>
      </c>
      <c r="I27" s="1">
        <v>19810.510760000001</v>
      </c>
      <c r="J27" s="1">
        <v>14978.45544</v>
      </c>
      <c r="K27" s="1">
        <v>12808.767900000001</v>
      </c>
      <c r="L27" s="239">
        <f>(K27-J27)*100/J27</f>
        <v>-14.485389022194127</v>
      </c>
      <c r="M27" s="239">
        <f t="shared" si="4"/>
        <v>18.672676584487537</v>
      </c>
      <c r="N27" s="14">
        <v>3153</v>
      </c>
      <c r="O27" s="14">
        <v>3036</v>
      </c>
      <c r="P27" s="14">
        <v>3273</v>
      </c>
      <c r="Q27" s="27">
        <v>3805</v>
      </c>
      <c r="R27" s="27">
        <v>4461</v>
      </c>
      <c r="S27" s="27">
        <v>5180</v>
      </c>
      <c r="T27" s="27">
        <v>6017</v>
      </c>
      <c r="U27" s="27">
        <v>5306</v>
      </c>
      <c r="V27" s="27">
        <f>4951.315+194.165</f>
        <v>5145.4799999999996</v>
      </c>
      <c r="W27" s="27">
        <f>5255.808+146.452</f>
        <v>5402.26</v>
      </c>
      <c r="X27" s="36">
        <f>5144.574+189.844</f>
        <v>5334.4179999999997</v>
      </c>
      <c r="Y27" s="14">
        <f>6207.545+204.119</f>
        <v>6411.6639999999998</v>
      </c>
      <c r="Z27" s="14">
        <v>6427</v>
      </c>
      <c r="AA27" s="80">
        <v>5743</v>
      </c>
      <c r="AB27" s="1">
        <v>7516</v>
      </c>
      <c r="AC27" s="1">
        <v>7514</v>
      </c>
      <c r="AD27" s="1">
        <v>10094</v>
      </c>
      <c r="AE27" s="3">
        <v>8985.3177999999989</v>
      </c>
      <c r="AF27" s="1">
        <v>10793.358899999999</v>
      </c>
      <c r="AG27" s="128">
        <v>8474673.4699999988</v>
      </c>
      <c r="AH27" s="128">
        <v>9978.33</v>
      </c>
      <c r="AI27" s="128">
        <v>520622.66</v>
      </c>
      <c r="AJ27" s="3">
        <f>AG27-AH27+AI27</f>
        <v>8985317.7999999989</v>
      </c>
      <c r="AK27" s="3">
        <f t="shared" si="5"/>
        <v>8985.3177999999989</v>
      </c>
      <c r="AL27" s="3"/>
      <c r="AM27" s="3">
        <v>9579381.25</v>
      </c>
      <c r="AN27" s="3">
        <v>0</v>
      </c>
      <c r="AO27" s="3">
        <v>1213977.6499999999</v>
      </c>
      <c r="AP27" s="3">
        <f t="shared" si="6"/>
        <v>10793358.9</v>
      </c>
      <c r="AQ27" s="3">
        <f t="shared" si="7"/>
        <v>10793.358900000001</v>
      </c>
      <c r="AR27" s="3"/>
      <c r="AS27" s="1">
        <v>10731389</v>
      </c>
      <c r="AT27" s="3">
        <v>0</v>
      </c>
      <c r="AU27" s="92">
        <v>868446.6</v>
      </c>
      <c r="AV27" s="3">
        <f>AS27-AT27+AU27</f>
        <v>11599835.6</v>
      </c>
      <c r="AW27" s="3">
        <f>AV27/1000</f>
        <v>11599.8356</v>
      </c>
      <c r="AY27" s="3">
        <v>9096260</v>
      </c>
      <c r="AZ27" s="3">
        <v>0</v>
      </c>
      <c r="BA27" s="3">
        <v>1567626.36</v>
      </c>
      <c r="BB27" s="3">
        <f>AY27-AZ27+BA27</f>
        <v>10663886.359999999</v>
      </c>
      <c r="BC27" s="3">
        <f>BB27/1000</f>
        <v>10663.886359999999</v>
      </c>
      <c r="BE27" s="3">
        <v>11583124.73</v>
      </c>
      <c r="BF27" s="3">
        <v>0</v>
      </c>
      <c r="BG27" s="3">
        <v>1382299.16</v>
      </c>
      <c r="BH27" s="3">
        <f>BE27-BF27+BG27</f>
        <v>12965423.890000001</v>
      </c>
      <c r="BI27" s="3">
        <f>BH27/1000</f>
        <v>12965.42389</v>
      </c>
      <c r="BK27" s="3">
        <v>8979454.2599999998</v>
      </c>
      <c r="BL27" s="3">
        <v>0</v>
      </c>
      <c r="BM27" s="3">
        <v>1279458.01</v>
      </c>
      <c r="BN27" s="3">
        <f>BK27-BL27+BM27</f>
        <v>10258912.27</v>
      </c>
      <c r="BO27" s="3">
        <f>BN27/1000</f>
        <v>10258.912269999999</v>
      </c>
      <c r="BQ27" s="256">
        <v>13034183.82</v>
      </c>
      <c r="BR27" s="3">
        <v>0</v>
      </c>
      <c r="BS27" s="3">
        <v>1414938.38</v>
      </c>
      <c r="BT27" s="3">
        <f>BQ27-BR27+BS27</f>
        <v>14449122.199999999</v>
      </c>
      <c r="BU27" s="3">
        <f>BT27/1000</f>
        <v>14449.1222</v>
      </c>
      <c r="BW27" s="256">
        <v>13307571.790000001</v>
      </c>
      <c r="BX27" s="3">
        <v>0</v>
      </c>
      <c r="BY27" s="3">
        <v>667732.27</v>
      </c>
      <c r="BZ27" s="3">
        <f>BW27-BX27+BY27</f>
        <v>13975304.060000001</v>
      </c>
      <c r="CA27" s="3">
        <f>BZ27/1000</f>
        <v>13975.30406</v>
      </c>
      <c r="CC27" s="256">
        <v>13180841.02</v>
      </c>
      <c r="CD27" s="3">
        <v>0</v>
      </c>
      <c r="CE27" s="3">
        <v>1224304.6800000002</v>
      </c>
      <c r="CF27" s="3">
        <f>CC27-CD27+CE27</f>
        <v>14405145.699999999</v>
      </c>
      <c r="CG27" s="3">
        <f>CF27/1000</f>
        <v>14405.145699999999</v>
      </c>
      <c r="CI27" s="3">
        <v>18003490.030000001</v>
      </c>
      <c r="CJ27" s="3">
        <v>0</v>
      </c>
      <c r="CK27" s="3">
        <v>1807020.7299999997</v>
      </c>
      <c r="CL27" s="3">
        <f>CI27-CJ27+CK27</f>
        <v>19810510.760000002</v>
      </c>
      <c r="CM27" s="3">
        <f>CL27/1000</f>
        <v>19810.510760000001</v>
      </c>
      <c r="CO27" s="3">
        <v>14474715.76</v>
      </c>
      <c r="CP27" s="3">
        <v>0</v>
      </c>
      <c r="CQ27" s="3">
        <v>503739.67999999993</v>
      </c>
      <c r="CR27" s="3">
        <f>CO27-CP27+CQ27</f>
        <v>14978455.439999999</v>
      </c>
      <c r="CS27" s="3">
        <f>CR27/1000</f>
        <v>14978.45544</v>
      </c>
      <c r="CU27" s="3">
        <v>12196165.140000001</v>
      </c>
      <c r="CV27" s="3">
        <v>0</v>
      </c>
      <c r="CW27" s="3">
        <v>612602.76</v>
      </c>
      <c r="CX27" s="3">
        <f t="shared" si="8"/>
        <v>12808767.9</v>
      </c>
      <c r="CY27" s="3">
        <f t="shared" si="9"/>
        <v>12808.767900000001</v>
      </c>
    </row>
    <row r="28" spans="1:103">
      <c r="A28" s="1" t="s">
        <v>20</v>
      </c>
      <c r="B28" s="1">
        <v>456</v>
      </c>
      <c r="C28" s="1">
        <v>541</v>
      </c>
      <c r="D28" s="1">
        <v>615.62278000000003</v>
      </c>
      <c r="E28" s="1">
        <v>719.50615000000005</v>
      </c>
      <c r="F28" s="1">
        <v>538.24540000000002</v>
      </c>
      <c r="G28" s="1">
        <v>716.6884399999999</v>
      </c>
      <c r="H28" s="1">
        <v>789.55908999999997</v>
      </c>
      <c r="I28" s="1">
        <v>533.80466999999987</v>
      </c>
      <c r="J28" s="1">
        <v>490.67745999999994</v>
      </c>
      <c r="K28" s="1">
        <v>438.08351999999996</v>
      </c>
      <c r="L28" s="239">
        <f>(K28-J28)*100/J28</f>
        <v>-10.718637860398148</v>
      </c>
      <c r="M28" s="239">
        <f t="shared" si="4"/>
        <v>-16.474124432001251</v>
      </c>
      <c r="N28" s="14">
        <v>225</v>
      </c>
      <c r="O28" s="14">
        <v>212</v>
      </c>
      <c r="P28" s="27">
        <v>223</v>
      </c>
      <c r="Q28" s="27">
        <v>229</v>
      </c>
      <c r="R28" s="27">
        <v>274</v>
      </c>
      <c r="S28" s="27">
        <v>305</v>
      </c>
      <c r="T28" s="27">
        <v>301</v>
      </c>
      <c r="U28" s="27">
        <v>295</v>
      </c>
      <c r="V28" s="27">
        <f>283.888+29.713</f>
        <v>313.601</v>
      </c>
      <c r="W28" s="27">
        <f>364.049+24.906</f>
        <v>388.95499999999998</v>
      </c>
      <c r="X28" s="36">
        <f>383.057+24.943</f>
        <v>408</v>
      </c>
      <c r="Y28" s="14">
        <f>364.405+24.941</f>
        <v>389.34599999999995</v>
      </c>
      <c r="Z28" s="14">
        <v>395</v>
      </c>
      <c r="AA28" s="80">
        <v>430</v>
      </c>
      <c r="AB28" s="1">
        <v>549</v>
      </c>
      <c r="AC28" s="1">
        <v>563</v>
      </c>
      <c r="AD28" s="1">
        <v>721</v>
      </c>
      <c r="AE28" s="3">
        <v>629.79450999999995</v>
      </c>
      <c r="AF28" s="1">
        <v>524.48838999999998</v>
      </c>
      <c r="AG28" s="128">
        <v>601114.44999999995</v>
      </c>
      <c r="AH28" s="128">
        <v>8215.06</v>
      </c>
      <c r="AI28" s="128">
        <v>36895.120000000003</v>
      </c>
      <c r="AJ28" s="3">
        <f>AG28-AH28+AI28</f>
        <v>629794.50999999989</v>
      </c>
      <c r="AK28" s="3">
        <f t="shared" si="5"/>
        <v>629.79450999999995</v>
      </c>
      <c r="AL28" s="3"/>
      <c r="AM28" s="3">
        <v>521620.84</v>
      </c>
      <c r="AN28" s="3">
        <v>36463.660000000003</v>
      </c>
      <c r="AO28" s="3">
        <v>39331.21</v>
      </c>
      <c r="AP28" s="3">
        <f t="shared" si="6"/>
        <v>524488.39</v>
      </c>
      <c r="AQ28" s="3">
        <f t="shared" si="7"/>
        <v>524.48838999999998</v>
      </c>
      <c r="AR28" s="3"/>
      <c r="AS28" s="1">
        <v>435689.69</v>
      </c>
      <c r="AT28" s="3">
        <v>14017.38</v>
      </c>
      <c r="AU28" s="92">
        <v>34542.11</v>
      </c>
      <c r="AV28" s="3">
        <f>AS28-AT28+AU28</f>
        <v>456214.42</v>
      </c>
      <c r="AW28" s="3">
        <f>AV28/1000</f>
        <v>456.21441999999996</v>
      </c>
      <c r="AY28" s="3">
        <v>521675.6</v>
      </c>
      <c r="AZ28" s="3">
        <v>8668.14</v>
      </c>
      <c r="BA28" s="3">
        <v>28420.31</v>
      </c>
      <c r="BB28" s="3">
        <f>AY28-AZ28+BA28</f>
        <v>541427.77</v>
      </c>
      <c r="BC28" s="3">
        <f>BB28/1000</f>
        <v>541.42777000000001</v>
      </c>
      <c r="BE28" s="3">
        <v>612528.14</v>
      </c>
      <c r="BF28" s="3">
        <v>21168.12</v>
      </c>
      <c r="BG28" s="3">
        <v>24262.76</v>
      </c>
      <c r="BH28" s="3">
        <f>BE28-BF28+BG28</f>
        <v>615622.78</v>
      </c>
      <c r="BI28" s="3">
        <f>BH28/1000</f>
        <v>615.62278000000003</v>
      </c>
      <c r="BK28" s="3">
        <v>710831.34</v>
      </c>
      <c r="BL28" s="3">
        <v>11453.82</v>
      </c>
      <c r="BM28" s="3">
        <v>20128.63</v>
      </c>
      <c r="BN28" s="3">
        <f>BK28-BL28+BM28</f>
        <v>719506.15</v>
      </c>
      <c r="BO28" s="3">
        <f>BN28/1000</f>
        <v>719.50615000000005</v>
      </c>
      <c r="BQ28" s="256">
        <v>544595.27</v>
      </c>
      <c r="BR28" s="3">
        <v>16499.87</v>
      </c>
      <c r="BS28" s="3">
        <v>10150</v>
      </c>
      <c r="BT28" s="3">
        <f>BQ28-BR28+BS28</f>
        <v>538245.4</v>
      </c>
      <c r="BU28" s="3">
        <f>BT28/1000</f>
        <v>538.24540000000002</v>
      </c>
      <c r="BW28" s="256">
        <v>660365.34</v>
      </c>
      <c r="BX28" s="3">
        <v>214.85</v>
      </c>
      <c r="BY28" s="3">
        <v>56537.94999999999</v>
      </c>
      <c r="BZ28" s="3">
        <f>BW28-BX28+BY28</f>
        <v>716688.44</v>
      </c>
      <c r="CA28" s="3">
        <f>BZ28/1000</f>
        <v>716.6884399999999</v>
      </c>
      <c r="CC28" s="256">
        <v>666472.5</v>
      </c>
      <c r="CD28" s="3">
        <v>0</v>
      </c>
      <c r="CE28" s="3">
        <v>123086.58999999998</v>
      </c>
      <c r="CF28" s="3">
        <f>CC28-CD28+CE28</f>
        <v>789559.09</v>
      </c>
      <c r="CG28" s="3">
        <f>CF28/1000</f>
        <v>789.55908999999997</v>
      </c>
      <c r="CI28" s="3">
        <v>475765.79999999993</v>
      </c>
      <c r="CJ28" s="3">
        <v>0</v>
      </c>
      <c r="CK28" s="3">
        <v>58038.87</v>
      </c>
      <c r="CL28" s="3">
        <f>CI28-CJ28+CK28</f>
        <v>533804.66999999993</v>
      </c>
      <c r="CM28" s="3">
        <f>CL28/1000</f>
        <v>533.80466999999987</v>
      </c>
      <c r="CO28" s="3">
        <v>428097.22</v>
      </c>
      <c r="CP28" s="3">
        <v>0</v>
      </c>
      <c r="CQ28" s="3">
        <v>62580.239999999991</v>
      </c>
      <c r="CR28" s="3">
        <f>CO28-CP28+CQ28</f>
        <v>490677.45999999996</v>
      </c>
      <c r="CS28" s="3">
        <f>CR28/1000</f>
        <v>490.67745999999994</v>
      </c>
      <c r="CU28" s="3">
        <v>390844.29</v>
      </c>
      <c r="CV28" s="3">
        <v>0</v>
      </c>
      <c r="CW28" s="3">
        <v>47239.23</v>
      </c>
      <c r="CX28" s="3">
        <f t="shared" si="8"/>
        <v>438083.51999999996</v>
      </c>
      <c r="CY28" s="3">
        <f t="shared" si="9"/>
        <v>438.08351999999996</v>
      </c>
    </row>
    <row r="29" spans="1:103">
      <c r="L29" s="239"/>
      <c r="M29" s="239"/>
      <c r="N29" s="14"/>
      <c r="O29" s="14"/>
      <c r="Q29" s="27"/>
      <c r="R29" s="27"/>
      <c r="S29" s="27"/>
      <c r="T29" s="27"/>
      <c r="U29" s="27"/>
      <c r="V29" s="27"/>
      <c r="W29" s="27"/>
      <c r="X29" s="36"/>
      <c r="Y29" s="14"/>
      <c r="Z29" s="14"/>
      <c r="AA29" s="80"/>
      <c r="AE29" s="3"/>
      <c r="AG29" s="128"/>
      <c r="AH29" s="128"/>
      <c r="AI29" s="128"/>
      <c r="AJ29" s="3"/>
      <c r="AK29" s="3">
        <f t="shared" si="5"/>
        <v>0</v>
      </c>
      <c r="AL29" s="3"/>
      <c r="AM29" s="3"/>
      <c r="AN29" s="3"/>
      <c r="AO29" s="3"/>
      <c r="AP29" s="3"/>
      <c r="AQ29" s="3"/>
      <c r="AR29" s="3"/>
      <c r="AS29" s="1"/>
      <c r="AU29" s="92"/>
      <c r="BQ29" s="256"/>
      <c r="BW29" s="256"/>
      <c r="CC29" s="256"/>
    </row>
    <row r="30" spans="1:103">
      <c r="A30" s="1" t="s">
        <v>21</v>
      </c>
      <c r="B30" s="1">
        <v>27622</v>
      </c>
      <c r="C30" s="1">
        <v>32099</v>
      </c>
      <c r="D30" s="1">
        <v>36798.049680000004</v>
      </c>
      <c r="E30" s="1">
        <v>40224.553900000014</v>
      </c>
      <c r="F30" s="1">
        <v>31990.29075</v>
      </c>
      <c r="G30" s="1">
        <v>30747.802809999997</v>
      </c>
      <c r="H30" s="1">
        <v>29764.695359999998</v>
      </c>
      <c r="I30" s="1">
        <v>27162.048060000001</v>
      </c>
      <c r="J30" s="1">
        <v>28425.830029999997</v>
      </c>
      <c r="K30" s="1">
        <v>27796.998019999999</v>
      </c>
      <c r="L30" s="239">
        <f>(K30-J30)*100/J30</f>
        <v>-2.2121852179385537</v>
      </c>
      <c r="M30" s="239">
        <f t="shared" si="4"/>
        <v>5.8837036038691002</v>
      </c>
      <c r="N30" s="14">
        <v>8230</v>
      </c>
      <c r="O30" s="14">
        <v>8521</v>
      </c>
      <c r="P30" s="27">
        <v>9408</v>
      </c>
      <c r="Q30" s="27">
        <v>9792</v>
      </c>
      <c r="R30" s="27">
        <v>12864</v>
      </c>
      <c r="S30" s="27">
        <v>13505</v>
      </c>
      <c r="T30" s="27">
        <v>14174</v>
      </c>
      <c r="U30" s="27">
        <v>11761</v>
      </c>
      <c r="V30" s="27">
        <f>12906.998+1062.065</f>
        <v>13969.063</v>
      </c>
      <c r="W30" s="27">
        <f>13796.317+1099.854</f>
        <v>14896.170999999998</v>
      </c>
      <c r="X30" s="36">
        <f>14526.142+1155.61</f>
        <v>15681.752</v>
      </c>
      <c r="Y30" s="14">
        <f>15125.828+1184.484</f>
        <v>16310.312</v>
      </c>
      <c r="Z30" s="14">
        <v>16408</v>
      </c>
      <c r="AA30" s="80">
        <v>18803</v>
      </c>
      <c r="AB30" s="1">
        <v>25157</v>
      </c>
      <c r="AC30" s="1">
        <v>26957</v>
      </c>
      <c r="AD30" s="1">
        <v>25988</v>
      </c>
      <c r="AE30" s="3">
        <v>27901.495280000003</v>
      </c>
      <c r="AF30" s="1">
        <v>26252.385470000001</v>
      </c>
      <c r="AG30" s="128">
        <v>26041391.960000001</v>
      </c>
      <c r="AH30" s="128">
        <v>381725.74</v>
      </c>
      <c r="AI30" s="128">
        <v>2241829.06</v>
      </c>
      <c r="AJ30" s="3">
        <f>AG30-AH30+AI30</f>
        <v>27901495.280000001</v>
      </c>
      <c r="AK30" s="3">
        <f t="shared" si="5"/>
        <v>27901.495280000003</v>
      </c>
      <c r="AL30" s="3"/>
      <c r="AM30" s="3">
        <v>24812154.789999995</v>
      </c>
      <c r="AN30" s="3">
        <v>333043.75</v>
      </c>
      <c r="AO30" s="3">
        <v>1773274.4300000002</v>
      </c>
      <c r="AP30" s="3">
        <f t="shared" si="6"/>
        <v>26252385.469999995</v>
      </c>
      <c r="AQ30" s="3">
        <f t="shared" si="7"/>
        <v>26252.385469999994</v>
      </c>
      <c r="AR30" s="3"/>
      <c r="AS30" s="1">
        <v>25859194</v>
      </c>
      <c r="AT30" s="3">
        <v>402297.23</v>
      </c>
      <c r="AU30" s="92">
        <v>2164896.8199999998</v>
      </c>
      <c r="AV30" s="3">
        <f>AS30-AT30+AU30</f>
        <v>27621793.59</v>
      </c>
      <c r="AW30" s="3">
        <f>AV30/1000</f>
        <v>27621.793590000001</v>
      </c>
      <c r="AY30" s="3">
        <v>29915605</v>
      </c>
      <c r="AZ30" s="3">
        <v>50956.43</v>
      </c>
      <c r="BA30" s="3">
        <v>2234194.54</v>
      </c>
      <c r="BB30" s="3">
        <f>AY30-AZ30+BA30</f>
        <v>32098843.109999999</v>
      </c>
      <c r="BC30" s="3">
        <f>BB30/1000</f>
        <v>32098.843109999998</v>
      </c>
      <c r="BE30" s="3">
        <v>33422458.210000005</v>
      </c>
      <c r="BF30" s="3">
        <v>42545.38</v>
      </c>
      <c r="BG30" s="3">
        <v>3418136.85</v>
      </c>
      <c r="BH30" s="3">
        <f>BE30-BF30+BG30</f>
        <v>36798049.680000007</v>
      </c>
      <c r="BI30" s="3">
        <f>BH30/1000</f>
        <v>36798.049680000004</v>
      </c>
      <c r="BK30" s="3">
        <v>36876375.830000013</v>
      </c>
      <c r="BL30" s="3">
        <v>0</v>
      </c>
      <c r="BM30" s="3">
        <v>3348178.07</v>
      </c>
      <c r="BN30" s="3">
        <f>BK30-BL30+BM30</f>
        <v>40224553.900000013</v>
      </c>
      <c r="BO30" s="3">
        <f>BN30/1000</f>
        <v>40224.553900000014</v>
      </c>
      <c r="BQ30" s="256">
        <v>30132734.940000001</v>
      </c>
      <c r="BR30" s="3">
        <v>0</v>
      </c>
      <c r="BS30" s="3">
        <v>1857555.81</v>
      </c>
      <c r="BT30" s="3">
        <f>BQ30-BR30+BS30</f>
        <v>31990290.75</v>
      </c>
      <c r="BU30" s="3">
        <f>BT30/1000</f>
        <v>31990.29075</v>
      </c>
      <c r="BW30" s="256">
        <v>28615786.18</v>
      </c>
      <c r="BX30" s="3">
        <v>0</v>
      </c>
      <c r="BY30" s="3">
        <v>2132016.63</v>
      </c>
      <c r="BZ30" s="3">
        <f>BW30-BX30+BY30</f>
        <v>30747802.809999999</v>
      </c>
      <c r="CA30" s="3">
        <f>BZ30/1000</f>
        <v>30747.802809999997</v>
      </c>
      <c r="CC30" s="256">
        <v>27755399.759999998</v>
      </c>
      <c r="CD30" s="3">
        <v>0</v>
      </c>
      <c r="CE30" s="3">
        <v>2009295.6</v>
      </c>
      <c r="CF30" s="3">
        <f>CC30-CD30+CE30</f>
        <v>29764695.359999999</v>
      </c>
      <c r="CG30" s="3">
        <f>CF30/1000</f>
        <v>29764.695359999998</v>
      </c>
      <c r="CI30" s="3">
        <v>23583630.740000002</v>
      </c>
      <c r="CJ30" s="3">
        <v>0</v>
      </c>
      <c r="CK30" s="3">
        <v>3578417.3200000008</v>
      </c>
      <c r="CL30" s="3">
        <f>CI30-CJ30+CK30</f>
        <v>27162048.060000002</v>
      </c>
      <c r="CM30" s="3">
        <f>CL30/1000</f>
        <v>27162.048060000001</v>
      </c>
      <c r="CO30" s="3">
        <v>25638634.189999998</v>
      </c>
      <c r="CP30" s="3">
        <v>0</v>
      </c>
      <c r="CQ30" s="3">
        <v>2787195.84</v>
      </c>
      <c r="CR30" s="3">
        <f>CO30-CP30+CQ30</f>
        <v>28425830.029999997</v>
      </c>
      <c r="CS30" s="3">
        <f>CR30/1000</f>
        <v>28425.830029999997</v>
      </c>
      <c r="CU30" s="3">
        <v>25561872.530000001</v>
      </c>
      <c r="CV30" s="3">
        <v>0</v>
      </c>
      <c r="CW30" s="3">
        <v>2235125.4899999998</v>
      </c>
      <c r="CX30" s="3">
        <f t="shared" si="8"/>
        <v>27796998.02</v>
      </c>
      <c r="CY30" s="3">
        <f t="shared" si="9"/>
        <v>27796.998019999999</v>
      </c>
    </row>
    <row r="31" spans="1:103">
      <c r="A31" s="1" t="s">
        <v>22</v>
      </c>
      <c r="B31" s="1">
        <v>28987</v>
      </c>
      <c r="C31" s="1">
        <v>26773</v>
      </c>
      <c r="D31" s="1">
        <v>38233.735250000005</v>
      </c>
      <c r="E31" s="1">
        <v>32742.935880000001</v>
      </c>
      <c r="F31" s="1">
        <v>41267.899509999996</v>
      </c>
      <c r="G31" s="1">
        <v>21717.417839999995</v>
      </c>
      <c r="H31" s="1">
        <v>21537.772359999999</v>
      </c>
      <c r="I31" s="1">
        <v>22124.704400000002</v>
      </c>
      <c r="J31" s="1">
        <v>18681.659759999999</v>
      </c>
      <c r="K31" s="1">
        <v>24122.762650000001</v>
      </c>
      <c r="L31" s="239">
        <f>(K31-J31)*100/J31</f>
        <v>29.125371941791549</v>
      </c>
      <c r="M31" s="239">
        <f t="shared" si="4"/>
        <v>-26.420685318501565</v>
      </c>
      <c r="N31" s="14">
        <v>6249</v>
      </c>
      <c r="O31" s="14">
        <v>7023</v>
      </c>
      <c r="P31" s="27">
        <v>7952</v>
      </c>
      <c r="Q31" s="27">
        <v>8680</v>
      </c>
      <c r="R31" s="27">
        <v>8472</v>
      </c>
      <c r="S31" s="27">
        <v>9398</v>
      </c>
      <c r="T31" s="27">
        <v>10817</v>
      </c>
      <c r="U31" s="27">
        <v>9120</v>
      </c>
      <c r="V31" s="27">
        <f>11037.616+284.925</f>
        <v>11322.540999999999</v>
      </c>
      <c r="W31" s="27">
        <f>11226.083+358.6</f>
        <v>11584.683000000001</v>
      </c>
      <c r="X31" s="36">
        <f>14021.388+490.977</f>
        <v>14512.365000000002</v>
      </c>
      <c r="Y31" s="14">
        <f>17755.06+446.755</f>
        <v>18201.815000000002</v>
      </c>
      <c r="Z31" s="14">
        <v>19573</v>
      </c>
      <c r="AA31" s="80">
        <v>22005</v>
      </c>
      <c r="AB31" s="1">
        <v>24053</v>
      </c>
      <c r="AC31" s="1">
        <v>26841</v>
      </c>
      <c r="AD31" s="1">
        <v>28530</v>
      </c>
      <c r="AE31" s="3">
        <v>26782.715230000005</v>
      </c>
      <c r="AF31" s="1">
        <v>32784.706890000001</v>
      </c>
      <c r="AG31" s="128">
        <v>26076365.380000003</v>
      </c>
      <c r="AH31" s="128">
        <v>168653.33</v>
      </c>
      <c r="AI31" s="128">
        <v>875003.18</v>
      </c>
      <c r="AJ31" s="3">
        <f>AG31-AH31+AI31</f>
        <v>26782715.230000004</v>
      </c>
      <c r="AK31" s="3">
        <f t="shared" si="5"/>
        <v>26782.715230000005</v>
      </c>
      <c r="AL31" s="3"/>
      <c r="AM31" s="3">
        <v>32093618.370000012</v>
      </c>
      <c r="AN31" s="3">
        <v>12595.16</v>
      </c>
      <c r="AO31" s="3">
        <v>703683.68</v>
      </c>
      <c r="AP31" s="3">
        <f t="shared" si="6"/>
        <v>32784706.890000012</v>
      </c>
      <c r="AQ31" s="3">
        <f t="shared" si="7"/>
        <v>32784.706890000009</v>
      </c>
      <c r="AR31" s="3"/>
      <c r="AS31" s="1">
        <v>28539537</v>
      </c>
      <c r="AT31" s="3">
        <v>183974.72</v>
      </c>
      <c r="AU31" s="92">
        <v>631603.37</v>
      </c>
      <c r="AV31" s="3">
        <f>AS31-AT31+AU31</f>
        <v>28987165.650000002</v>
      </c>
      <c r="AW31" s="3">
        <f>AV31/1000</f>
        <v>28987.165650000003</v>
      </c>
      <c r="AY31" s="3">
        <v>25224791</v>
      </c>
      <c r="AZ31" s="3">
        <v>184822.57</v>
      </c>
      <c r="BA31" s="3">
        <v>1732821.74</v>
      </c>
      <c r="BB31" s="3">
        <f>AY31-AZ31+BA31</f>
        <v>26772790.169999998</v>
      </c>
      <c r="BC31" s="3">
        <f>BB31/1000</f>
        <v>26772.790169999997</v>
      </c>
      <c r="BE31" s="3">
        <v>35153140.520000011</v>
      </c>
      <c r="BF31" s="3">
        <v>28031.88</v>
      </c>
      <c r="BG31" s="3">
        <v>3108626.61</v>
      </c>
      <c r="BH31" s="3">
        <f>BE31-BF31+BG31</f>
        <v>38233735.250000007</v>
      </c>
      <c r="BI31" s="3">
        <f>BH31/1000</f>
        <v>38233.735250000005</v>
      </c>
      <c r="BK31" s="3">
        <v>28269208.960000001</v>
      </c>
      <c r="BL31" s="3">
        <v>1681.32</v>
      </c>
      <c r="BM31" s="3">
        <v>4475408.24</v>
      </c>
      <c r="BN31" s="3">
        <f>BK31-BL31+BM31</f>
        <v>32742935.880000003</v>
      </c>
      <c r="BO31" s="3">
        <f>BN31/1000</f>
        <v>32742.935880000001</v>
      </c>
      <c r="BQ31" s="256">
        <v>39030797.759999998</v>
      </c>
      <c r="BR31" s="3">
        <v>0</v>
      </c>
      <c r="BS31" s="3">
        <v>2237101.75</v>
      </c>
      <c r="BT31" s="3">
        <f>BQ31-BR31+BS31</f>
        <v>41267899.509999998</v>
      </c>
      <c r="BU31" s="3">
        <f>BT31/1000</f>
        <v>41267.899509999996</v>
      </c>
      <c r="BW31" s="256">
        <v>20285642.779999997</v>
      </c>
      <c r="BX31" s="3">
        <v>0</v>
      </c>
      <c r="BY31" s="3">
        <v>1431775.06</v>
      </c>
      <c r="BZ31" s="3">
        <f>BW31-BX31+BY31</f>
        <v>21717417.839999996</v>
      </c>
      <c r="CA31" s="3">
        <f>BZ31/1000</f>
        <v>21717.417839999995</v>
      </c>
      <c r="CC31" s="256">
        <v>20557341.079999998</v>
      </c>
      <c r="CD31" s="3">
        <v>0</v>
      </c>
      <c r="CE31" s="3">
        <v>980431.27999999991</v>
      </c>
      <c r="CF31" s="3">
        <f>CC31-CD31+CE31</f>
        <v>21537772.359999999</v>
      </c>
      <c r="CG31" s="3">
        <f>CF31/1000</f>
        <v>21537.772359999999</v>
      </c>
      <c r="CI31" s="3">
        <v>20086560.750000004</v>
      </c>
      <c r="CJ31" s="3">
        <v>0</v>
      </c>
      <c r="CK31" s="3">
        <v>2038143.6500000001</v>
      </c>
      <c r="CL31" s="3">
        <f>CI31-CJ31+CK31</f>
        <v>22124704.400000002</v>
      </c>
      <c r="CM31" s="3">
        <f>CL31/1000</f>
        <v>22124.704400000002</v>
      </c>
      <c r="CO31" s="3">
        <v>16881143.219999999</v>
      </c>
      <c r="CP31" s="3">
        <v>0</v>
      </c>
      <c r="CQ31" s="3">
        <v>1800516.5399999998</v>
      </c>
      <c r="CR31" s="3">
        <f>CO31-CP31+CQ31</f>
        <v>18681659.759999998</v>
      </c>
      <c r="CS31" s="3">
        <f>CR31/1000</f>
        <v>18681.659759999999</v>
      </c>
      <c r="CU31" s="3">
        <v>22491311.700000003</v>
      </c>
      <c r="CV31" s="3">
        <v>0</v>
      </c>
      <c r="CW31" s="3">
        <v>1631450.95</v>
      </c>
      <c r="CX31" s="3">
        <f t="shared" si="8"/>
        <v>24122762.650000002</v>
      </c>
      <c r="CY31" s="3">
        <f t="shared" si="9"/>
        <v>24122.762650000001</v>
      </c>
    </row>
    <row r="32" spans="1:103">
      <c r="A32" s="1" t="s">
        <v>23</v>
      </c>
      <c r="B32" s="1">
        <v>2023</v>
      </c>
      <c r="C32" s="1">
        <v>1771</v>
      </c>
      <c r="D32" s="1">
        <v>1726.61716</v>
      </c>
      <c r="E32" s="1">
        <v>2007.8159699999999</v>
      </c>
      <c r="F32" s="1">
        <v>2076.20183</v>
      </c>
      <c r="G32" s="1">
        <v>2097.3732699999996</v>
      </c>
      <c r="H32" s="1">
        <v>1788.8779199999999</v>
      </c>
      <c r="I32" s="1">
        <v>1458.6820299999999</v>
      </c>
      <c r="J32" s="1">
        <v>1492.24766</v>
      </c>
      <c r="K32" s="1">
        <v>1653.26403</v>
      </c>
      <c r="L32" s="239">
        <f>(K32-J32)*100/J32</f>
        <v>10.790190818593748</v>
      </c>
      <c r="M32" s="239">
        <f t="shared" si="4"/>
        <v>-25.726053729224663</v>
      </c>
      <c r="N32" s="14">
        <v>406</v>
      </c>
      <c r="O32" s="14">
        <v>406</v>
      </c>
      <c r="P32" s="27">
        <v>563</v>
      </c>
      <c r="Q32" s="27">
        <v>691</v>
      </c>
      <c r="R32" s="27">
        <v>851</v>
      </c>
      <c r="S32" s="27">
        <v>905</v>
      </c>
      <c r="T32" s="27">
        <v>884</v>
      </c>
      <c r="U32" s="27">
        <v>986</v>
      </c>
      <c r="V32" s="27">
        <f>1005.797+61.44</f>
        <v>1067.2370000000001</v>
      </c>
      <c r="W32" s="27">
        <f>1003.284+52.487</f>
        <v>1055.771</v>
      </c>
      <c r="X32" s="36">
        <f>1037.886+61.966</f>
        <v>1099.8519999999999</v>
      </c>
      <c r="Y32" s="14">
        <f>1279.32+64.331</f>
        <v>1343.6509999999998</v>
      </c>
      <c r="Z32" s="14">
        <v>1558</v>
      </c>
      <c r="AA32" s="80">
        <v>1635</v>
      </c>
      <c r="AB32" s="1">
        <v>1854</v>
      </c>
      <c r="AC32" s="1">
        <v>1643</v>
      </c>
      <c r="AD32" s="1">
        <v>1714</v>
      </c>
      <c r="AE32" s="3">
        <v>2036.55277</v>
      </c>
      <c r="AF32" s="1">
        <v>2225.9003499999999</v>
      </c>
      <c r="AG32" s="128">
        <v>1943317.73</v>
      </c>
      <c r="AH32" s="128">
        <v>10996.7</v>
      </c>
      <c r="AI32" s="128">
        <v>104231.74</v>
      </c>
      <c r="AJ32" s="3">
        <f>AG32-AH32+AI32</f>
        <v>2036552.77</v>
      </c>
      <c r="AK32" s="3">
        <f t="shared" si="5"/>
        <v>2036.55277</v>
      </c>
      <c r="AL32" s="3"/>
      <c r="AM32" s="3">
        <v>2082770.3199999998</v>
      </c>
      <c r="AN32" s="3">
        <v>1902.57</v>
      </c>
      <c r="AO32" s="3">
        <v>145032.6</v>
      </c>
      <c r="AP32" s="3">
        <f t="shared" si="6"/>
        <v>2225900.3499999996</v>
      </c>
      <c r="AQ32" s="3">
        <f t="shared" si="7"/>
        <v>2225.9003499999994</v>
      </c>
      <c r="AR32" s="3"/>
      <c r="AS32" s="1">
        <v>1907628.03</v>
      </c>
      <c r="AT32" s="3">
        <v>3842.78</v>
      </c>
      <c r="AU32" s="92">
        <v>119608.94</v>
      </c>
      <c r="AV32" s="3">
        <f>AS32-AT32+AU32</f>
        <v>2023394.19</v>
      </c>
      <c r="AW32" s="3">
        <f>AV32/1000</f>
        <v>2023.39419</v>
      </c>
      <c r="AY32" s="3">
        <v>1658139.75</v>
      </c>
      <c r="AZ32" s="3">
        <v>1690.97</v>
      </c>
      <c r="BA32" s="3">
        <v>114366.39999999999</v>
      </c>
      <c r="BB32" s="3">
        <f>AY32-AZ32+BA32</f>
        <v>1770815.18</v>
      </c>
      <c r="BC32" s="3">
        <f>BB32/1000</f>
        <v>1770.8151799999998</v>
      </c>
      <c r="BE32" s="3">
        <v>1624476.52</v>
      </c>
      <c r="BF32" s="3">
        <v>7827.8</v>
      </c>
      <c r="BG32" s="3">
        <v>109968.44</v>
      </c>
      <c r="BH32" s="3">
        <f>BE32-BF32+BG32</f>
        <v>1726617.16</v>
      </c>
      <c r="BI32" s="3">
        <f>BH32/1000</f>
        <v>1726.61716</v>
      </c>
      <c r="BK32" s="3">
        <v>1894005.99</v>
      </c>
      <c r="BL32" s="3">
        <v>5396.98</v>
      </c>
      <c r="BM32" s="3">
        <v>119206.96</v>
      </c>
      <c r="BN32" s="3">
        <f>BK32-BL32+BM32</f>
        <v>2007815.97</v>
      </c>
      <c r="BO32" s="3">
        <f>BN32/1000</f>
        <v>2007.8159699999999</v>
      </c>
      <c r="BQ32" s="256">
        <v>1954722.87</v>
      </c>
      <c r="BR32" s="3">
        <v>6127.78</v>
      </c>
      <c r="BS32" s="3">
        <v>127606.74</v>
      </c>
      <c r="BT32" s="3">
        <f>BQ32-BR32+BS32</f>
        <v>2076201.83</v>
      </c>
      <c r="BU32" s="3">
        <f>BT32/1000</f>
        <v>2076.20183</v>
      </c>
      <c r="BW32" s="256">
        <v>1914957.4799999995</v>
      </c>
      <c r="BX32" s="3">
        <v>12201.29</v>
      </c>
      <c r="BY32" s="3">
        <v>194617.08000000002</v>
      </c>
      <c r="BZ32" s="3">
        <f>BW32-BX32+BY32</f>
        <v>2097373.2699999996</v>
      </c>
      <c r="CA32" s="3">
        <f>BZ32/1000</f>
        <v>2097.3732699999996</v>
      </c>
      <c r="CC32" s="256">
        <v>1583187.1199999999</v>
      </c>
      <c r="CD32" s="3">
        <v>5555.05</v>
      </c>
      <c r="CE32" s="3">
        <v>211245.85000000003</v>
      </c>
      <c r="CF32" s="3">
        <f>CC32-CD32+CE32</f>
        <v>1788877.92</v>
      </c>
      <c r="CG32" s="3">
        <f>CF32/1000</f>
        <v>1788.8779199999999</v>
      </c>
      <c r="CI32" s="3">
        <v>1321187.49</v>
      </c>
      <c r="CJ32" s="3">
        <v>259.02</v>
      </c>
      <c r="CK32" s="3">
        <v>137753.56</v>
      </c>
      <c r="CL32" s="3">
        <f>CI32-CJ32+CK32</f>
        <v>1458682.03</v>
      </c>
      <c r="CM32" s="3">
        <f>CL32/1000</f>
        <v>1458.6820299999999</v>
      </c>
      <c r="CO32" s="3">
        <v>1289034.74</v>
      </c>
      <c r="CP32" s="3">
        <v>0</v>
      </c>
      <c r="CQ32" s="3">
        <v>203212.92</v>
      </c>
      <c r="CR32" s="3">
        <f>CO32-CP32+CQ32</f>
        <v>1492247.66</v>
      </c>
      <c r="CS32" s="3">
        <f>CR32/1000</f>
        <v>1492.24766</v>
      </c>
      <c r="CU32" s="3">
        <v>1404537.97</v>
      </c>
      <c r="CV32" s="3">
        <v>0</v>
      </c>
      <c r="CW32" s="3">
        <v>248726.06000000003</v>
      </c>
      <c r="CX32" s="3">
        <f t="shared" si="8"/>
        <v>1653264.03</v>
      </c>
      <c r="CY32" s="3">
        <f t="shared" si="9"/>
        <v>1653.26403</v>
      </c>
    </row>
    <row r="33" spans="1:103">
      <c r="A33" s="1" t="s">
        <v>24</v>
      </c>
      <c r="B33" s="1">
        <v>3566</v>
      </c>
      <c r="C33" s="1">
        <v>4120</v>
      </c>
      <c r="D33" s="1">
        <v>3610.9520599999996</v>
      </c>
      <c r="E33" s="1">
        <v>3665.1275000000001</v>
      </c>
      <c r="F33" s="1">
        <v>4795.5142400000004</v>
      </c>
      <c r="G33" s="1">
        <v>4991.4011600000003</v>
      </c>
      <c r="H33" s="1">
        <v>9209.4834499999997</v>
      </c>
      <c r="I33" s="1">
        <v>3875.2319800000005</v>
      </c>
      <c r="J33" s="1">
        <v>3548.085</v>
      </c>
      <c r="K33" s="1">
        <v>4479.9924499999988</v>
      </c>
      <c r="L33" s="239">
        <f>(K33-J33)*100/J33</f>
        <v>26.265082431790635</v>
      </c>
      <c r="M33" s="239">
        <f t="shared" si="4"/>
        <v>70.778613451208727</v>
      </c>
      <c r="N33" s="14">
        <v>1071</v>
      </c>
      <c r="O33" s="14">
        <v>966</v>
      </c>
      <c r="P33" s="27">
        <v>1086</v>
      </c>
      <c r="Q33" s="27">
        <v>1175</v>
      </c>
      <c r="R33" s="27">
        <v>1280</v>
      </c>
      <c r="S33" s="27">
        <v>1496</v>
      </c>
      <c r="T33" s="27">
        <v>1717</v>
      </c>
      <c r="U33" s="27">
        <v>1657</v>
      </c>
      <c r="V33" s="27">
        <f>1775.767+137.098</f>
        <v>1912.865</v>
      </c>
      <c r="W33" s="27">
        <f>1685.747+90.827</f>
        <v>1776.5740000000001</v>
      </c>
      <c r="X33" s="36">
        <f>2239.055+101.434</f>
        <v>2340.489</v>
      </c>
      <c r="Y33" s="14">
        <f>1368.375+102.208</f>
        <v>1470.5830000000001</v>
      </c>
      <c r="Z33" s="14">
        <v>1889</v>
      </c>
      <c r="AA33" s="80">
        <v>2622</v>
      </c>
      <c r="AB33" s="1">
        <v>2896</v>
      </c>
      <c r="AC33" s="1">
        <v>2507</v>
      </c>
      <c r="AD33" s="1">
        <v>2574</v>
      </c>
      <c r="AE33" s="3">
        <v>3142.5145299999999</v>
      </c>
      <c r="AF33" s="1">
        <v>2623.2748700000002</v>
      </c>
      <c r="AG33" s="128">
        <v>2875542.07</v>
      </c>
      <c r="AH33" s="128">
        <v>15961.84</v>
      </c>
      <c r="AI33" s="128">
        <v>282934.3</v>
      </c>
      <c r="AJ33" s="3">
        <f>AG33-AH33+AI33</f>
        <v>3142514.53</v>
      </c>
      <c r="AK33" s="3">
        <f t="shared" si="5"/>
        <v>3142.5145299999999</v>
      </c>
      <c r="AL33" s="3"/>
      <c r="AM33" s="3">
        <v>2303966.6800000002</v>
      </c>
      <c r="AN33" s="3">
        <v>13611.96</v>
      </c>
      <c r="AO33" s="3">
        <v>332920.15000000002</v>
      </c>
      <c r="AP33" s="3">
        <f t="shared" si="6"/>
        <v>2623274.87</v>
      </c>
      <c r="AQ33" s="3">
        <f t="shared" si="7"/>
        <v>2623.2748700000002</v>
      </c>
      <c r="AR33" s="3"/>
      <c r="AS33" s="1">
        <v>3338109.3</v>
      </c>
      <c r="AT33" s="3">
        <v>23304.959999999999</v>
      </c>
      <c r="AU33" s="92">
        <v>250927.33</v>
      </c>
      <c r="AV33" s="3">
        <f>AS33-AT33+AU33</f>
        <v>3565731.67</v>
      </c>
      <c r="AW33" s="3">
        <f>AV33/1000</f>
        <v>3565.7316700000001</v>
      </c>
      <c r="AY33" s="3">
        <v>3823322</v>
      </c>
      <c r="AZ33" s="3">
        <v>42244.11</v>
      </c>
      <c r="BA33" s="3">
        <v>339057.65</v>
      </c>
      <c r="BB33" s="3">
        <f>AY33-AZ33+BA33</f>
        <v>4120135.54</v>
      </c>
      <c r="BC33" s="3">
        <f>BB33/1000</f>
        <v>4120.1355400000002</v>
      </c>
      <c r="BE33" s="3">
        <v>3499025.28</v>
      </c>
      <c r="BF33" s="3">
        <v>46538.89</v>
      </c>
      <c r="BG33" s="3">
        <v>158465.67000000001</v>
      </c>
      <c r="BH33" s="3">
        <f>BE33-BF33+BG33</f>
        <v>3610952.0599999996</v>
      </c>
      <c r="BI33" s="3">
        <f>BH33/1000</f>
        <v>3610.9520599999996</v>
      </c>
      <c r="BK33" s="3">
        <v>3482829.57</v>
      </c>
      <c r="BL33" s="3">
        <v>19524.689999999999</v>
      </c>
      <c r="BM33" s="3">
        <v>201822.62</v>
      </c>
      <c r="BN33" s="3">
        <f>BK33-BL33+BM33</f>
        <v>3665127.5</v>
      </c>
      <c r="BO33" s="3">
        <f>BN33/1000</f>
        <v>3665.1275000000001</v>
      </c>
      <c r="BQ33" s="256">
        <v>4695051.79</v>
      </c>
      <c r="BR33" s="3">
        <v>39559.46</v>
      </c>
      <c r="BS33" s="3">
        <v>140021.91</v>
      </c>
      <c r="BT33" s="3">
        <f>BQ33-BR33+BS33</f>
        <v>4795514.24</v>
      </c>
      <c r="BU33" s="3">
        <f>BT33/1000</f>
        <v>4795.5142400000004</v>
      </c>
      <c r="BW33" s="256">
        <v>4690695.63</v>
      </c>
      <c r="BX33" s="3">
        <v>14014.259999999998</v>
      </c>
      <c r="BY33" s="3">
        <v>314719.78999999998</v>
      </c>
      <c r="BZ33" s="3">
        <f>BW33-BX33+BY33</f>
        <v>4991401.16</v>
      </c>
      <c r="CA33" s="3">
        <f>BZ33/1000</f>
        <v>4991.4011600000003</v>
      </c>
      <c r="CC33" s="256">
        <v>7134860.8199999994</v>
      </c>
      <c r="CD33" s="3">
        <v>19827.62</v>
      </c>
      <c r="CE33" s="3">
        <v>2094450.25</v>
      </c>
      <c r="CF33" s="3">
        <f>CC33-CD33+CE33</f>
        <v>9209483.4499999993</v>
      </c>
      <c r="CG33" s="3">
        <f>CF33/1000</f>
        <v>9209.4834499999997</v>
      </c>
      <c r="CI33" s="3">
        <v>3370673.3500000006</v>
      </c>
      <c r="CJ33" s="3">
        <v>21809.93</v>
      </c>
      <c r="CK33" s="3">
        <v>526368.55999999994</v>
      </c>
      <c r="CL33" s="3">
        <f>CI33-CJ33+CK33</f>
        <v>3875231.9800000004</v>
      </c>
      <c r="CM33" s="3">
        <f>CL33/1000</f>
        <v>3875.2319800000005</v>
      </c>
      <c r="CO33" s="3">
        <v>2957553.2</v>
      </c>
      <c r="CP33" s="3">
        <v>8077.96</v>
      </c>
      <c r="CQ33" s="3">
        <v>598609.76</v>
      </c>
      <c r="CR33" s="3">
        <f>CO33-CP33+CQ33</f>
        <v>3548085</v>
      </c>
      <c r="CS33" s="3">
        <f>CR33/1000</f>
        <v>3548.085</v>
      </c>
      <c r="CU33" s="3">
        <v>4294957.59</v>
      </c>
      <c r="CV33" s="3">
        <v>14812.57</v>
      </c>
      <c r="CW33" s="3">
        <v>199847.43000000002</v>
      </c>
      <c r="CX33" s="3">
        <f t="shared" si="8"/>
        <v>4479992.4499999993</v>
      </c>
      <c r="CY33" s="3">
        <f t="shared" si="9"/>
        <v>4479.9924499999988</v>
      </c>
    </row>
    <row r="34" spans="1:103">
      <c r="A34" s="1" t="s">
        <v>25</v>
      </c>
      <c r="B34" s="1">
        <v>848</v>
      </c>
      <c r="C34" s="1">
        <v>1106</v>
      </c>
      <c r="D34" s="1">
        <v>1146.7490400000002</v>
      </c>
      <c r="E34" s="1">
        <v>1334.0190600000001</v>
      </c>
      <c r="F34" s="1">
        <v>1254.0152800000001</v>
      </c>
      <c r="G34" s="1">
        <v>1088.1234000000002</v>
      </c>
      <c r="H34" s="1">
        <v>1240.7824800000001</v>
      </c>
      <c r="I34" s="1">
        <v>699.28375000000005</v>
      </c>
      <c r="J34" s="1">
        <v>653.09278000000018</v>
      </c>
      <c r="K34" s="1">
        <v>521.58200999999997</v>
      </c>
      <c r="L34" s="239">
        <f>(K34-J34)*100/J34</f>
        <v>-20.136613667662989</v>
      </c>
      <c r="M34" s="239">
        <f t="shared" si="4"/>
        <v>-42.679892301737432</v>
      </c>
      <c r="N34" s="14">
        <v>273</v>
      </c>
      <c r="O34" s="14">
        <v>253</v>
      </c>
      <c r="P34" s="27">
        <v>227</v>
      </c>
      <c r="Q34" s="27">
        <v>274</v>
      </c>
      <c r="R34" s="27">
        <v>343</v>
      </c>
      <c r="S34" s="27">
        <v>385</v>
      </c>
      <c r="T34" s="27">
        <v>337</v>
      </c>
      <c r="U34" s="27">
        <v>337</v>
      </c>
      <c r="V34" s="27">
        <f>385.741+23.122</f>
        <v>408.863</v>
      </c>
      <c r="W34" s="27">
        <f>339.032+5.435</f>
        <v>344.46699999999998</v>
      </c>
      <c r="X34" s="36">
        <f>410.531+12.979</f>
        <v>423.51</v>
      </c>
      <c r="Y34" s="14">
        <f>416.296+7.139</f>
        <v>423.435</v>
      </c>
      <c r="Z34" s="14">
        <v>464</v>
      </c>
      <c r="AA34" s="80">
        <v>708</v>
      </c>
      <c r="AB34" s="1">
        <v>844</v>
      </c>
      <c r="AC34" s="1">
        <v>910</v>
      </c>
      <c r="AD34" s="1">
        <v>760</v>
      </c>
      <c r="AE34" s="3">
        <v>880.79925999999989</v>
      </c>
      <c r="AF34" s="1">
        <v>909.94596999999999</v>
      </c>
      <c r="AG34" s="128">
        <v>870604.57</v>
      </c>
      <c r="AH34" s="128">
        <v>20407.18</v>
      </c>
      <c r="AI34" s="128">
        <v>30601.87</v>
      </c>
      <c r="AJ34" s="3">
        <f>AG34-AH34+AI34</f>
        <v>880799.25999999989</v>
      </c>
      <c r="AK34" s="3">
        <f t="shared" si="5"/>
        <v>880.79925999999989</v>
      </c>
      <c r="AL34" s="3"/>
      <c r="AM34" s="3">
        <v>878560.68</v>
      </c>
      <c r="AN34" s="3">
        <v>9577.3100000000013</v>
      </c>
      <c r="AO34" s="3">
        <v>40962.6</v>
      </c>
      <c r="AP34" s="3">
        <f t="shared" si="6"/>
        <v>909945.97</v>
      </c>
      <c r="AQ34" s="3">
        <f t="shared" si="7"/>
        <v>909.94596999999999</v>
      </c>
      <c r="AR34" s="3"/>
      <c r="AS34" s="1">
        <v>817853.16</v>
      </c>
      <c r="AT34" s="3">
        <v>7140.46</v>
      </c>
      <c r="AU34" s="92">
        <v>37495.660000000003</v>
      </c>
      <c r="AV34" s="3">
        <f>AS34-AT34+AU34</f>
        <v>848208.3600000001</v>
      </c>
      <c r="AW34" s="3">
        <f>AV34/1000</f>
        <v>848.20836000000008</v>
      </c>
      <c r="AY34" s="3">
        <v>1081589.02</v>
      </c>
      <c r="AZ34" s="3">
        <v>5241.63</v>
      </c>
      <c r="BA34" s="3">
        <v>29683.58</v>
      </c>
      <c r="BB34" s="3">
        <f>AY34-AZ34+BA34</f>
        <v>1106030.9700000002</v>
      </c>
      <c r="BC34" s="3">
        <f>BB34/1000</f>
        <v>1106.0309700000003</v>
      </c>
      <c r="BE34" s="3">
        <v>1064019.82</v>
      </c>
      <c r="BF34" s="3">
        <v>14872.06</v>
      </c>
      <c r="BG34" s="3">
        <v>97601.279999999999</v>
      </c>
      <c r="BH34" s="3">
        <f>BE34-BF34+BG34</f>
        <v>1146749.04</v>
      </c>
      <c r="BI34" s="3">
        <f>BH34/1000</f>
        <v>1146.7490400000002</v>
      </c>
      <c r="BK34" s="3">
        <v>1291727.32</v>
      </c>
      <c r="BL34" s="3">
        <v>4846.82</v>
      </c>
      <c r="BM34" s="3">
        <v>47138.559999999998</v>
      </c>
      <c r="BN34" s="3">
        <f>BK34-BL34+BM34</f>
        <v>1334019.06</v>
      </c>
      <c r="BO34" s="3">
        <f>BN34/1000</f>
        <v>1334.0190600000001</v>
      </c>
      <c r="BQ34" s="256">
        <v>1233461.33</v>
      </c>
      <c r="BR34" s="3">
        <v>18177.59</v>
      </c>
      <c r="BS34" s="3">
        <v>38731.54</v>
      </c>
      <c r="BT34" s="3">
        <f>BQ34-BR34+BS34</f>
        <v>1254015.28</v>
      </c>
      <c r="BU34" s="3">
        <f>BT34/1000</f>
        <v>1254.0152800000001</v>
      </c>
      <c r="BW34" s="256">
        <v>1072958.4100000001</v>
      </c>
      <c r="BX34" s="3">
        <v>17760.760000000002</v>
      </c>
      <c r="BY34" s="3">
        <v>32925.75</v>
      </c>
      <c r="BZ34" s="3">
        <f>BW34-BX34+BY34</f>
        <v>1088123.4000000001</v>
      </c>
      <c r="CA34" s="3">
        <f>BZ34/1000</f>
        <v>1088.1234000000002</v>
      </c>
      <c r="CC34" s="256">
        <v>1172944.5199999998</v>
      </c>
      <c r="CD34" s="3">
        <v>5645.3799999999992</v>
      </c>
      <c r="CE34" s="3">
        <v>73483.340000000026</v>
      </c>
      <c r="CF34" s="3">
        <f>CC34-CD34+CE34</f>
        <v>1240782.48</v>
      </c>
      <c r="CG34" s="3">
        <f>CF34/1000</f>
        <v>1240.7824800000001</v>
      </c>
      <c r="CI34" s="3">
        <v>643422.01</v>
      </c>
      <c r="CJ34" s="3">
        <v>5299.5199999999995</v>
      </c>
      <c r="CK34" s="3">
        <v>61161.25999999998</v>
      </c>
      <c r="CL34" s="3">
        <f>CI34-CJ34+CK34</f>
        <v>699283.75</v>
      </c>
      <c r="CM34" s="3">
        <f>CL34/1000</f>
        <v>699.28375000000005</v>
      </c>
      <c r="CO34" s="3">
        <v>632640.21000000008</v>
      </c>
      <c r="CP34" s="3">
        <v>15428.1</v>
      </c>
      <c r="CQ34" s="3">
        <v>35880.67</v>
      </c>
      <c r="CR34" s="3">
        <f>CO34-CP34+CQ34</f>
        <v>653092.78000000014</v>
      </c>
      <c r="CS34" s="3">
        <f>CR34/1000</f>
        <v>653.09278000000018</v>
      </c>
      <c r="CU34" s="3">
        <v>495960.95999999996</v>
      </c>
      <c r="CV34" s="3">
        <v>13167.09</v>
      </c>
      <c r="CW34" s="3">
        <v>38788.14</v>
      </c>
      <c r="CX34" s="3">
        <f t="shared" si="8"/>
        <v>521582.00999999995</v>
      </c>
      <c r="CY34" s="3">
        <f t="shared" si="9"/>
        <v>521.58200999999997</v>
      </c>
    </row>
    <row r="35" spans="1:103">
      <c r="L35" s="239"/>
      <c r="M35" s="239"/>
      <c r="O35" s="14"/>
      <c r="P35" s="27"/>
      <c r="Q35" s="27"/>
      <c r="R35" s="27"/>
      <c r="S35" s="27"/>
      <c r="T35" s="27"/>
      <c r="U35" s="27"/>
      <c r="V35" s="27"/>
      <c r="W35" s="27"/>
      <c r="X35" s="36"/>
      <c r="Y35" s="14"/>
      <c r="Z35" s="14"/>
      <c r="AA35" s="80"/>
      <c r="AE35" s="3"/>
      <c r="AG35" s="128"/>
      <c r="AH35" s="128"/>
      <c r="AI35" s="128"/>
      <c r="AJ35" s="3"/>
      <c r="AK35" s="3">
        <f t="shared" si="5"/>
        <v>0</v>
      </c>
      <c r="AL35" s="3"/>
      <c r="AM35" s="3"/>
      <c r="AN35" s="3"/>
      <c r="AO35" s="3"/>
      <c r="AP35" s="3"/>
      <c r="AQ35" s="3"/>
      <c r="AR35" s="3"/>
      <c r="AS35" s="1"/>
      <c r="AU35" s="92"/>
      <c r="BQ35" s="256"/>
      <c r="BW35" s="256"/>
      <c r="CC35" s="256"/>
    </row>
    <row r="36" spans="1:103">
      <c r="A36" s="1" t="s">
        <v>26</v>
      </c>
      <c r="B36" s="1">
        <v>1222</v>
      </c>
      <c r="C36" s="1">
        <v>916</v>
      </c>
      <c r="D36" s="1">
        <v>1161.31845</v>
      </c>
      <c r="E36" s="1">
        <v>1198.6790999999998</v>
      </c>
      <c r="F36" s="1">
        <v>1250.8108500000001</v>
      </c>
      <c r="G36" s="1">
        <v>1481.48533</v>
      </c>
      <c r="H36" s="1">
        <v>1551.51929</v>
      </c>
      <c r="I36" s="1">
        <v>1451.2616499999999</v>
      </c>
      <c r="J36" s="1">
        <v>855.0548</v>
      </c>
      <c r="K36" s="1">
        <v>830.84657000000004</v>
      </c>
      <c r="L36" s="239">
        <f>(K36-J36)*100/J36</f>
        <v>-2.8311904687278475</v>
      </c>
      <c r="M36" s="239">
        <f t="shared" si="4"/>
        <v>-3.2650871925310825</v>
      </c>
      <c r="N36" s="14">
        <v>438</v>
      </c>
      <c r="O36" s="14">
        <v>408</v>
      </c>
      <c r="P36" s="27">
        <v>378</v>
      </c>
      <c r="Q36" s="27">
        <v>557</v>
      </c>
      <c r="R36" s="27">
        <v>531</v>
      </c>
      <c r="S36" s="27">
        <v>635</v>
      </c>
      <c r="T36" s="27">
        <v>714</v>
      </c>
      <c r="U36" s="27">
        <v>376</v>
      </c>
      <c r="V36" s="27">
        <f>415.313+15.044</f>
        <v>430.35699999999997</v>
      </c>
      <c r="W36" s="27">
        <f>519.25+19.59</f>
        <v>538.84</v>
      </c>
      <c r="X36" s="36">
        <f>700.339+19.941</f>
        <v>720.28000000000009</v>
      </c>
      <c r="Y36" s="14">
        <f>565.605+30.332</f>
        <v>595.93700000000001</v>
      </c>
      <c r="Z36" s="14">
        <v>646</v>
      </c>
      <c r="AA36" s="80">
        <v>780</v>
      </c>
      <c r="AB36" s="1">
        <v>722</v>
      </c>
      <c r="AC36" s="1">
        <v>862</v>
      </c>
      <c r="AD36" s="1">
        <v>749</v>
      </c>
      <c r="AE36" s="3">
        <v>1087.69382</v>
      </c>
      <c r="AF36" s="1">
        <v>858.89008000000001</v>
      </c>
      <c r="AG36" s="128">
        <v>899178.84</v>
      </c>
      <c r="AH36" s="164">
        <v>0</v>
      </c>
      <c r="AI36" s="128">
        <v>188514.98</v>
      </c>
      <c r="AJ36" s="3">
        <f>AG36-AH36+AI36</f>
        <v>1087693.82</v>
      </c>
      <c r="AK36" s="3">
        <f t="shared" si="5"/>
        <v>1087.69382</v>
      </c>
      <c r="AL36" s="3"/>
      <c r="AM36" s="3">
        <v>762192.88</v>
      </c>
      <c r="AN36" s="3">
        <v>0</v>
      </c>
      <c r="AO36" s="3">
        <v>96697.2</v>
      </c>
      <c r="AP36" s="3">
        <f t="shared" si="6"/>
        <v>858890.08</v>
      </c>
      <c r="AQ36" s="3">
        <f t="shared" si="7"/>
        <v>858.89008000000001</v>
      </c>
      <c r="AR36" s="3"/>
      <c r="AS36" s="1">
        <v>1137086.82</v>
      </c>
      <c r="AT36" s="3">
        <v>0</v>
      </c>
      <c r="AU36" s="92">
        <v>84855.31</v>
      </c>
      <c r="AV36" s="3">
        <f>AS36-AT36+AU36</f>
        <v>1221942.1300000001</v>
      </c>
      <c r="AW36" s="3">
        <f>AV36/1000</f>
        <v>1221.9421300000001</v>
      </c>
      <c r="AY36" s="3">
        <v>813331.88</v>
      </c>
      <c r="AZ36" s="3">
        <v>0</v>
      </c>
      <c r="BA36" s="3">
        <v>102236.07</v>
      </c>
      <c r="BB36" s="3">
        <f>AY36-AZ36+BA36</f>
        <v>915567.95</v>
      </c>
      <c r="BC36" s="3">
        <f>BB36/1000</f>
        <v>915.56795</v>
      </c>
      <c r="BE36" s="3">
        <v>1062642.46</v>
      </c>
      <c r="BF36" s="3">
        <v>0</v>
      </c>
      <c r="BG36" s="3">
        <v>98675.99</v>
      </c>
      <c r="BH36" s="3">
        <f>BE36-BF36+BG36</f>
        <v>1161318.45</v>
      </c>
      <c r="BI36" s="3">
        <f>BH36/1000</f>
        <v>1161.31845</v>
      </c>
      <c r="BK36" s="3">
        <v>1137561.96</v>
      </c>
      <c r="BL36" s="3">
        <v>0</v>
      </c>
      <c r="BM36" s="3">
        <v>61117.14</v>
      </c>
      <c r="BN36" s="3">
        <f>BK36-BL36+BM36</f>
        <v>1198679.0999999999</v>
      </c>
      <c r="BO36" s="3">
        <f>BN36/1000</f>
        <v>1198.6790999999998</v>
      </c>
      <c r="BQ36" s="256">
        <v>1139338.8500000001</v>
      </c>
      <c r="BR36" s="3">
        <v>0</v>
      </c>
      <c r="BS36" s="3">
        <v>111472</v>
      </c>
      <c r="BT36" s="3">
        <f>BQ36-BR36+BS36</f>
        <v>1250810.8500000001</v>
      </c>
      <c r="BU36" s="3">
        <f>BT36/1000</f>
        <v>1250.8108500000001</v>
      </c>
      <c r="BW36" s="256">
        <v>1391979.07</v>
      </c>
      <c r="BX36" s="3">
        <v>0</v>
      </c>
      <c r="BY36" s="3">
        <v>89506.26</v>
      </c>
      <c r="BZ36" s="3">
        <f>BW36-BX36+BY36</f>
        <v>1481485.33</v>
      </c>
      <c r="CA36" s="3">
        <f>BZ36/1000</f>
        <v>1481.48533</v>
      </c>
      <c r="CC36" s="256">
        <v>1340108.29</v>
      </c>
      <c r="CD36" s="3">
        <v>0</v>
      </c>
      <c r="CE36" s="3">
        <v>211411</v>
      </c>
      <c r="CF36" s="3">
        <f>CC36-CD36+CE36</f>
        <v>1551519.29</v>
      </c>
      <c r="CG36" s="3">
        <f>CF36/1000</f>
        <v>1551.51929</v>
      </c>
      <c r="CI36" s="3">
        <v>1292898.31</v>
      </c>
      <c r="CJ36" s="3">
        <v>0</v>
      </c>
      <c r="CK36" s="3">
        <v>158363.33999999994</v>
      </c>
      <c r="CL36" s="3">
        <f>CI36-CJ36+CK36</f>
        <v>1451261.65</v>
      </c>
      <c r="CM36" s="3">
        <f>CL36/1000</f>
        <v>1451.2616499999999</v>
      </c>
      <c r="CO36" s="3">
        <v>707883.53</v>
      </c>
      <c r="CP36" s="3">
        <v>0</v>
      </c>
      <c r="CQ36" s="3">
        <v>147171.26999999999</v>
      </c>
      <c r="CR36" s="3">
        <f>CO36-CP36+CQ36</f>
        <v>855054.8</v>
      </c>
      <c r="CS36" s="3">
        <f>CR36/1000</f>
        <v>855.0548</v>
      </c>
      <c r="CU36" s="3">
        <v>759759.00000000012</v>
      </c>
      <c r="CV36" s="3">
        <v>0</v>
      </c>
      <c r="CW36" s="3">
        <v>71087.570000000007</v>
      </c>
      <c r="CX36" s="3">
        <f t="shared" si="8"/>
        <v>830846.57000000007</v>
      </c>
      <c r="CY36" s="3">
        <f t="shared" si="9"/>
        <v>830.84657000000004</v>
      </c>
    </row>
    <row r="37" spans="1:103">
      <c r="A37" s="1" t="s">
        <v>27</v>
      </c>
      <c r="B37" s="1">
        <v>6358</v>
      </c>
      <c r="C37" s="1">
        <v>8000</v>
      </c>
      <c r="D37" s="1">
        <v>7442.2038600000005</v>
      </c>
      <c r="E37" s="1">
        <v>8476.7139999999981</v>
      </c>
      <c r="F37" s="1">
        <v>9524.8048199999976</v>
      </c>
      <c r="G37" s="1">
        <v>8973.2516000000014</v>
      </c>
      <c r="H37" s="1">
        <v>7405.741759999999</v>
      </c>
      <c r="I37" s="1">
        <v>7729.8266199999989</v>
      </c>
      <c r="J37" s="1">
        <v>8316.5414799999999</v>
      </c>
      <c r="K37" s="1">
        <v>7265.2004500000012</v>
      </c>
      <c r="L37" s="239">
        <f>(K37-J37)*100/J37</f>
        <v>-12.641565397446906</v>
      </c>
      <c r="M37" s="239">
        <f t="shared" si="4"/>
        <v>58.702254141346678</v>
      </c>
      <c r="N37" s="14">
        <v>1109</v>
      </c>
      <c r="O37" s="14">
        <v>994</v>
      </c>
      <c r="P37" s="27">
        <v>1064</v>
      </c>
      <c r="Q37" s="27">
        <v>1204</v>
      </c>
      <c r="R37" s="27">
        <v>1490</v>
      </c>
      <c r="S37" s="27">
        <v>1662</v>
      </c>
      <c r="T37" s="27">
        <v>1700</v>
      </c>
      <c r="U37" s="27">
        <v>1519</v>
      </c>
      <c r="V37" s="27">
        <f>1753.539+37.014</f>
        <v>1790.5529999999999</v>
      </c>
      <c r="W37" s="27">
        <f>2089.922+63.469</f>
        <v>2153.3910000000001</v>
      </c>
      <c r="X37" s="36">
        <f>2091.648+48.767</f>
        <v>2140.415</v>
      </c>
      <c r="Y37" s="14">
        <f>2304.619+63.209</f>
        <v>2367.828</v>
      </c>
      <c r="Z37" s="14">
        <v>2377</v>
      </c>
      <c r="AA37" s="80">
        <v>3112</v>
      </c>
      <c r="AB37" s="1">
        <v>2986</v>
      </c>
      <c r="AC37" s="1">
        <v>2918</v>
      </c>
      <c r="AD37" s="1">
        <v>3040</v>
      </c>
      <c r="AE37" s="3">
        <v>3974.2253200000005</v>
      </c>
      <c r="AF37" s="1">
        <v>4577.8810700000004</v>
      </c>
      <c r="AG37" s="128">
        <v>3862771.89</v>
      </c>
      <c r="AH37" s="128">
        <v>27165.78</v>
      </c>
      <c r="AI37" s="128">
        <v>138619.21</v>
      </c>
      <c r="AJ37" s="3">
        <f>AG37-AH37+AI37</f>
        <v>3974225.3200000003</v>
      </c>
      <c r="AK37" s="3">
        <f t="shared" si="5"/>
        <v>3974.2253200000005</v>
      </c>
      <c r="AL37" s="3"/>
      <c r="AM37" s="3">
        <v>4491009.58</v>
      </c>
      <c r="AN37" s="3">
        <v>35545.5</v>
      </c>
      <c r="AO37" s="3">
        <v>122416.99</v>
      </c>
      <c r="AP37" s="3">
        <f t="shared" si="6"/>
        <v>4577881.07</v>
      </c>
      <c r="AQ37" s="3">
        <f t="shared" si="7"/>
        <v>4577.8810700000004</v>
      </c>
      <c r="AR37" s="3"/>
      <c r="AS37" s="1">
        <v>6209516</v>
      </c>
      <c r="AT37" s="3">
        <v>527.48</v>
      </c>
      <c r="AU37" s="92">
        <v>148540.94</v>
      </c>
      <c r="AV37" s="3">
        <f>AS37-AT37+AU37</f>
        <v>6357529.46</v>
      </c>
      <c r="AW37" s="3">
        <f>AV37/1000</f>
        <v>6357.5294599999997</v>
      </c>
      <c r="AY37" s="3">
        <v>7804565</v>
      </c>
      <c r="AZ37" s="3">
        <v>0</v>
      </c>
      <c r="BA37" s="3">
        <v>195076.45</v>
      </c>
      <c r="BB37" s="3">
        <f>AY37-AZ37+BA37</f>
        <v>7999641.4500000002</v>
      </c>
      <c r="BC37" s="3">
        <f>BB37/1000</f>
        <v>7999.6414500000001</v>
      </c>
      <c r="BE37" s="3">
        <v>7095481.9199999999</v>
      </c>
      <c r="BF37" s="3">
        <v>0</v>
      </c>
      <c r="BG37" s="3">
        <v>346721.94</v>
      </c>
      <c r="BH37" s="3">
        <f>BE37-BF37+BG37</f>
        <v>7442203.8600000003</v>
      </c>
      <c r="BI37" s="3">
        <f>BH37/1000</f>
        <v>7442.2038600000005</v>
      </c>
      <c r="BK37" s="3">
        <v>8133484.5199999986</v>
      </c>
      <c r="BL37" s="3">
        <v>0</v>
      </c>
      <c r="BM37" s="3">
        <v>343229.48</v>
      </c>
      <c r="BN37" s="3">
        <f>BK37-BL37+BM37</f>
        <v>8476713.9999999981</v>
      </c>
      <c r="BO37" s="3">
        <f>BN37/1000</f>
        <v>8476.7139999999981</v>
      </c>
      <c r="BQ37" s="256">
        <v>9001597.7599999979</v>
      </c>
      <c r="BR37" s="3">
        <v>0</v>
      </c>
      <c r="BS37" s="3">
        <v>523207.06</v>
      </c>
      <c r="BT37" s="3">
        <f>BQ37-BR37+BS37</f>
        <v>9524804.8199999984</v>
      </c>
      <c r="BU37" s="3">
        <f>BT37/1000</f>
        <v>9524.8048199999976</v>
      </c>
      <c r="BW37" s="256">
        <v>8397065.660000002</v>
      </c>
      <c r="BX37" s="3">
        <v>0</v>
      </c>
      <c r="BY37" s="3">
        <v>576185.93999999994</v>
      </c>
      <c r="BZ37" s="3">
        <f>BW37-BX37+BY37</f>
        <v>8973251.6000000015</v>
      </c>
      <c r="CA37" s="3">
        <f>BZ37/1000</f>
        <v>8973.2516000000014</v>
      </c>
      <c r="CC37" s="256">
        <v>6833555.6599999992</v>
      </c>
      <c r="CD37" s="3">
        <v>0</v>
      </c>
      <c r="CE37" s="3">
        <v>572186.1</v>
      </c>
      <c r="CF37" s="3">
        <f>CC37-CD37+CE37</f>
        <v>7405741.7599999988</v>
      </c>
      <c r="CG37" s="3">
        <f>CF37/1000</f>
        <v>7405.741759999999</v>
      </c>
      <c r="CI37" s="3">
        <v>6807357.1599999992</v>
      </c>
      <c r="CJ37" s="3">
        <v>0</v>
      </c>
      <c r="CK37" s="3">
        <v>922469.46</v>
      </c>
      <c r="CL37" s="3">
        <f>CI37-CJ37+CK37</f>
        <v>7729826.6199999992</v>
      </c>
      <c r="CM37" s="3">
        <f>CL37/1000</f>
        <v>7729.8266199999989</v>
      </c>
      <c r="CO37" s="3">
        <v>7443869.04</v>
      </c>
      <c r="CP37" s="3">
        <v>0</v>
      </c>
      <c r="CQ37" s="3">
        <v>872672.44</v>
      </c>
      <c r="CR37" s="3">
        <f>CO37-CP37+CQ37</f>
        <v>8316541.4800000004</v>
      </c>
      <c r="CS37" s="3">
        <f>CR37/1000</f>
        <v>8316.5414799999999</v>
      </c>
      <c r="CU37" s="3">
        <v>6766027.6100000013</v>
      </c>
      <c r="CV37" s="3">
        <v>0</v>
      </c>
      <c r="CW37" s="3">
        <v>499172.83999999997</v>
      </c>
      <c r="CX37" s="3">
        <f t="shared" si="8"/>
        <v>7265200.4500000011</v>
      </c>
      <c r="CY37" s="3">
        <f t="shared" si="9"/>
        <v>7265.2004500000012</v>
      </c>
    </row>
    <row r="38" spans="1:103">
      <c r="A38" s="1" t="s">
        <v>28</v>
      </c>
      <c r="B38" s="1">
        <v>3611</v>
      </c>
      <c r="C38" s="1">
        <v>3328</v>
      </c>
      <c r="D38" s="1">
        <v>3875.6392699999997</v>
      </c>
      <c r="E38" s="1">
        <v>4311.3916900000004</v>
      </c>
      <c r="F38" s="1">
        <v>4606.5712299999996</v>
      </c>
      <c r="G38" s="1">
        <v>4299.5778999999993</v>
      </c>
      <c r="H38" s="1">
        <v>4935.0479299999997</v>
      </c>
      <c r="I38" s="1">
        <v>3975.9319400000008</v>
      </c>
      <c r="J38" s="1">
        <v>3212.0341200000007</v>
      </c>
      <c r="K38" s="1">
        <v>3390.7654600000001</v>
      </c>
      <c r="L38" s="239">
        <f>(K38-J38)*100/J38</f>
        <v>5.5644284376406103</v>
      </c>
      <c r="M38" s="239">
        <f t="shared" si="4"/>
        <v>8.057923996837296</v>
      </c>
      <c r="N38" s="14">
        <v>999</v>
      </c>
      <c r="O38" s="14">
        <v>979</v>
      </c>
      <c r="P38" s="27">
        <v>1198</v>
      </c>
      <c r="Q38" s="27">
        <v>1316</v>
      </c>
      <c r="R38" s="27">
        <v>1385</v>
      </c>
      <c r="S38" s="27">
        <v>1762</v>
      </c>
      <c r="T38" s="27">
        <v>1862</v>
      </c>
      <c r="U38" s="27">
        <v>1357</v>
      </c>
      <c r="V38" s="27">
        <f>1737.202+83.553</f>
        <v>1820.7550000000001</v>
      </c>
      <c r="W38" s="27">
        <f>1498.062+79.272</f>
        <v>1577.3339999999998</v>
      </c>
      <c r="X38" s="36">
        <f>1555.068+74.509</f>
        <v>1629.577</v>
      </c>
      <c r="Y38" s="14">
        <f>1766.551+68.09</f>
        <v>1834.6409999999998</v>
      </c>
      <c r="Z38" s="14">
        <v>1981</v>
      </c>
      <c r="AA38" s="80">
        <v>2199</v>
      </c>
      <c r="AB38" s="1">
        <v>2335</v>
      </c>
      <c r="AC38" s="1">
        <v>2948</v>
      </c>
      <c r="AD38" s="1">
        <v>2977</v>
      </c>
      <c r="AE38" s="3">
        <v>2945.7926400000001</v>
      </c>
      <c r="AF38" s="1">
        <v>3137.9146799999999</v>
      </c>
      <c r="AG38" s="128">
        <v>2742467.24</v>
      </c>
      <c r="AH38" s="128">
        <v>27739.38</v>
      </c>
      <c r="AI38" s="128">
        <v>231064.78</v>
      </c>
      <c r="AJ38" s="3">
        <f>AG38-AH38+AI38</f>
        <v>2945792.64</v>
      </c>
      <c r="AK38" s="3">
        <f t="shared" si="5"/>
        <v>2945.7926400000001</v>
      </c>
      <c r="AL38" s="3"/>
      <c r="AM38" s="3">
        <v>2897808.16</v>
      </c>
      <c r="AN38" s="3">
        <v>24027.94</v>
      </c>
      <c r="AO38" s="3">
        <v>264134.46000000002</v>
      </c>
      <c r="AP38" s="3">
        <f t="shared" si="6"/>
        <v>3137914.68</v>
      </c>
      <c r="AQ38" s="3">
        <f t="shared" si="7"/>
        <v>3137.9146800000003</v>
      </c>
      <c r="AR38" s="3"/>
      <c r="AS38" s="1">
        <v>3421262.15</v>
      </c>
      <c r="AT38" s="3">
        <v>29233.42</v>
      </c>
      <c r="AU38" s="92">
        <v>218497.73</v>
      </c>
      <c r="AV38" s="3">
        <f>AS38-AT38+AU38</f>
        <v>3610526.46</v>
      </c>
      <c r="AW38" s="3">
        <f>AV38/1000</f>
        <v>3610.52646</v>
      </c>
      <c r="AY38" s="3">
        <v>3196182.51</v>
      </c>
      <c r="AZ38" s="3">
        <v>62941.95</v>
      </c>
      <c r="BA38" s="3">
        <v>194642.51</v>
      </c>
      <c r="BB38" s="3">
        <f>AY38-AZ38+BA38</f>
        <v>3327883.0699999994</v>
      </c>
      <c r="BC38" s="3">
        <f>BB38/1000</f>
        <v>3327.8830699999994</v>
      </c>
      <c r="BE38" s="3">
        <v>3731774.76</v>
      </c>
      <c r="BF38" s="3">
        <v>28847.02</v>
      </c>
      <c r="BG38" s="3">
        <v>172711.53</v>
      </c>
      <c r="BH38" s="3">
        <f>BE38-BF38+BG38</f>
        <v>3875639.2699999996</v>
      </c>
      <c r="BI38" s="3">
        <f>BH38/1000</f>
        <v>3875.6392699999997</v>
      </c>
      <c r="BK38" s="3">
        <v>4150803.78</v>
      </c>
      <c r="BL38" s="3">
        <v>25250.53</v>
      </c>
      <c r="BM38" s="3">
        <v>185838.44</v>
      </c>
      <c r="BN38" s="3">
        <f>BK38-BL38+BM38</f>
        <v>4311391.6900000004</v>
      </c>
      <c r="BO38" s="3">
        <f>BN38/1000</f>
        <v>4311.3916900000004</v>
      </c>
      <c r="BQ38" s="256">
        <v>4388613.55</v>
      </c>
      <c r="BR38" s="3">
        <v>18888.11</v>
      </c>
      <c r="BS38" s="3">
        <v>236845.79</v>
      </c>
      <c r="BT38" s="3">
        <f>BQ38-BR38+BS38</f>
        <v>4606571.2299999995</v>
      </c>
      <c r="BU38" s="3">
        <f>BT38/1000</f>
        <v>4606.5712299999996</v>
      </c>
      <c r="BW38" s="256">
        <v>4159147.26</v>
      </c>
      <c r="BX38" s="3">
        <v>14518.24</v>
      </c>
      <c r="BY38" s="3">
        <v>154948.87999999995</v>
      </c>
      <c r="BZ38" s="3">
        <f>BW38-BX38+BY38</f>
        <v>4299577.8999999994</v>
      </c>
      <c r="CA38" s="3">
        <f>BZ38/1000</f>
        <v>4299.5778999999993</v>
      </c>
      <c r="CC38" s="256">
        <v>4461333.82</v>
      </c>
      <c r="CD38" s="3">
        <v>16284.499999999998</v>
      </c>
      <c r="CE38" s="3">
        <v>489998.60999999987</v>
      </c>
      <c r="CF38" s="3">
        <f>CC38-CD38+CE38</f>
        <v>4935047.93</v>
      </c>
      <c r="CG38" s="3">
        <f>CF38/1000</f>
        <v>4935.0479299999997</v>
      </c>
      <c r="CI38" s="3">
        <v>3738353.0000000009</v>
      </c>
      <c r="CJ38" s="3">
        <v>127.18</v>
      </c>
      <c r="CK38" s="3">
        <v>237706.12</v>
      </c>
      <c r="CL38" s="3">
        <f>CI38-CJ38+CK38</f>
        <v>3975931.9400000009</v>
      </c>
      <c r="CM38" s="3">
        <f>CL38/1000</f>
        <v>3975.9319400000008</v>
      </c>
      <c r="CO38" s="3">
        <v>3009684.6500000004</v>
      </c>
      <c r="CP38" s="3">
        <v>0</v>
      </c>
      <c r="CQ38" s="3">
        <v>202349.47</v>
      </c>
      <c r="CR38" s="3">
        <f>CO38-CP38+CQ38</f>
        <v>3212034.1200000006</v>
      </c>
      <c r="CS38" s="3">
        <f>CR38/1000</f>
        <v>3212.0341200000007</v>
      </c>
      <c r="CU38" s="3">
        <v>3247967.5</v>
      </c>
      <c r="CV38" s="3">
        <v>0</v>
      </c>
      <c r="CW38" s="3">
        <v>142797.96000000002</v>
      </c>
      <c r="CX38" s="3">
        <f t="shared" si="8"/>
        <v>3390765.46</v>
      </c>
      <c r="CY38" s="3">
        <f t="shared" si="9"/>
        <v>3390.7654600000001</v>
      </c>
    </row>
    <row r="39" spans="1:103">
      <c r="A39" s="17" t="s">
        <v>29</v>
      </c>
      <c r="B39" s="1">
        <v>2716</v>
      </c>
      <c r="C39" s="1">
        <v>2714</v>
      </c>
      <c r="D39" s="1">
        <v>2582.10205</v>
      </c>
      <c r="E39" s="1">
        <v>3057.4565300000004</v>
      </c>
      <c r="F39" s="1">
        <v>2611.6503400000001</v>
      </c>
      <c r="G39" s="1">
        <v>2723.5357599999998</v>
      </c>
      <c r="H39" s="1">
        <v>2888.6384800000005</v>
      </c>
      <c r="I39" s="1">
        <v>3466.9008200000003</v>
      </c>
      <c r="J39" s="1">
        <v>3199.2421999999997</v>
      </c>
      <c r="K39" s="1">
        <v>2315.1372899999997</v>
      </c>
      <c r="L39" s="239">
        <f>(K39-J39)*100/J39</f>
        <v>-27.634822708952768</v>
      </c>
      <c r="M39" s="239">
        <f t="shared" si="4"/>
        <v>-4.6905468077209687</v>
      </c>
      <c r="N39" s="14">
        <v>618</v>
      </c>
      <c r="O39" s="14">
        <v>650</v>
      </c>
      <c r="P39" s="27">
        <v>621</v>
      </c>
      <c r="Q39" s="27">
        <v>813</v>
      </c>
      <c r="R39" s="27">
        <v>915</v>
      </c>
      <c r="S39" s="27">
        <v>1011</v>
      </c>
      <c r="T39" s="27">
        <v>1150</v>
      </c>
      <c r="U39" s="27">
        <v>1230</v>
      </c>
      <c r="V39" s="27">
        <f>1193.549+62.492</f>
        <v>1256.0409999999999</v>
      </c>
      <c r="W39" s="27">
        <f>1373.98+62.257</f>
        <v>1436.2370000000001</v>
      </c>
      <c r="X39" s="36">
        <f>1343.098+73.027</f>
        <v>1416.125</v>
      </c>
      <c r="Y39" s="14">
        <f>1269.758+81.671</f>
        <v>1351.4290000000001</v>
      </c>
      <c r="Z39" s="14">
        <v>1593</v>
      </c>
      <c r="AA39" s="80">
        <v>1524</v>
      </c>
      <c r="AB39" s="1">
        <v>1337</v>
      </c>
      <c r="AC39" s="1">
        <v>1653</v>
      </c>
      <c r="AD39" s="1">
        <v>1904</v>
      </c>
      <c r="AE39" s="3">
        <v>1829.54846</v>
      </c>
      <c r="AF39" s="1">
        <v>2429.0741499999999</v>
      </c>
      <c r="AG39" s="129">
        <v>1741567.96</v>
      </c>
      <c r="AH39" s="129">
        <v>14488.58</v>
      </c>
      <c r="AI39" s="129">
        <v>102469.08</v>
      </c>
      <c r="AJ39" s="3">
        <f>AG39-AH39+AI39</f>
        <v>1829548.46</v>
      </c>
      <c r="AK39" s="3">
        <f t="shared" si="5"/>
        <v>1829.54846</v>
      </c>
      <c r="AL39" s="3"/>
      <c r="AM39" s="3">
        <v>2294667.04</v>
      </c>
      <c r="AN39" s="3">
        <v>24942.44</v>
      </c>
      <c r="AO39" s="3">
        <v>159349.54999999999</v>
      </c>
      <c r="AP39" s="3">
        <f t="shared" si="6"/>
        <v>2429074.15</v>
      </c>
      <c r="AQ39" s="3">
        <f t="shared" si="7"/>
        <v>2429.0741499999999</v>
      </c>
      <c r="AR39" s="3"/>
      <c r="AS39" s="1">
        <v>2404416.27</v>
      </c>
      <c r="AT39" s="3">
        <v>5294.5</v>
      </c>
      <c r="AU39" s="107">
        <v>317247.87</v>
      </c>
      <c r="AV39" s="3">
        <f>AS39-AT39+AU39</f>
        <v>2716369.64</v>
      </c>
      <c r="AW39" s="3">
        <f>AV39/1000</f>
        <v>2716.3696400000003</v>
      </c>
      <c r="AY39" s="3">
        <v>2340039.46</v>
      </c>
      <c r="AZ39" s="3">
        <v>22160.01</v>
      </c>
      <c r="BA39" s="3">
        <v>396424.72</v>
      </c>
      <c r="BB39" s="3">
        <f>AY39-AZ39+BA39</f>
        <v>2714304.17</v>
      </c>
      <c r="BC39" s="3">
        <f>BB39/1000</f>
        <v>2714.3041699999999</v>
      </c>
      <c r="BE39" s="3">
        <v>2273985.5499999998</v>
      </c>
      <c r="BF39" s="3">
        <v>22295.07</v>
      </c>
      <c r="BG39" s="3">
        <v>330411.57</v>
      </c>
      <c r="BH39" s="3">
        <f>BE39-BF39+BG39</f>
        <v>2582102.0499999998</v>
      </c>
      <c r="BI39" s="3">
        <f>BH39/1000</f>
        <v>2582.10205</v>
      </c>
      <c r="BK39" s="3">
        <v>2737738.2</v>
      </c>
      <c r="BL39" s="3">
        <v>17676.48</v>
      </c>
      <c r="BM39" s="3">
        <v>337394.81</v>
      </c>
      <c r="BN39" s="3">
        <f>BK39-BL39+BM39</f>
        <v>3057456.5300000003</v>
      </c>
      <c r="BO39" s="3">
        <f>BN39/1000</f>
        <v>3057.4565300000004</v>
      </c>
      <c r="BQ39" s="257">
        <v>2392778.6</v>
      </c>
      <c r="BR39" s="3">
        <v>7148.55</v>
      </c>
      <c r="BS39" s="3">
        <v>226020.29</v>
      </c>
      <c r="BT39" s="3">
        <f>BQ39-BR39+BS39</f>
        <v>2611650.3400000003</v>
      </c>
      <c r="BU39" s="3">
        <f>BT39/1000</f>
        <v>2611.6503400000001</v>
      </c>
      <c r="BW39" s="257">
        <v>2505993.2400000002</v>
      </c>
      <c r="BX39" s="3">
        <v>11117.219999999998</v>
      </c>
      <c r="BY39" s="3">
        <v>228659.74</v>
      </c>
      <c r="BZ39" s="3">
        <f>BW39-BX39+BY39</f>
        <v>2723535.76</v>
      </c>
      <c r="CA39" s="3">
        <f>BZ39/1000</f>
        <v>2723.5357599999998</v>
      </c>
      <c r="CC39" s="257">
        <v>2534354.9400000004</v>
      </c>
      <c r="CD39" s="3">
        <v>14657.670000000004</v>
      </c>
      <c r="CE39" s="3">
        <v>368941.21</v>
      </c>
      <c r="CF39" s="3">
        <f>CC39-CD39+CE39</f>
        <v>2888638.4800000004</v>
      </c>
      <c r="CG39" s="3">
        <f>CF39/1000</f>
        <v>2888.6384800000005</v>
      </c>
      <c r="CI39" s="3">
        <v>3169472.0900000003</v>
      </c>
      <c r="CJ39" s="3">
        <v>7451.08</v>
      </c>
      <c r="CK39" s="3">
        <v>304879.81</v>
      </c>
      <c r="CL39" s="3">
        <f>CI39-CJ39+CK39</f>
        <v>3466900.8200000003</v>
      </c>
      <c r="CM39" s="3">
        <f>CL39/1000</f>
        <v>3466.9008200000003</v>
      </c>
      <c r="CO39" s="3">
        <v>2838460.9399999995</v>
      </c>
      <c r="CP39" s="3">
        <v>11198.13</v>
      </c>
      <c r="CQ39" s="3">
        <v>371979.39</v>
      </c>
      <c r="CR39" s="3">
        <f>CO39-CP39+CQ39</f>
        <v>3199242.1999999997</v>
      </c>
      <c r="CS39" s="3">
        <f>CR39/1000</f>
        <v>3199.2421999999997</v>
      </c>
      <c r="CU39" s="3">
        <v>2126689.0699999998</v>
      </c>
      <c r="CV39" s="3">
        <v>8993.0199999999986</v>
      </c>
      <c r="CW39" s="3">
        <v>197441.23999999996</v>
      </c>
      <c r="CX39" s="3">
        <f t="shared" si="8"/>
        <v>2315137.2899999996</v>
      </c>
      <c r="CY39" s="3">
        <f t="shared" si="9"/>
        <v>2315.1372899999997</v>
      </c>
    </row>
    <row r="40" spans="1:103">
      <c r="A40" s="1" t="s">
        <v>295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W40" s="18"/>
      <c r="X40" s="7"/>
      <c r="Y40" s="7"/>
    </row>
    <row r="42" spans="1:103">
      <c r="P42" s="14"/>
      <c r="Q42" s="14"/>
      <c r="R42" s="14"/>
    </row>
    <row r="43" spans="1:103">
      <c r="P43" s="14"/>
      <c r="Q43" s="14"/>
      <c r="R43" s="14"/>
    </row>
    <row r="44" spans="1:103">
      <c r="P44" s="14"/>
      <c r="Q44" s="14"/>
      <c r="R44" s="14"/>
    </row>
    <row r="45" spans="1:103">
      <c r="P45" s="14"/>
      <c r="Q45" s="14"/>
      <c r="R45" s="14"/>
    </row>
    <row r="46" spans="1:103">
      <c r="P46" s="14"/>
      <c r="Q46" s="14"/>
      <c r="R46" s="14"/>
    </row>
  </sheetData>
  <sheetProtection password="CAF5" sheet="1" objects="1" scenarios="1"/>
  <mergeCells count="4">
    <mergeCell ref="A4:M4"/>
    <mergeCell ref="CM8:CM9"/>
    <mergeCell ref="CS8:CS9"/>
    <mergeCell ref="CY8:CY9"/>
  </mergeCells>
  <phoneticPr fontId="2" type="noConversion"/>
  <pageMargins left="0.49" right="0.41" top="1" bottom="1" header="0.5" footer="0.5"/>
  <pageSetup scale="77" orientation="landscape" horizontalDpi="4294967292" verticalDpi="4294967292" r:id="rId1"/>
  <headerFooter scaleWithDoc="0" alignWithMargins="0">
    <oddHeader xml:space="preserve">&amp;R
</oddHeader>
    <oddFooter>&amp;L&amp;"Arial,Italic"&amp;10MSDE - LFRO  12 / 2014&amp;C&amp;"Arial,Regular"&amp;10- 12 -&amp;R&amp;"Arial,Italic"&amp;10Selected Financial Data - Part 4</oddFooter>
  </headerFooter>
  <rowBreaks count="1" manualBreakCount="1">
    <brk id="4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CA53"/>
  <sheetViews>
    <sheetView zoomScaleNormal="100" workbookViewId="0">
      <selection sqref="A1:M1"/>
    </sheetView>
  </sheetViews>
  <sheetFormatPr defaultColWidth="10" defaultRowHeight="12.75"/>
  <cols>
    <col min="1" max="1" width="12.875" style="1" customWidth="1"/>
    <col min="2" max="4" width="12.625" style="1" customWidth="1"/>
    <col min="5" max="5" width="11.375" style="1" customWidth="1"/>
    <col min="6" max="6" width="11" style="1" customWidth="1"/>
    <col min="7" max="7" width="10.625" style="1" customWidth="1"/>
    <col min="8" max="8" width="10.875" style="1" customWidth="1"/>
    <col min="9" max="9" width="11" style="1" customWidth="1"/>
    <col min="10" max="12" width="10.5" style="1" customWidth="1"/>
    <col min="13" max="13" width="8.375" style="1" customWidth="1"/>
    <col min="14" max="14" width="10.25" style="1" bestFit="1" customWidth="1"/>
    <col min="15" max="15" width="13.375" style="1" customWidth="1"/>
    <col min="16" max="21" width="10.125" style="1" customWidth="1"/>
    <col min="22" max="22" width="10.125" style="3" customWidth="1"/>
    <col min="23" max="23" width="11.25" style="1" customWidth="1"/>
    <col min="24" max="25" width="12.375" style="3" customWidth="1"/>
    <col min="26" max="26" width="12.625" style="1" customWidth="1"/>
    <col min="27" max="29" width="12.375" style="3" customWidth="1"/>
    <col min="30" max="30" width="10.25" style="3" bestFit="1" customWidth="1"/>
    <col min="31" max="34" width="10.25" style="3" customWidth="1"/>
    <col min="35" max="39" width="12" style="3" customWidth="1"/>
    <col min="40" max="40" width="10.25" style="3" customWidth="1"/>
    <col min="41" max="41" width="11.25" style="3" customWidth="1"/>
    <col min="42" max="42" width="11.125" style="3" customWidth="1"/>
    <col min="43" max="43" width="11.375" style="3" customWidth="1"/>
    <col min="44" max="46" width="10.125" style="3" customWidth="1"/>
    <col min="47" max="47" width="10.75" style="3" bestFit="1" customWidth="1"/>
    <col min="48" max="50" width="10.125" style="3" customWidth="1"/>
    <col min="51" max="51" width="11.375" style="3" customWidth="1"/>
    <col min="52" max="52" width="4.125" style="3" customWidth="1"/>
    <col min="53" max="54" width="10" style="3" customWidth="1"/>
    <col min="55" max="55" width="10.75" style="3" bestFit="1" customWidth="1"/>
    <col min="56" max="56" width="3.125" style="3" customWidth="1"/>
    <col min="57" max="58" width="10" style="3" customWidth="1"/>
    <col min="59" max="59" width="10.75" style="3" bestFit="1" customWidth="1"/>
    <col min="60" max="60" width="10" style="3"/>
    <col min="61" max="61" width="13.625" style="3" bestFit="1" customWidth="1"/>
    <col min="62" max="62" width="8.5" style="3" bestFit="1" customWidth="1"/>
    <col min="63" max="63" width="10.75" style="3" bestFit="1" customWidth="1"/>
    <col min="64" max="64" width="10" style="3"/>
    <col min="65" max="65" width="11.5" style="3" customWidth="1"/>
    <col min="66" max="66" width="10.75" style="3" bestFit="1" customWidth="1"/>
    <col min="67" max="67" width="12.125" style="3" customWidth="1"/>
    <col min="68" max="68" width="10" style="3"/>
    <col min="69" max="69" width="13.625" style="3" bestFit="1" customWidth="1"/>
    <col min="70" max="70" width="10" style="3"/>
    <col min="71" max="71" width="10.75" style="3" bestFit="1" customWidth="1"/>
    <col min="72" max="72" width="5.75" style="3" customWidth="1"/>
    <col min="73" max="73" width="12.75" style="3" customWidth="1"/>
    <col min="74" max="74" width="10" style="3"/>
    <col min="75" max="75" width="12.75" style="3" customWidth="1"/>
    <col min="76" max="16384" width="10" style="3"/>
  </cols>
  <sheetData>
    <row r="1" spans="1:79" ht="15.75" customHeight="1">
      <c r="A1" s="405" t="s">
        <v>96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115"/>
      <c r="O1" s="10"/>
      <c r="Q1" s="2"/>
      <c r="R1" s="2"/>
      <c r="S1" s="2"/>
      <c r="W1" s="115"/>
      <c r="Z1" s="115"/>
    </row>
    <row r="2" spans="1:79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2"/>
      <c r="Q2" s="2"/>
      <c r="R2" s="2"/>
      <c r="S2" s="2"/>
      <c r="W2" s="115"/>
      <c r="Z2" s="115"/>
    </row>
    <row r="3" spans="1:79">
      <c r="A3" s="405" t="s">
        <v>56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115"/>
      <c r="O3" s="10"/>
      <c r="Q3" s="2"/>
      <c r="R3" s="2"/>
      <c r="S3" s="2"/>
      <c r="W3" s="115"/>
      <c r="Z3" s="115"/>
    </row>
    <row r="4" spans="1:79">
      <c r="A4" s="405" t="s">
        <v>367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115"/>
      <c r="O4" s="199"/>
      <c r="P4" s="199"/>
      <c r="Q4" s="10"/>
      <c r="V4" s="1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1"/>
    </row>
    <row r="5" spans="1:79" ht="13.5" thickBot="1"/>
    <row r="6" spans="1:79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7"/>
      <c r="AG6" s="411" t="s">
        <v>338</v>
      </c>
      <c r="AH6" s="411"/>
      <c r="AI6" s="411"/>
      <c r="AJ6" s="385"/>
      <c r="AK6" s="411" t="s">
        <v>356</v>
      </c>
      <c r="AL6" s="411"/>
      <c r="AM6" s="411"/>
      <c r="AN6" s="7"/>
      <c r="AO6" s="351" t="s">
        <v>201</v>
      </c>
      <c r="AP6" s="351"/>
      <c r="AQ6" s="351"/>
      <c r="AS6" s="411" t="s">
        <v>202</v>
      </c>
      <c r="AT6" s="411"/>
      <c r="AU6" s="411"/>
      <c r="AW6" s="411" t="s">
        <v>217</v>
      </c>
      <c r="AX6" s="411"/>
      <c r="AY6" s="411"/>
      <c r="BA6" s="411" t="s">
        <v>250</v>
      </c>
      <c r="BB6" s="411"/>
      <c r="BC6" s="411"/>
      <c r="BE6" s="411" t="s">
        <v>262</v>
      </c>
      <c r="BF6" s="411"/>
      <c r="BG6" s="411"/>
      <c r="BI6" s="3" t="s">
        <v>276</v>
      </c>
      <c r="BM6" s="3" t="s">
        <v>288</v>
      </c>
      <c r="BQ6" s="3" t="s">
        <v>315</v>
      </c>
      <c r="BU6" s="3" t="s">
        <v>346</v>
      </c>
      <c r="BY6" s="3" t="s">
        <v>363</v>
      </c>
    </row>
    <row r="7" spans="1:79">
      <c r="L7" s="406" t="s">
        <v>34</v>
      </c>
      <c r="M7" s="432"/>
      <c r="V7" s="1"/>
      <c r="X7" s="1"/>
      <c r="Y7" s="1"/>
      <c r="AA7" s="1"/>
      <c r="AB7" s="1"/>
      <c r="AC7" s="1"/>
      <c r="AD7" s="1"/>
      <c r="AE7" s="1"/>
      <c r="AF7" s="1"/>
      <c r="AG7" s="356" t="s">
        <v>141</v>
      </c>
      <c r="AH7" s="3" t="s">
        <v>142</v>
      </c>
      <c r="AI7" s="351" t="s">
        <v>112</v>
      </c>
      <c r="AJ7" s="385"/>
      <c r="AK7" s="394" t="s">
        <v>141</v>
      </c>
      <c r="AL7" s="3" t="s">
        <v>142</v>
      </c>
      <c r="AM7" s="385" t="s">
        <v>112</v>
      </c>
      <c r="AN7" s="1"/>
      <c r="AO7" s="356" t="s">
        <v>141</v>
      </c>
      <c r="AP7" s="3" t="s">
        <v>142</v>
      </c>
      <c r="AQ7" s="351" t="s">
        <v>112</v>
      </c>
      <c r="AS7" s="39" t="s">
        <v>141</v>
      </c>
      <c r="AT7" s="3" t="s">
        <v>142</v>
      </c>
      <c r="AU7" s="20" t="s">
        <v>112</v>
      </c>
      <c r="AW7" s="39" t="s">
        <v>141</v>
      </c>
      <c r="AX7" s="3" t="s">
        <v>142</v>
      </c>
      <c r="AY7" s="20" t="s">
        <v>112</v>
      </c>
      <c r="BA7" s="39" t="s">
        <v>141</v>
      </c>
      <c r="BB7" s="3" t="s">
        <v>142</v>
      </c>
      <c r="BC7" s="20" t="s">
        <v>112</v>
      </c>
      <c r="BE7" s="39" t="s">
        <v>141</v>
      </c>
      <c r="BF7" s="3" t="s">
        <v>142</v>
      </c>
      <c r="BG7" s="20" t="s">
        <v>112</v>
      </c>
      <c r="BI7" s="3" t="s">
        <v>141</v>
      </c>
      <c r="BJ7" s="3" t="s">
        <v>142</v>
      </c>
      <c r="BK7" s="3" t="s">
        <v>112</v>
      </c>
      <c r="BM7" s="3" t="s">
        <v>141</v>
      </c>
      <c r="BN7" s="3" t="s">
        <v>142</v>
      </c>
      <c r="BO7" s="3" t="s">
        <v>112</v>
      </c>
      <c r="BQ7" s="3" t="s">
        <v>141</v>
      </c>
      <c r="BR7" s="3" t="s">
        <v>142</v>
      </c>
      <c r="BS7" s="3" t="s">
        <v>112</v>
      </c>
      <c r="BU7" s="3" t="s">
        <v>141</v>
      </c>
      <c r="BV7" s="3" t="s">
        <v>142</v>
      </c>
      <c r="BW7" s="3" t="s">
        <v>112</v>
      </c>
      <c r="BY7" s="3" t="s">
        <v>141</v>
      </c>
      <c r="BZ7" s="3" t="s">
        <v>142</v>
      </c>
      <c r="CA7" s="3" t="s">
        <v>112</v>
      </c>
    </row>
    <row r="8" spans="1:79"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V8" s="1"/>
      <c r="X8" s="1"/>
      <c r="Y8" s="1"/>
      <c r="AA8" s="1"/>
      <c r="AB8" s="1"/>
      <c r="AC8" s="7"/>
      <c r="AD8" s="7"/>
      <c r="AE8" s="7"/>
      <c r="AF8" s="7"/>
      <c r="AG8" s="356"/>
      <c r="AH8" s="356"/>
      <c r="AI8" s="351" t="s">
        <v>339</v>
      </c>
      <c r="AJ8" s="385"/>
      <c r="AK8" s="394"/>
      <c r="AL8" s="394"/>
      <c r="AM8" s="385" t="s">
        <v>339</v>
      </c>
      <c r="AN8" s="7"/>
      <c r="AO8" s="356"/>
      <c r="AP8" s="356"/>
      <c r="AQ8" s="351" t="s">
        <v>191</v>
      </c>
      <c r="AS8" s="39"/>
      <c r="AT8" s="39"/>
      <c r="AU8" s="20" t="s">
        <v>218</v>
      </c>
      <c r="AW8" s="39"/>
      <c r="AX8" s="39"/>
      <c r="AY8" s="20" t="s">
        <v>219</v>
      </c>
      <c r="BA8" s="39"/>
      <c r="BB8" s="39"/>
      <c r="BC8" s="20" t="s">
        <v>219</v>
      </c>
      <c r="BE8" s="39"/>
      <c r="BF8" s="39"/>
      <c r="BG8" s="20" t="s">
        <v>263</v>
      </c>
      <c r="BK8" s="3" t="s">
        <v>277</v>
      </c>
      <c r="BO8" s="3" t="s">
        <v>289</v>
      </c>
      <c r="BS8" s="3" t="s">
        <v>316</v>
      </c>
      <c r="BW8" s="3" t="s">
        <v>347</v>
      </c>
      <c r="CA8" s="3" t="s">
        <v>347</v>
      </c>
    </row>
    <row r="9" spans="1:79" ht="13.5" thickBot="1">
      <c r="A9" s="8" t="s">
        <v>1</v>
      </c>
      <c r="B9" s="397" t="s">
        <v>184</v>
      </c>
      <c r="C9" s="397" t="s">
        <v>194</v>
      </c>
      <c r="D9" s="397" t="s">
        <v>208</v>
      </c>
      <c r="E9" s="397" t="s">
        <v>243</v>
      </c>
      <c r="F9" s="397" t="s">
        <v>256</v>
      </c>
      <c r="G9" s="397" t="s">
        <v>269</v>
      </c>
      <c r="H9" s="397" t="s">
        <v>283</v>
      </c>
      <c r="I9" s="397" t="s">
        <v>303</v>
      </c>
      <c r="J9" s="397" t="s">
        <v>330</v>
      </c>
      <c r="K9" s="397" t="s">
        <v>360</v>
      </c>
      <c r="L9" s="9" t="s">
        <v>84</v>
      </c>
      <c r="M9" s="9" t="s">
        <v>84</v>
      </c>
      <c r="N9" s="9" t="s">
        <v>42</v>
      </c>
      <c r="O9" s="9" t="s">
        <v>57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9" t="s">
        <v>63</v>
      </c>
      <c r="V9" s="9" t="s">
        <v>41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08" t="s">
        <v>105</v>
      </c>
      <c r="AE9" s="352" t="s">
        <v>161</v>
      </c>
      <c r="AF9" s="387" t="s">
        <v>168</v>
      </c>
      <c r="AG9" s="108" t="s">
        <v>140</v>
      </c>
      <c r="AH9" s="108" t="s">
        <v>140</v>
      </c>
      <c r="AI9" s="353" t="s">
        <v>140</v>
      </c>
      <c r="AJ9" s="388"/>
      <c r="AK9" s="108" t="s">
        <v>140</v>
      </c>
      <c r="AL9" s="108" t="s">
        <v>140</v>
      </c>
      <c r="AM9" s="388" t="s">
        <v>140</v>
      </c>
      <c r="AN9" s="352"/>
      <c r="AO9" s="108" t="s">
        <v>140</v>
      </c>
      <c r="AP9" s="108" t="s">
        <v>140</v>
      </c>
      <c r="AQ9" s="353" t="s">
        <v>140</v>
      </c>
      <c r="AS9" s="108" t="s">
        <v>140</v>
      </c>
      <c r="AT9" s="108" t="s">
        <v>140</v>
      </c>
      <c r="AU9" s="40" t="s">
        <v>140</v>
      </c>
      <c r="AW9" s="108" t="s">
        <v>140</v>
      </c>
      <c r="AX9" s="108" t="s">
        <v>140</v>
      </c>
      <c r="AY9" s="40" t="s">
        <v>140</v>
      </c>
      <c r="BA9" s="108" t="s">
        <v>140</v>
      </c>
      <c r="BB9" s="108" t="s">
        <v>140</v>
      </c>
      <c r="BC9" s="40" t="s">
        <v>140</v>
      </c>
      <c r="BE9" s="108" t="s">
        <v>140</v>
      </c>
      <c r="BF9" s="108" t="s">
        <v>140</v>
      </c>
      <c r="BG9" s="40" t="s">
        <v>140</v>
      </c>
      <c r="BI9" s="3" t="s">
        <v>140</v>
      </c>
      <c r="BJ9" s="3" t="s">
        <v>140</v>
      </c>
      <c r="BK9" s="3" t="s">
        <v>140</v>
      </c>
      <c r="BM9" s="3" t="s">
        <v>140</v>
      </c>
      <c r="BN9" s="3" t="s">
        <v>140</v>
      </c>
      <c r="BO9" s="3" t="s">
        <v>140</v>
      </c>
      <c r="BQ9" s="3" t="s">
        <v>140</v>
      </c>
      <c r="BR9" s="3" t="s">
        <v>140</v>
      </c>
      <c r="BS9" s="3" t="s">
        <v>140</v>
      </c>
      <c r="BU9" s="3" t="s">
        <v>140</v>
      </c>
      <c r="BV9" s="3" t="s">
        <v>140</v>
      </c>
      <c r="BW9" s="3" t="s">
        <v>140</v>
      </c>
      <c r="BY9" s="3" t="s">
        <v>140</v>
      </c>
      <c r="BZ9" s="3" t="s">
        <v>140</v>
      </c>
      <c r="CA9" s="3" t="s">
        <v>140</v>
      </c>
    </row>
    <row r="10" spans="1:79">
      <c r="A10" s="7" t="s">
        <v>5</v>
      </c>
      <c r="B10" s="11">
        <f>SUM(B12:B39)</f>
        <v>62297771</v>
      </c>
      <c r="C10" s="11">
        <f t="shared" ref="C10:K10" si="0">SUM(C12:C39)</f>
        <v>57147190</v>
      </c>
      <c r="D10" s="11">
        <f t="shared" si="0"/>
        <v>61501348.120000005</v>
      </c>
      <c r="E10" s="11">
        <f t="shared" si="0"/>
        <v>56154723.239999995</v>
      </c>
      <c r="F10" s="11">
        <f t="shared" si="0"/>
        <v>51280107.429999992</v>
      </c>
      <c r="G10" s="11">
        <f t="shared" si="0"/>
        <v>44539654.529999979</v>
      </c>
      <c r="H10" s="11">
        <f t="shared" si="0"/>
        <v>45717573.659999996</v>
      </c>
      <c r="I10" s="11">
        <f t="shared" si="0"/>
        <v>38621174.849999987</v>
      </c>
      <c r="J10" s="11">
        <f t="shared" si="0"/>
        <v>35316226.709999986</v>
      </c>
      <c r="K10" s="11">
        <f t="shared" si="0"/>
        <v>39961583.529999994</v>
      </c>
      <c r="L10" s="239">
        <f>(K10-J10)*100/J10</f>
        <v>13.153604596961795</v>
      </c>
      <c r="M10" s="239">
        <f>(K10-AF10)*100/AF10</f>
        <v>-3.037051962135926</v>
      </c>
      <c r="N10" s="11">
        <f t="shared" ref="N10:T10" si="1">SUM(N12:N39)</f>
        <v>14453000</v>
      </c>
      <c r="O10" s="11">
        <f t="shared" si="1"/>
        <v>16174031</v>
      </c>
      <c r="P10" s="11">
        <f t="shared" si="1"/>
        <v>17417163</v>
      </c>
      <c r="Q10" s="11">
        <f t="shared" si="1"/>
        <v>21866586</v>
      </c>
      <c r="R10" s="11">
        <f t="shared" si="1"/>
        <v>21943898</v>
      </c>
      <c r="S10" s="11">
        <f t="shared" si="1"/>
        <v>21756490</v>
      </c>
      <c r="T10" s="11">
        <f t="shared" si="1"/>
        <v>25654784</v>
      </c>
      <c r="U10" s="11">
        <f t="shared" ref="U10:Z10" si="2">SUM(U12:U39)</f>
        <v>24422352</v>
      </c>
      <c r="V10" s="11">
        <f t="shared" si="2"/>
        <v>22661347</v>
      </c>
      <c r="W10" s="11">
        <f t="shared" si="2"/>
        <v>25086948</v>
      </c>
      <c r="X10" s="11">
        <f t="shared" si="2"/>
        <v>27257048</v>
      </c>
      <c r="Y10" s="11">
        <f t="shared" si="2"/>
        <v>22377515</v>
      </c>
      <c r="Z10" s="11">
        <f t="shared" si="2"/>
        <v>27612874</v>
      </c>
      <c r="AA10" s="11">
        <f>SUM(AA12:AA39)</f>
        <v>30331118</v>
      </c>
      <c r="AB10" s="11">
        <f>SUM(AB12:AB39)</f>
        <v>43185145</v>
      </c>
      <c r="AC10" s="11">
        <f>SUM(AC12:AC39)</f>
        <v>49555371</v>
      </c>
      <c r="AD10" s="11">
        <v>40250267</v>
      </c>
      <c r="AE10" s="11">
        <f>SUM(AE12:AE39)</f>
        <v>45347905.719999999</v>
      </c>
      <c r="AF10" s="11">
        <f>SUM(AF12:AF39)</f>
        <v>41213251.390000001</v>
      </c>
      <c r="AG10" s="104">
        <f>SUM(AG12:AG39)</f>
        <v>44252789.25</v>
      </c>
      <c r="AH10" s="106">
        <f>SUM(AH12:AH39)</f>
        <v>1095115.4700000002</v>
      </c>
      <c r="AI10" s="106">
        <f>SUM(AI12:AI39)</f>
        <v>45347904.719999999</v>
      </c>
      <c r="AJ10" s="106"/>
      <c r="AK10" s="106">
        <f t="shared" ref="AK10:AM10" si="3">SUM(AK12:AK39)</f>
        <v>40483930.910000004</v>
      </c>
      <c r="AL10" s="106">
        <f t="shared" si="3"/>
        <v>729320.48</v>
      </c>
      <c r="AM10" s="106">
        <f t="shared" si="3"/>
        <v>41213251.390000001</v>
      </c>
      <c r="AN10" s="11"/>
      <c r="AO10" s="104">
        <f>SUM(AO12:AO39)</f>
        <v>61256629.040000007</v>
      </c>
      <c r="AP10" s="106">
        <f>SUM(AP12:AP39)</f>
        <v>1041141.7300000001</v>
      </c>
      <c r="AQ10" s="106">
        <f>SUM(AQ12:AQ39)</f>
        <v>62297770.770000003</v>
      </c>
      <c r="AS10" s="104">
        <f>SUM(AS12:AS39)</f>
        <v>56658825.18</v>
      </c>
      <c r="AT10" s="106">
        <f>SUM(AT12:AT39)</f>
        <v>488366.05000000005</v>
      </c>
      <c r="AU10" s="106">
        <f>SUM(AU12:AU39)</f>
        <v>57147191.229999997</v>
      </c>
      <c r="AW10" s="104">
        <f>SUM(AW12:AW39)</f>
        <v>59926153.300000004</v>
      </c>
      <c r="AX10" s="106">
        <f>SUM(AX12:AX39)</f>
        <v>1575194.82</v>
      </c>
      <c r="AY10" s="106">
        <f>SUM(AY12:AY39)</f>
        <v>61501348.120000005</v>
      </c>
      <c r="BA10" s="104">
        <f>SUM(BA12:BA39)</f>
        <v>55217221.750000007</v>
      </c>
      <c r="BB10" s="106">
        <f>SUM(BB12:BB39)</f>
        <v>937501.49</v>
      </c>
      <c r="BC10" s="106">
        <f>SUM(BC12:BC39)</f>
        <v>56154723.239999995</v>
      </c>
      <c r="BE10" s="104">
        <f>SUM(BE12:BE39)</f>
        <v>50617998.460000001</v>
      </c>
      <c r="BF10" s="106">
        <f>SUM(BF12:BF39)</f>
        <v>662108.97000000009</v>
      </c>
      <c r="BG10" s="106">
        <f>SUM(BG12:BG39)</f>
        <v>51280107.429999992</v>
      </c>
      <c r="BI10" s="106">
        <f>SUM(BI12:BI39)</f>
        <v>43848033.680000007</v>
      </c>
      <c r="BJ10" s="106">
        <f>SUM(BJ12:BJ39)</f>
        <v>691620.85</v>
      </c>
      <c r="BK10" s="106">
        <f>SUM(BK12:BK39)</f>
        <v>44539654.529999979</v>
      </c>
      <c r="BM10" s="106">
        <f>SUM(BM12:BM39)</f>
        <v>44896929.000000007</v>
      </c>
      <c r="BN10" s="106">
        <f>SUM(BN12:BN39)</f>
        <v>820644.66000000015</v>
      </c>
      <c r="BO10" s="106">
        <f>SUM(BO12:BO39)</f>
        <v>45717573.659999996</v>
      </c>
      <c r="BQ10" s="106">
        <f>SUM(BQ12:BQ39)</f>
        <v>37944033.5</v>
      </c>
      <c r="BR10" s="106">
        <f>SUM(BR12:BR39)</f>
        <v>677141.35000000009</v>
      </c>
      <c r="BS10" s="106">
        <f>SUM(BS12:BS39)</f>
        <v>38621174.849999987</v>
      </c>
      <c r="BU10" s="106">
        <f>SUM(BU12:BU39)</f>
        <v>34089105.5</v>
      </c>
      <c r="BV10" s="106">
        <f>SUM(BV12:BV39)</f>
        <v>1227121.2100000002</v>
      </c>
      <c r="BW10" s="106">
        <f>SUM(BW12:BW39)</f>
        <v>35316226.709999986</v>
      </c>
      <c r="BY10" s="3">
        <f>SUM(BY12:BY39)</f>
        <v>39431511.750000007</v>
      </c>
      <c r="BZ10" s="3">
        <f t="shared" ref="BZ10:CA10" si="4">SUM(BZ12:BZ39)</f>
        <v>530071.78</v>
      </c>
      <c r="CA10" s="3">
        <f t="shared" si="4"/>
        <v>39961583.529999994</v>
      </c>
    </row>
    <row r="11" spans="1:79">
      <c r="M11" s="239"/>
      <c r="O11" s="14"/>
      <c r="R11" s="14"/>
      <c r="S11" s="14"/>
      <c r="V11" s="1"/>
      <c r="X11" s="36"/>
      <c r="Y11" s="14"/>
      <c r="Z11" s="14"/>
      <c r="AA11" s="30"/>
      <c r="AB11" s="1"/>
      <c r="AC11" s="1"/>
      <c r="AD11" s="1"/>
      <c r="AE11" s="1"/>
      <c r="AF11" s="1"/>
      <c r="AG11" s="105"/>
      <c r="AN11" s="1"/>
      <c r="AO11" s="105"/>
      <c r="BN11" s="289"/>
      <c r="BR11" s="289"/>
      <c r="BV11" s="289"/>
    </row>
    <row r="12" spans="1:79">
      <c r="A12" s="1" t="s">
        <v>6</v>
      </c>
      <c r="B12" s="1">
        <v>1688389</v>
      </c>
      <c r="C12" s="1">
        <v>988840</v>
      </c>
      <c r="D12" s="1">
        <v>236621.8</v>
      </c>
      <c r="E12" s="1">
        <v>100606.1</v>
      </c>
      <c r="F12" s="1">
        <v>327768.69</v>
      </c>
      <c r="G12" s="1">
        <v>602505.43999999994</v>
      </c>
      <c r="H12" s="1">
        <v>743498.4</v>
      </c>
      <c r="I12" s="1">
        <v>358601.05</v>
      </c>
      <c r="J12" s="1">
        <v>46650.07</v>
      </c>
      <c r="K12" s="1">
        <v>507332.52</v>
      </c>
      <c r="L12" s="239">
        <f>(K12-J12)*100/J12</f>
        <v>987.5278858102464</v>
      </c>
      <c r="M12" s="239">
        <f>(K12-AF12)*100/AF12</f>
        <v>99.447769911546885</v>
      </c>
      <c r="N12" s="14">
        <v>252051</v>
      </c>
      <c r="O12" s="14">
        <v>243674</v>
      </c>
      <c r="P12" s="14">
        <v>226237</v>
      </c>
      <c r="Q12" s="27">
        <v>208673</v>
      </c>
      <c r="R12" s="27">
        <v>254869</v>
      </c>
      <c r="S12" s="27">
        <v>199980</v>
      </c>
      <c r="T12" s="27">
        <v>436773</v>
      </c>
      <c r="U12" s="27">
        <v>242620</v>
      </c>
      <c r="V12" s="27">
        <v>320431</v>
      </c>
      <c r="W12" s="27">
        <v>294766</v>
      </c>
      <c r="X12" s="36">
        <v>279817</v>
      </c>
      <c r="Y12" s="14">
        <v>299521</v>
      </c>
      <c r="Z12" s="14">
        <v>430603</v>
      </c>
      <c r="AA12" s="80">
        <v>444388</v>
      </c>
      <c r="AB12" s="1">
        <v>65451</v>
      </c>
      <c r="AC12" s="1">
        <v>171999</v>
      </c>
      <c r="AD12" s="1">
        <v>179579</v>
      </c>
      <c r="AE12" s="1">
        <v>341622.29</v>
      </c>
      <c r="AF12" s="1">
        <v>254368.61</v>
      </c>
      <c r="AG12" s="164">
        <v>341622.29</v>
      </c>
      <c r="AH12" s="128">
        <v>0</v>
      </c>
      <c r="AI12" s="3">
        <f>SUM(AG12:AH12)</f>
        <v>341622.29</v>
      </c>
      <c r="AK12" s="3">
        <v>254368.61</v>
      </c>
      <c r="AL12" s="3">
        <v>0</v>
      </c>
      <c r="AM12" s="3">
        <f>SUM(AK12:AL12)</f>
        <v>254368.61</v>
      </c>
      <c r="AN12" s="1"/>
      <c r="AO12" s="156">
        <v>1688389.45</v>
      </c>
      <c r="AP12" s="92">
        <v>0</v>
      </c>
      <c r="AQ12" s="3">
        <f>SUM(AO12:AP12)</f>
        <v>1688389.45</v>
      </c>
      <c r="AS12" s="3">
        <v>988840</v>
      </c>
      <c r="AT12" s="3">
        <v>0</v>
      </c>
      <c r="AU12" s="3">
        <f>SUM(AS12:AT12)</f>
        <v>988840</v>
      </c>
      <c r="AW12" s="3">
        <v>236621.8</v>
      </c>
      <c r="AX12" s="3">
        <v>0</v>
      </c>
      <c r="AY12" s="3">
        <f>SUM(AW12:AX12)</f>
        <v>236621.8</v>
      </c>
      <c r="BA12" s="3">
        <v>100606.1</v>
      </c>
      <c r="BB12" s="3">
        <v>0</v>
      </c>
      <c r="BC12" s="3">
        <f>SUM(BA12:BB12)</f>
        <v>100606.1</v>
      </c>
      <c r="BE12" s="3">
        <v>327768.69</v>
      </c>
      <c r="BF12" s="3">
        <v>0</v>
      </c>
      <c r="BG12" s="3">
        <f>SUM(BE12:BF12)</f>
        <v>327768.69</v>
      </c>
      <c r="BI12" s="3">
        <v>602505.43999999994</v>
      </c>
      <c r="BJ12" s="3">
        <v>0</v>
      </c>
      <c r="BK12" s="3">
        <f>SUM(BI12:BJ12)</f>
        <v>602505.43999999994</v>
      </c>
      <c r="BM12" s="3">
        <v>743498.4</v>
      </c>
      <c r="BN12" s="3">
        <v>0</v>
      </c>
      <c r="BO12" s="3">
        <f>SUM(BM12:BN12)</f>
        <v>743498.4</v>
      </c>
      <c r="BQ12" s="3">
        <v>358601.05</v>
      </c>
      <c r="BR12" s="3">
        <v>0</v>
      </c>
      <c r="BS12" s="3">
        <f>SUM(BQ12:BR12)</f>
        <v>358601.05</v>
      </c>
      <c r="BU12" s="3">
        <v>46650.07</v>
      </c>
      <c r="BV12" s="3">
        <v>0</v>
      </c>
      <c r="BW12" s="3">
        <f>SUM(BU12:BV12)</f>
        <v>46650.07</v>
      </c>
      <c r="BY12" s="3">
        <v>507332.52</v>
      </c>
      <c r="BZ12" s="3">
        <v>0</v>
      </c>
      <c r="CA12" s="3">
        <f>SUM(BY12:BZ12)</f>
        <v>507332.52</v>
      </c>
    </row>
    <row r="13" spans="1:79">
      <c r="A13" s="1" t="s">
        <v>7</v>
      </c>
      <c r="B13" s="1">
        <v>8060169</v>
      </c>
      <c r="C13" s="1">
        <v>7203477</v>
      </c>
      <c r="D13" s="1">
        <v>1110162.3</v>
      </c>
      <c r="E13" s="1">
        <v>2084223.7</v>
      </c>
      <c r="F13" s="1">
        <v>1481180.17</v>
      </c>
      <c r="G13" s="1">
        <v>1393542.73</v>
      </c>
      <c r="H13" s="1">
        <v>1481035.4000000001</v>
      </c>
      <c r="I13" s="1">
        <v>8856816.9900000002</v>
      </c>
      <c r="J13" s="1">
        <v>11030949.08</v>
      </c>
      <c r="K13" s="1">
        <v>13528802.98</v>
      </c>
      <c r="L13" s="239">
        <f>(K13-J13)*100/J13</f>
        <v>22.644052491628401</v>
      </c>
      <c r="M13" s="239">
        <f t="shared" ref="M13:M39" si="5">(K13-AF13)*100/AF13</f>
        <v>280.5712163746586</v>
      </c>
      <c r="N13" s="14">
        <v>982597</v>
      </c>
      <c r="O13" s="14">
        <v>1354757</v>
      </c>
      <c r="P13" s="14">
        <v>1523315</v>
      </c>
      <c r="Q13" s="27">
        <v>1496763</v>
      </c>
      <c r="R13" s="27">
        <v>1192255</v>
      </c>
      <c r="S13" s="27">
        <v>1207395</v>
      </c>
      <c r="T13" s="27">
        <v>1189931</v>
      </c>
      <c r="U13" s="27">
        <v>1075666</v>
      </c>
      <c r="V13" s="27">
        <f>1531190+2160</f>
        <v>1533350</v>
      </c>
      <c r="W13" s="27">
        <f>1401492+784</f>
        <v>1402276</v>
      </c>
      <c r="X13" s="36">
        <f>1574003+6010</f>
        <v>1580013</v>
      </c>
      <c r="Y13" s="14">
        <f>1885491+8170</f>
        <v>1893661</v>
      </c>
      <c r="Z13" s="14">
        <v>1950712</v>
      </c>
      <c r="AA13" s="80">
        <v>1761648</v>
      </c>
      <c r="AB13" s="1">
        <v>1092137</v>
      </c>
      <c r="AC13" s="1">
        <v>2351579</v>
      </c>
      <c r="AD13" s="1">
        <v>2173777</v>
      </c>
      <c r="AE13" s="1">
        <v>2848337.02</v>
      </c>
      <c r="AF13" s="1">
        <v>3554867.6300000004</v>
      </c>
      <c r="AG13" s="164">
        <v>2791807.47</v>
      </c>
      <c r="AH13" s="128">
        <v>56529.55</v>
      </c>
      <c r="AI13" s="3">
        <f>SUM(AG13:AH13)</f>
        <v>2848337.02</v>
      </c>
      <c r="AK13" s="3">
        <v>3463598.68</v>
      </c>
      <c r="AL13" s="3">
        <v>91268.95</v>
      </c>
      <c r="AM13" s="3">
        <f t="shared" ref="AM13:AM39" si="6">SUM(AK13:AL13)</f>
        <v>3554867.6300000004</v>
      </c>
      <c r="AN13" s="1"/>
      <c r="AO13" s="156">
        <v>8006787</v>
      </c>
      <c r="AP13" s="92">
        <v>53381.59</v>
      </c>
      <c r="AQ13" s="3">
        <f>SUM(AO13:AP13)</f>
        <v>8060168.5899999999</v>
      </c>
      <c r="AS13" s="3">
        <v>7199753</v>
      </c>
      <c r="AT13" s="3">
        <v>3724.06</v>
      </c>
      <c r="AU13" s="3">
        <f>SUM(AS13:AT13)</f>
        <v>7203477.0599999996</v>
      </c>
      <c r="AW13" s="3">
        <v>1109078.8</v>
      </c>
      <c r="AX13" s="3">
        <v>1083.5</v>
      </c>
      <c r="AY13" s="3">
        <f>SUM(AW13:AX13)</f>
        <v>1110162.3</v>
      </c>
      <c r="BA13" s="3">
        <v>2083712.42</v>
      </c>
      <c r="BB13" s="3">
        <v>511.28</v>
      </c>
      <c r="BC13" s="3">
        <f>SUM(BA13:BB13)</f>
        <v>2084223.7</v>
      </c>
      <c r="BE13" s="3">
        <v>1463940.63</v>
      </c>
      <c r="BF13" s="3">
        <v>17239.54</v>
      </c>
      <c r="BG13" s="3">
        <f>SUM(BE13:BF13)</f>
        <v>1481180.17</v>
      </c>
      <c r="BI13" s="3">
        <v>1355142.48</v>
      </c>
      <c r="BJ13" s="3">
        <v>38400.25</v>
      </c>
      <c r="BK13" s="3">
        <f>SUM(BI13:BJ13)</f>
        <v>1393542.73</v>
      </c>
      <c r="BM13" s="3">
        <v>1442146.9000000001</v>
      </c>
      <c r="BN13" s="3">
        <v>38888.5</v>
      </c>
      <c r="BO13" s="3">
        <f>SUM(BM13:BN13)</f>
        <v>1481035.4000000001</v>
      </c>
      <c r="BQ13" s="3">
        <v>8818316.9900000002</v>
      </c>
      <c r="BR13" s="3">
        <v>38500</v>
      </c>
      <c r="BS13" s="3">
        <f>SUM(BQ13:BR13)</f>
        <v>8856816.9900000002</v>
      </c>
      <c r="BU13" s="3">
        <v>11024822.779999999</v>
      </c>
      <c r="BV13" s="3">
        <v>6126.3</v>
      </c>
      <c r="BW13" s="3">
        <f>SUM(BU13:BV13)</f>
        <v>11030949.08</v>
      </c>
      <c r="BY13" s="3">
        <v>13513802.98</v>
      </c>
      <c r="BZ13" s="3">
        <v>15000</v>
      </c>
      <c r="CA13" s="3">
        <f t="shared" ref="CA13:CA39" si="7">SUM(BY13:BZ13)</f>
        <v>13528802.98</v>
      </c>
    </row>
    <row r="14" spans="1:79">
      <c r="A14" s="1" t="s">
        <v>8</v>
      </c>
      <c r="B14" s="1">
        <v>6724822</v>
      </c>
      <c r="C14" s="1">
        <v>12877959</v>
      </c>
      <c r="D14" s="1">
        <v>13257466.74</v>
      </c>
      <c r="E14" s="1">
        <v>12221977.930000002</v>
      </c>
      <c r="F14" s="1">
        <v>13112468.58</v>
      </c>
      <c r="G14" s="1">
        <v>5531658.46</v>
      </c>
      <c r="H14" s="1">
        <v>4328106.6399999997</v>
      </c>
      <c r="I14" s="1">
        <v>3950822.379999999</v>
      </c>
      <c r="J14" s="1">
        <v>2393342.33</v>
      </c>
      <c r="K14" s="1">
        <v>2485292.33</v>
      </c>
      <c r="L14" s="239">
        <f>(K14-J14)*100/J14</f>
        <v>3.8419075636371667</v>
      </c>
      <c r="M14" s="239">
        <f t="shared" si="5"/>
        <v>169.0480973592295</v>
      </c>
      <c r="N14" s="14">
        <v>2205890</v>
      </c>
      <c r="O14" s="14">
        <v>2527057</v>
      </c>
      <c r="P14" s="14">
        <v>2456944</v>
      </c>
      <c r="Q14" s="27">
        <v>5486991</v>
      </c>
      <c r="R14" s="27">
        <v>5064943</v>
      </c>
      <c r="S14" s="27">
        <v>2620966</v>
      </c>
      <c r="T14" s="27">
        <v>4700991</v>
      </c>
      <c r="U14" s="27">
        <v>4623332</v>
      </c>
      <c r="V14" s="27">
        <f>3727351+53504</f>
        <v>3780855</v>
      </c>
      <c r="W14" s="27">
        <f>3270978+69890</f>
        <v>3340868</v>
      </c>
      <c r="X14" s="36">
        <f>2790141+104580</f>
        <v>2894721</v>
      </c>
      <c r="Y14" s="14">
        <f>2026439+109631</f>
        <v>2136070</v>
      </c>
      <c r="Z14" s="14">
        <v>2429914</v>
      </c>
      <c r="AA14" s="80">
        <v>4723944</v>
      </c>
      <c r="AB14" s="1">
        <v>12482285</v>
      </c>
      <c r="AC14" s="1">
        <v>11709465</v>
      </c>
      <c r="AD14" s="1">
        <v>2373424</v>
      </c>
      <c r="AE14" s="1">
        <v>1845477.67</v>
      </c>
      <c r="AF14" s="1">
        <v>923735.33000000007</v>
      </c>
      <c r="AG14" s="164">
        <v>1819753.41</v>
      </c>
      <c r="AH14" s="128">
        <v>25724.26</v>
      </c>
      <c r="AI14" s="3">
        <f>SUM(AG14:AH14)</f>
        <v>1845477.67</v>
      </c>
      <c r="AK14" s="3">
        <v>843389.93</v>
      </c>
      <c r="AL14" s="3">
        <v>80345.399999999994</v>
      </c>
      <c r="AM14" s="3">
        <f t="shared" si="6"/>
        <v>923735.33000000007</v>
      </c>
      <c r="AN14" s="1"/>
      <c r="AO14" s="156">
        <v>6723547</v>
      </c>
      <c r="AP14" s="92">
        <v>1274.8900000000001</v>
      </c>
      <c r="AQ14" s="3">
        <f>SUM(AO14:AP14)</f>
        <v>6724821.8899999997</v>
      </c>
      <c r="AS14" s="3">
        <v>12876760</v>
      </c>
      <c r="AT14" s="3">
        <v>1198.93</v>
      </c>
      <c r="AU14" s="3">
        <f>SUM(AS14:AT14)</f>
        <v>12877958.93</v>
      </c>
      <c r="AW14" s="3">
        <v>13241616.23</v>
      </c>
      <c r="AX14" s="3">
        <v>15850.51</v>
      </c>
      <c r="AY14" s="3">
        <f>SUM(AW14:AX14)</f>
        <v>13257466.74</v>
      </c>
      <c r="BA14" s="3">
        <v>12221977.930000002</v>
      </c>
      <c r="BB14" s="3">
        <v>0</v>
      </c>
      <c r="BC14" s="3">
        <f>SUM(BA14:BB14)</f>
        <v>12221977.930000002</v>
      </c>
      <c r="BE14" s="3">
        <v>13111990.52</v>
      </c>
      <c r="BF14" s="3">
        <v>478.06</v>
      </c>
      <c r="BG14" s="3">
        <f>SUM(BE14:BF14)</f>
        <v>13112468.58</v>
      </c>
      <c r="BI14" s="3">
        <v>5412360.2000000002</v>
      </c>
      <c r="BJ14" s="3">
        <v>119298.26000000001</v>
      </c>
      <c r="BK14" s="3">
        <f>SUM(BI14:BJ14)</f>
        <v>5531658.46</v>
      </c>
      <c r="BM14" s="3">
        <v>4290344.0199999996</v>
      </c>
      <c r="BN14" s="3">
        <v>37762.620000000003</v>
      </c>
      <c r="BO14" s="3">
        <f>SUM(BM14:BN14)</f>
        <v>4328106.6399999997</v>
      </c>
      <c r="BQ14" s="3">
        <v>3729620.8699999992</v>
      </c>
      <c r="BR14" s="3">
        <v>221201.51</v>
      </c>
      <c r="BS14" s="3">
        <f>SUM(BQ14:BR14)</f>
        <v>3950822.379999999</v>
      </c>
      <c r="BU14" s="3">
        <v>1920579.62</v>
      </c>
      <c r="BV14" s="3">
        <v>472762.71</v>
      </c>
      <c r="BW14" s="3">
        <f>SUM(BU14:BV14)</f>
        <v>2393342.33</v>
      </c>
      <c r="BY14" s="3">
        <v>2430402.4900000002</v>
      </c>
      <c r="BZ14" s="3">
        <v>54889.84</v>
      </c>
      <c r="CA14" s="3">
        <f t="shared" si="7"/>
        <v>2485292.33</v>
      </c>
    </row>
    <row r="15" spans="1:79">
      <c r="A15" s="1" t="s">
        <v>9</v>
      </c>
      <c r="B15" s="1">
        <v>5407438</v>
      </c>
      <c r="C15" s="1">
        <v>4745258</v>
      </c>
      <c r="D15" s="1">
        <v>4812138.96</v>
      </c>
      <c r="E15" s="1">
        <v>9484543.7899999991</v>
      </c>
      <c r="F15" s="1">
        <v>5288180.25</v>
      </c>
      <c r="G15" s="1">
        <v>8077677.8400000008</v>
      </c>
      <c r="H15" s="1">
        <v>12764682.190000001</v>
      </c>
      <c r="I15" s="1">
        <v>5639936.3499999996</v>
      </c>
      <c r="J15" s="1">
        <v>3793401.25</v>
      </c>
      <c r="K15" s="1">
        <v>2780736.04</v>
      </c>
      <c r="L15" s="239">
        <f>(K15-J15)*100/J15</f>
        <v>-26.695441459033631</v>
      </c>
      <c r="M15" s="239">
        <f t="shared" si="5"/>
        <v>-47.524122352179788</v>
      </c>
      <c r="N15" s="14">
        <v>1983450</v>
      </c>
      <c r="O15" s="14">
        <v>2028874</v>
      </c>
      <c r="P15" s="14">
        <v>2438845</v>
      </c>
      <c r="Q15" s="27">
        <v>2383626</v>
      </c>
      <c r="R15" s="27">
        <v>2404151</v>
      </c>
      <c r="S15" s="27">
        <v>2733527</v>
      </c>
      <c r="T15" s="27">
        <v>3388696</v>
      </c>
      <c r="U15" s="27">
        <v>3195741</v>
      </c>
      <c r="V15" s="27">
        <f>923066+91816</f>
        <v>1014882</v>
      </c>
      <c r="W15" s="27">
        <f>3596268+59189</f>
        <v>3655457</v>
      </c>
      <c r="X15" s="36">
        <f>5289481+85062</f>
        <v>5374543</v>
      </c>
      <c r="Y15" s="14">
        <f>656867+81479</f>
        <v>738346</v>
      </c>
      <c r="Z15" s="14">
        <v>5295960</v>
      </c>
      <c r="AA15" s="80">
        <v>4257488</v>
      </c>
      <c r="AB15" s="1">
        <v>5362580</v>
      </c>
      <c r="AC15" s="1">
        <v>7883848</v>
      </c>
      <c r="AD15" s="1">
        <v>5875640</v>
      </c>
      <c r="AE15" s="1">
        <v>9409969.129999999</v>
      </c>
      <c r="AF15" s="1">
        <v>5299074.8599999994</v>
      </c>
      <c r="AG15" s="164">
        <v>9094274.2699999996</v>
      </c>
      <c r="AH15" s="164">
        <v>315694.86</v>
      </c>
      <c r="AI15" s="3">
        <f>SUM(AG15:AH15)</f>
        <v>9409969.129999999</v>
      </c>
      <c r="AK15" s="3">
        <v>5127876.0199999996</v>
      </c>
      <c r="AL15" s="3">
        <v>171198.84</v>
      </c>
      <c r="AM15" s="3">
        <f t="shared" si="6"/>
        <v>5299074.8599999994</v>
      </c>
      <c r="AN15" s="1"/>
      <c r="AO15" s="156">
        <v>5267603.62</v>
      </c>
      <c r="AP15" s="156">
        <v>139834.09</v>
      </c>
      <c r="AQ15" s="3">
        <f>SUM(AO15:AP15)</f>
        <v>5407437.71</v>
      </c>
      <c r="AS15" s="3">
        <v>4673679.08</v>
      </c>
      <c r="AT15" s="3">
        <v>71579.16</v>
      </c>
      <c r="AU15" s="3">
        <f>SUM(AS15:AT15)</f>
        <v>4745258.24</v>
      </c>
      <c r="AW15" s="3">
        <v>4619705.37</v>
      </c>
      <c r="AX15" s="3">
        <v>192433.59</v>
      </c>
      <c r="AY15" s="3">
        <f>SUM(AW15:AX15)</f>
        <v>4812138.96</v>
      </c>
      <c r="BA15" s="3">
        <v>9397716.8499999996</v>
      </c>
      <c r="BB15" s="3">
        <v>86826.94</v>
      </c>
      <c r="BC15" s="3">
        <f>SUM(BA15:BB15)</f>
        <v>9484543.7899999991</v>
      </c>
      <c r="BE15" s="3">
        <v>5193815.68</v>
      </c>
      <c r="BF15" s="3">
        <v>94364.57</v>
      </c>
      <c r="BG15" s="3">
        <f>SUM(BE15:BF15)</f>
        <v>5288180.25</v>
      </c>
      <c r="BI15" s="3">
        <v>7984320.6900000004</v>
      </c>
      <c r="BJ15" s="3">
        <v>93357.15</v>
      </c>
      <c r="BK15" s="3">
        <f>SUM(BI15:BJ15)</f>
        <v>8077677.8400000008</v>
      </c>
      <c r="BM15" s="3">
        <v>12694370.740000002</v>
      </c>
      <c r="BN15" s="3">
        <v>70311.45</v>
      </c>
      <c r="BO15" s="3">
        <f>SUM(BM15:BN15)</f>
        <v>12764682.190000001</v>
      </c>
      <c r="BQ15" s="3">
        <v>5531976.2299999995</v>
      </c>
      <c r="BR15" s="3">
        <v>107960.12</v>
      </c>
      <c r="BS15" s="3">
        <f>SUM(BQ15:BR15)</f>
        <v>5639936.3499999996</v>
      </c>
      <c r="BU15" s="3">
        <v>3736053.16</v>
      </c>
      <c r="BV15" s="3">
        <v>57348.09</v>
      </c>
      <c r="BW15" s="3">
        <f>SUM(BU15:BV15)</f>
        <v>3793401.25</v>
      </c>
      <c r="BY15" s="3">
        <v>2744523.25</v>
      </c>
      <c r="BZ15" s="3">
        <v>36212.79</v>
      </c>
      <c r="CA15" s="3">
        <f t="shared" si="7"/>
        <v>2780736.04</v>
      </c>
    </row>
    <row r="16" spans="1:79">
      <c r="A16" s="1" t="s">
        <v>10</v>
      </c>
      <c r="B16" s="1">
        <v>999872</v>
      </c>
      <c r="C16" s="1">
        <v>820831</v>
      </c>
      <c r="D16" s="1">
        <v>972702.62</v>
      </c>
      <c r="E16" s="1">
        <v>1309155.43</v>
      </c>
      <c r="F16" s="1">
        <v>1184864.24</v>
      </c>
      <c r="G16" s="1">
        <v>516027.79</v>
      </c>
      <c r="H16" s="1">
        <v>345093.86000000004</v>
      </c>
      <c r="I16" s="1">
        <v>283208.05</v>
      </c>
      <c r="J16" s="1">
        <v>281283.89</v>
      </c>
      <c r="K16" s="1">
        <v>230116.45</v>
      </c>
      <c r="L16" s="239">
        <f>(K16-J16)*100/J16</f>
        <v>-18.19067561956712</v>
      </c>
      <c r="M16" s="239">
        <f t="shared" si="5"/>
        <v>-76.040417852313098</v>
      </c>
      <c r="N16" s="14">
        <v>299012</v>
      </c>
      <c r="O16" s="14">
        <v>311121</v>
      </c>
      <c r="P16" s="14">
        <v>299153</v>
      </c>
      <c r="Q16" s="27">
        <v>334940</v>
      </c>
      <c r="R16" s="27">
        <v>391056</v>
      </c>
      <c r="S16" s="27">
        <v>445162</v>
      </c>
      <c r="T16" s="27">
        <v>521214</v>
      </c>
      <c r="U16" s="27">
        <v>601034</v>
      </c>
      <c r="V16" s="27">
        <f>776345+2458</f>
        <v>778803</v>
      </c>
      <c r="W16" s="27">
        <f>669001+34821</f>
        <v>703822</v>
      </c>
      <c r="X16" s="36">
        <f>690103+30634</f>
        <v>720737</v>
      </c>
      <c r="Y16" s="14">
        <f>706996+34012</f>
        <v>741008</v>
      </c>
      <c r="Z16" s="14">
        <v>580928</v>
      </c>
      <c r="AA16" s="80">
        <v>698536</v>
      </c>
      <c r="AB16" s="1">
        <v>636270</v>
      </c>
      <c r="AC16" s="1">
        <v>940586</v>
      </c>
      <c r="AD16" s="1">
        <v>1103933</v>
      </c>
      <c r="AE16" s="1">
        <v>902856.22</v>
      </c>
      <c r="AF16" s="1">
        <v>960435.99</v>
      </c>
      <c r="AG16" s="164">
        <v>865006.41</v>
      </c>
      <c r="AH16" s="160">
        <v>37849.81</v>
      </c>
      <c r="AI16" s="3">
        <f>SUM(AG16:AH16)</f>
        <v>902856.22</v>
      </c>
      <c r="AK16" s="3">
        <v>917463.34</v>
      </c>
      <c r="AL16" s="3">
        <v>42972.65</v>
      </c>
      <c r="AM16" s="3">
        <f t="shared" si="6"/>
        <v>960435.99</v>
      </c>
      <c r="AN16" s="1"/>
      <c r="AO16" s="156">
        <v>959472</v>
      </c>
      <c r="AP16" s="158">
        <v>40400</v>
      </c>
      <c r="AQ16" s="3">
        <f>SUM(AO16:AP16)</f>
        <v>999872</v>
      </c>
      <c r="AS16" s="3">
        <v>782288.84</v>
      </c>
      <c r="AT16" s="3">
        <v>38542.339999999997</v>
      </c>
      <c r="AU16" s="3">
        <f>SUM(AS16:AT16)</f>
        <v>820831.17999999993</v>
      </c>
      <c r="AW16" s="3">
        <v>920266.62</v>
      </c>
      <c r="AX16" s="3">
        <v>52436</v>
      </c>
      <c r="AY16" s="3">
        <f>SUM(AW16:AX16)</f>
        <v>972702.62</v>
      </c>
      <c r="BA16" s="3">
        <v>1233999.9099999999</v>
      </c>
      <c r="BB16" s="3">
        <v>75155.520000000004</v>
      </c>
      <c r="BC16" s="3">
        <f>SUM(BA16:BB16)</f>
        <v>1309155.43</v>
      </c>
      <c r="BE16" s="3">
        <v>1060397.1599999999</v>
      </c>
      <c r="BF16" s="3">
        <v>124467.08</v>
      </c>
      <c r="BG16" s="3">
        <f>SUM(BE16:BF16)</f>
        <v>1184864.24</v>
      </c>
      <c r="BI16" s="3">
        <v>453268.22</v>
      </c>
      <c r="BJ16" s="3">
        <v>62759.57</v>
      </c>
      <c r="BK16" s="3">
        <f>SUM(BI16:BJ16)</f>
        <v>516027.79</v>
      </c>
      <c r="BM16" s="3">
        <v>318449.60000000003</v>
      </c>
      <c r="BN16" s="3">
        <v>26644.26</v>
      </c>
      <c r="BO16" s="3">
        <f>SUM(BM16:BN16)</f>
        <v>345093.86000000004</v>
      </c>
      <c r="BQ16" s="3">
        <v>267091.36</v>
      </c>
      <c r="BR16" s="3">
        <v>16116.69</v>
      </c>
      <c r="BS16" s="3">
        <f>SUM(BQ16:BR16)</f>
        <v>283208.05</v>
      </c>
      <c r="BU16" s="3">
        <v>269615.05</v>
      </c>
      <c r="BV16" s="3">
        <v>11668.84</v>
      </c>
      <c r="BW16" s="3">
        <f>SUM(BU16:BV16)</f>
        <v>281283.89</v>
      </c>
      <c r="BY16" s="3">
        <v>217603.35</v>
      </c>
      <c r="BZ16" s="3">
        <v>12513.1</v>
      </c>
      <c r="CA16" s="3">
        <f t="shared" si="7"/>
        <v>230116.45</v>
      </c>
    </row>
    <row r="17" spans="1:79">
      <c r="L17" s="239"/>
      <c r="M17" s="239"/>
      <c r="N17" s="14"/>
      <c r="P17" s="14"/>
      <c r="Q17" s="27"/>
      <c r="R17" s="27"/>
      <c r="S17" s="27"/>
      <c r="T17" s="27"/>
      <c r="U17" s="27"/>
      <c r="V17" s="27"/>
      <c r="W17" s="27"/>
      <c r="X17" s="36"/>
      <c r="Y17" s="14"/>
      <c r="Z17" s="14"/>
      <c r="AA17" s="80">
        <v>0</v>
      </c>
      <c r="AB17" s="1"/>
      <c r="AC17" s="1"/>
      <c r="AD17" s="1"/>
      <c r="AE17" s="1"/>
      <c r="AF17" s="1"/>
      <c r="AG17" s="128"/>
      <c r="AH17" s="363"/>
      <c r="AN17" s="1"/>
      <c r="AO17" s="92"/>
      <c r="AP17" s="160"/>
    </row>
    <row r="18" spans="1:79">
      <c r="A18" s="1" t="s">
        <v>11</v>
      </c>
      <c r="B18" s="1">
        <v>103405</v>
      </c>
      <c r="C18" s="1">
        <v>70301</v>
      </c>
      <c r="D18" s="1">
        <v>270875.43</v>
      </c>
      <c r="E18" s="1">
        <v>394949.48</v>
      </c>
      <c r="F18" s="1">
        <v>619135.93000000005</v>
      </c>
      <c r="G18" s="1">
        <v>222572.23</v>
      </c>
      <c r="H18" s="1">
        <v>116394.37</v>
      </c>
      <c r="I18" s="1">
        <v>37897.35</v>
      </c>
      <c r="J18" s="1">
        <v>26732.58</v>
      </c>
      <c r="K18" s="1">
        <v>42913.79</v>
      </c>
      <c r="L18" s="239">
        <f>(K18-J18)*100/J18</f>
        <v>60.529922663656102</v>
      </c>
      <c r="M18" s="239">
        <f t="shared" si="5"/>
        <v>-69.14314389716651</v>
      </c>
      <c r="N18" s="14">
        <v>110769</v>
      </c>
      <c r="O18" s="14">
        <v>178969</v>
      </c>
      <c r="P18" s="14">
        <v>80672</v>
      </c>
      <c r="Q18" s="27">
        <v>215012</v>
      </c>
      <c r="R18" s="27">
        <v>271745</v>
      </c>
      <c r="S18" s="27">
        <v>275312</v>
      </c>
      <c r="T18" s="27">
        <v>319483</v>
      </c>
      <c r="U18" s="27">
        <v>251072</v>
      </c>
      <c r="V18" s="27">
        <f>324479+17882</f>
        <v>342361</v>
      </c>
      <c r="W18" s="27">
        <f>389726+16900</f>
        <v>406626</v>
      </c>
      <c r="X18" s="36">
        <f>358427+5877</f>
        <v>364304</v>
      </c>
      <c r="Y18" s="14">
        <f>227580+5274</f>
        <v>232854</v>
      </c>
      <c r="Z18" s="14">
        <v>318086</v>
      </c>
      <c r="AA18" s="80">
        <v>259011</v>
      </c>
      <c r="AB18" s="1">
        <v>148674</v>
      </c>
      <c r="AC18" s="1">
        <v>298609</v>
      </c>
      <c r="AD18" s="1">
        <v>301392</v>
      </c>
      <c r="AE18" s="1">
        <v>77348.19</v>
      </c>
      <c r="AF18" s="1">
        <v>139073.76</v>
      </c>
      <c r="AG18" s="160">
        <v>75689.820000000007</v>
      </c>
      <c r="AH18" s="160">
        <v>1658.37</v>
      </c>
      <c r="AI18" s="3">
        <f>SUM(AG18:AH18)</f>
        <v>77348.19</v>
      </c>
      <c r="AK18" s="3">
        <v>136752.56</v>
      </c>
      <c r="AL18" s="3">
        <v>2321.1999999999998</v>
      </c>
      <c r="AM18" s="3">
        <f t="shared" si="6"/>
        <v>139073.76</v>
      </c>
      <c r="AN18" s="1"/>
      <c r="AO18" s="158">
        <v>100924.54</v>
      </c>
      <c r="AP18" s="158">
        <v>2480.88</v>
      </c>
      <c r="AQ18" s="3">
        <f>SUM(AO18:AP18)</f>
        <v>103405.42</v>
      </c>
      <c r="AS18" s="3">
        <v>68707.17</v>
      </c>
      <c r="AT18" s="3">
        <v>1593.34</v>
      </c>
      <c r="AU18" s="3">
        <f>SUM(AS18:AT18)</f>
        <v>70300.509999999995</v>
      </c>
      <c r="AW18" s="3">
        <v>269705.21000000002</v>
      </c>
      <c r="AX18" s="3">
        <v>1170.22</v>
      </c>
      <c r="AY18" s="3">
        <f>SUM(AW18:AX18)</f>
        <v>270875.43</v>
      </c>
      <c r="BA18" s="3">
        <v>394228.55</v>
      </c>
      <c r="BB18" s="3">
        <v>720.93</v>
      </c>
      <c r="BC18" s="3">
        <f>SUM(BA18:BB18)</f>
        <v>394949.48</v>
      </c>
      <c r="BE18" s="3">
        <v>617953.79</v>
      </c>
      <c r="BF18" s="3">
        <v>1182.1400000000001</v>
      </c>
      <c r="BG18" s="3">
        <f>SUM(BE18:BF18)</f>
        <v>619135.93000000005</v>
      </c>
      <c r="BI18" s="3">
        <v>222572.23</v>
      </c>
      <c r="BJ18" s="3">
        <v>0</v>
      </c>
      <c r="BK18" s="3">
        <f>SUM(BI18:BJ18)</f>
        <v>222572.23</v>
      </c>
      <c r="BM18" s="3">
        <v>116394.37</v>
      </c>
      <c r="BN18" s="3">
        <v>0</v>
      </c>
      <c r="BO18" s="3">
        <f>SUM(BM18:BN18)</f>
        <v>116394.37</v>
      </c>
      <c r="BQ18" s="3">
        <v>37897.35</v>
      </c>
      <c r="BR18" s="3">
        <v>0</v>
      </c>
      <c r="BS18" s="3">
        <f>SUM(BQ18:BR18)</f>
        <v>37897.35</v>
      </c>
      <c r="BU18" s="3">
        <v>26732.58</v>
      </c>
      <c r="BV18" s="3">
        <v>0</v>
      </c>
      <c r="BW18" s="3">
        <f>SUM(BU18:BV18)</f>
        <v>26732.58</v>
      </c>
      <c r="BY18" s="3">
        <v>42596.83</v>
      </c>
      <c r="BZ18" s="3">
        <v>316.95999999999998</v>
      </c>
      <c r="CA18" s="3">
        <f t="shared" si="7"/>
        <v>42913.79</v>
      </c>
    </row>
    <row r="19" spans="1:79">
      <c r="A19" s="1" t="s">
        <v>12</v>
      </c>
      <c r="B19" s="1">
        <v>1479380</v>
      </c>
      <c r="C19" s="1">
        <v>2311487</v>
      </c>
      <c r="D19" s="1">
        <v>1342092.6100000001</v>
      </c>
      <c r="E19" s="1">
        <v>1796581.04</v>
      </c>
      <c r="F19" s="1">
        <v>1453292.81</v>
      </c>
      <c r="G19" s="1">
        <v>1697988.76</v>
      </c>
      <c r="H19" s="1">
        <v>1774978.54</v>
      </c>
      <c r="I19" s="1">
        <v>1115390.22</v>
      </c>
      <c r="J19" s="1">
        <v>2061945.65</v>
      </c>
      <c r="K19" s="1">
        <v>2249323.7899999996</v>
      </c>
      <c r="L19" s="239">
        <f>(K19-J19)*100/J19</f>
        <v>9.0874432117063648</v>
      </c>
      <c r="M19" s="239">
        <f t="shared" si="5"/>
        <v>43.671810096708299</v>
      </c>
      <c r="N19" s="14">
        <v>463061</v>
      </c>
      <c r="O19" s="14">
        <v>492295</v>
      </c>
      <c r="P19" s="14">
        <v>501479</v>
      </c>
      <c r="Q19" s="27">
        <v>604270</v>
      </c>
      <c r="R19" s="27">
        <v>658629</v>
      </c>
      <c r="S19" s="27">
        <v>662321</v>
      </c>
      <c r="T19" s="27">
        <v>720849</v>
      </c>
      <c r="U19" s="27">
        <v>772193</v>
      </c>
      <c r="V19" s="27">
        <f>755434+23748</f>
        <v>779182</v>
      </c>
      <c r="W19" s="27">
        <f>786476+24737</f>
        <v>811213</v>
      </c>
      <c r="X19" s="36">
        <f>1174873+36333</f>
        <v>1211206</v>
      </c>
      <c r="Y19" s="14">
        <f>476446+23125</f>
        <v>499571</v>
      </c>
      <c r="Z19" s="14">
        <v>870324</v>
      </c>
      <c r="AA19" s="80">
        <v>719098</v>
      </c>
      <c r="AB19" s="1">
        <v>1172462</v>
      </c>
      <c r="AC19" s="1">
        <v>874649</v>
      </c>
      <c r="AD19" s="1">
        <v>984398</v>
      </c>
      <c r="AE19" s="1">
        <v>1487826.5799999998</v>
      </c>
      <c r="AF19" s="1">
        <v>1565598.5599999998</v>
      </c>
      <c r="AG19" s="164">
        <v>1465518.38</v>
      </c>
      <c r="AH19" s="128">
        <v>22308.2</v>
      </c>
      <c r="AI19" s="3">
        <f>SUM(AG19:AH19)</f>
        <v>1487826.5799999998</v>
      </c>
      <c r="AK19" s="3">
        <v>1540431.66</v>
      </c>
      <c r="AL19" s="3">
        <v>25166.9</v>
      </c>
      <c r="AM19" s="3">
        <f t="shared" si="6"/>
        <v>1565598.5599999998</v>
      </c>
      <c r="AN19" s="1"/>
      <c r="AO19" s="156">
        <v>1467988.6</v>
      </c>
      <c r="AP19" s="92">
        <v>11391.87</v>
      </c>
      <c r="AQ19" s="3">
        <f>SUM(AO19:AP19)</f>
        <v>1479380.4700000002</v>
      </c>
      <c r="AS19" s="3">
        <v>2290730.09</v>
      </c>
      <c r="AT19" s="3">
        <v>20757.14</v>
      </c>
      <c r="AU19" s="3">
        <f>SUM(AS19:AT19)</f>
        <v>2311487.23</v>
      </c>
      <c r="AW19" s="3">
        <v>1335344.3600000001</v>
      </c>
      <c r="AX19" s="3">
        <v>6748.25</v>
      </c>
      <c r="AY19" s="3">
        <f>SUM(AW19:AX19)</f>
        <v>1342092.6100000001</v>
      </c>
      <c r="BA19" s="3">
        <v>1795985.31</v>
      </c>
      <c r="BB19" s="3">
        <v>595.73</v>
      </c>
      <c r="BC19" s="3">
        <f>SUM(BA19:BB19)</f>
        <v>1796581.04</v>
      </c>
      <c r="BE19" s="3">
        <v>1451638.62</v>
      </c>
      <c r="BF19" s="3">
        <v>1654.19</v>
      </c>
      <c r="BG19" s="3">
        <f>SUM(BE19:BF19)</f>
        <v>1453292.81</v>
      </c>
      <c r="BI19" s="3">
        <v>1696760.56</v>
      </c>
      <c r="BJ19" s="3">
        <v>1228.2</v>
      </c>
      <c r="BK19" s="3">
        <f>SUM(BI19:BJ19)</f>
        <v>1697988.76</v>
      </c>
      <c r="BM19" s="3">
        <v>1774766.6400000001</v>
      </c>
      <c r="BN19" s="3">
        <v>211.9</v>
      </c>
      <c r="BO19" s="3">
        <f>SUM(BM19:BN19)</f>
        <v>1774978.54</v>
      </c>
      <c r="BQ19" s="3">
        <v>1113873.42</v>
      </c>
      <c r="BR19" s="3">
        <v>1516.8</v>
      </c>
      <c r="BS19" s="3">
        <f>SUM(BQ19:BR19)</f>
        <v>1115390.22</v>
      </c>
      <c r="BU19" s="3">
        <v>2061467.01</v>
      </c>
      <c r="BV19" s="3">
        <v>478.64</v>
      </c>
      <c r="BW19" s="3">
        <f>SUM(BU19:BV19)</f>
        <v>2061945.65</v>
      </c>
      <c r="BY19" s="3">
        <v>2246777.4699999997</v>
      </c>
      <c r="BZ19" s="3">
        <v>2546.3200000000002</v>
      </c>
      <c r="CA19" s="3">
        <f t="shared" si="7"/>
        <v>2249323.7899999996</v>
      </c>
    </row>
    <row r="20" spans="1:79">
      <c r="A20" s="1" t="s">
        <v>13</v>
      </c>
      <c r="B20" s="1">
        <v>843057</v>
      </c>
      <c r="C20" s="1">
        <v>906806</v>
      </c>
      <c r="D20" s="1">
        <v>818925.82</v>
      </c>
      <c r="E20" s="1">
        <v>703840.5</v>
      </c>
      <c r="F20" s="1">
        <v>611049.28</v>
      </c>
      <c r="G20" s="1">
        <v>1374182.8</v>
      </c>
      <c r="H20" s="1">
        <v>678504.1</v>
      </c>
      <c r="I20" s="1">
        <v>265419.77999999997</v>
      </c>
      <c r="J20" s="1">
        <v>180487.67999999999</v>
      </c>
      <c r="K20" s="1">
        <v>185218.42</v>
      </c>
      <c r="L20" s="239">
        <f>(K20-J20)*100/J20</f>
        <v>2.6210874891848683</v>
      </c>
      <c r="M20" s="239">
        <f t="shared" si="5"/>
        <v>-78.322702897609432</v>
      </c>
      <c r="N20" s="14">
        <v>345992</v>
      </c>
      <c r="O20" s="14">
        <v>247733</v>
      </c>
      <c r="P20" s="14">
        <v>196257</v>
      </c>
      <c r="Q20" s="27">
        <v>442048</v>
      </c>
      <c r="R20" s="27">
        <v>472914</v>
      </c>
      <c r="S20" s="27">
        <v>506597</v>
      </c>
      <c r="T20" s="27">
        <v>407346</v>
      </c>
      <c r="U20" s="27">
        <v>716046</v>
      </c>
      <c r="V20" s="27">
        <f>400311+28640</f>
        <v>428951</v>
      </c>
      <c r="W20" s="27">
        <f>467886+27201</f>
        <v>495087</v>
      </c>
      <c r="X20" s="36">
        <f>461194+29216</f>
        <v>490410</v>
      </c>
      <c r="Y20" s="14">
        <f>437573+35946</f>
        <v>473519</v>
      </c>
      <c r="Z20" s="14">
        <v>414048</v>
      </c>
      <c r="AA20" s="80">
        <v>577789</v>
      </c>
      <c r="AB20" s="1">
        <v>766152</v>
      </c>
      <c r="AC20" s="1">
        <v>459429</v>
      </c>
      <c r="AD20" s="1">
        <v>525496</v>
      </c>
      <c r="AE20" s="1">
        <v>664994.4</v>
      </c>
      <c r="AF20" s="1">
        <v>854435.03</v>
      </c>
      <c r="AG20" s="164">
        <v>638616.26</v>
      </c>
      <c r="AH20" s="128">
        <v>26378.14</v>
      </c>
      <c r="AI20" s="3">
        <f>SUM(AG20:AH20)</f>
        <v>664994.4</v>
      </c>
      <c r="AK20" s="3">
        <v>823183.22</v>
      </c>
      <c r="AL20" s="3">
        <v>31251.81</v>
      </c>
      <c r="AM20" s="3">
        <f t="shared" si="6"/>
        <v>854435.03</v>
      </c>
      <c r="AN20" s="1"/>
      <c r="AO20" s="156">
        <v>809010.21</v>
      </c>
      <c r="AP20" s="92">
        <v>34046.46</v>
      </c>
      <c r="AQ20" s="3">
        <f>SUM(AO20:AP20)</f>
        <v>843056.66999999993</v>
      </c>
      <c r="AS20" s="3">
        <v>879521.53</v>
      </c>
      <c r="AT20" s="3">
        <v>27284.61</v>
      </c>
      <c r="AU20" s="3">
        <f>SUM(AS20:AT20)</f>
        <v>906806.14</v>
      </c>
      <c r="AW20" s="3">
        <v>801805.77</v>
      </c>
      <c r="AX20" s="3">
        <v>17120.05</v>
      </c>
      <c r="AY20" s="3">
        <f>SUM(AW20:AX20)</f>
        <v>818925.82000000007</v>
      </c>
      <c r="BA20" s="3">
        <v>700651.8</v>
      </c>
      <c r="BB20" s="3">
        <v>3188.7</v>
      </c>
      <c r="BC20" s="3">
        <f>SUM(BA20:BB20)</f>
        <v>703840.5</v>
      </c>
      <c r="BE20" s="3">
        <v>611049.28</v>
      </c>
      <c r="BF20" s="3">
        <v>0</v>
      </c>
      <c r="BG20" s="3">
        <f>SUM(BE20:BF20)</f>
        <v>611049.28</v>
      </c>
      <c r="BI20" s="3">
        <v>1348259.4200000002</v>
      </c>
      <c r="BJ20" s="3">
        <v>25923.38</v>
      </c>
      <c r="BK20" s="3">
        <f>SUM(BI20:BJ20)</f>
        <v>1374182.8</v>
      </c>
      <c r="BM20" s="3">
        <v>678504.1</v>
      </c>
      <c r="BN20" s="3">
        <v>0</v>
      </c>
      <c r="BO20" s="3">
        <f>SUM(BM20:BN20)</f>
        <v>678504.1</v>
      </c>
      <c r="BQ20" s="3">
        <v>264050.56999999995</v>
      </c>
      <c r="BR20" s="3">
        <v>1369.21</v>
      </c>
      <c r="BS20" s="3">
        <f>SUM(BQ20:BR20)</f>
        <v>265419.77999999997</v>
      </c>
      <c r="BU20" s="3">
        <v>180487.67999999999</v>
      </c>
      <c r="BV20" s="3">
        <v>0</v>
      </c>
      <c r="BW20" s="3">
        <f>SUM(BU20:BV20)</f>
        <v>180487.67999999999</v>
      </c>
      <c r="BY20" s="3">
        <v>185218.42</v>
      </c>
      <c r="BZ20" s="3">
        <v>0</v>
      </c>
      <c r="CA20" s="3">
        <f t="shared" si="7"/>
        <v>185218.42</v>
      </c>
    </row>
    <row r="21" spans="1:79">
      <c r="A21" s="1" t="s">
        <v>14</v>
      </c>
      <c r="B21" s="1">
        <v>1197212</v>
      </c>
      <c r="C21" s="1">
        <v>2020858</v>
      </c>
      <c r="D21" s="1">
        <v>1476145.49</v>
      </c>
      <c r="E21" s="1">
        <v>1945562.8</v>
      </c>
      <c r="F21" s="1">
        <v>1440264.87</v>
      </c>
      <c r="G21" s="1">
        <v>492293.99000000005</v>
      </c>
      <c r="H21" s="1">
        <v>581158.42000000004</v>
      </c>
      <c r="I21" s="1">
        <v>166502.09</v>
      </c>
      <c r="J21" s="1">
        <v>267700.75</v>
      </c>
      <c r="K21" s="1">
        <v>218032.16</v>
      </c>
      <c r="L21" s="239">
        <f>(K21-J21)*100/J21</f>
        <v>-18.553773196376923</v>
      </c>
      <c r="M21" s="239">
        <f t="shared" si="5"/>
        <v>-73.219435277514123</v>
      </c>
      <c r="N21" s="14">
        <v>269864</v>
      </c>
      <c r="O21" s="14">
        <v>353184</v>
      </c>
      <c r="P21" s="14">
        <v>459569</v>
      </c>
      <c r="Q21" s="27">
        <v>541517</v>
      </c>
      <c r="R21" s="27">
        <v>558770</v>
      </c>
      <c r="S21" s="27">
        <v>677026</v>
      </c>
      <c r="T21" s="27">
        <v>703354</v>
      </c>
      <c r="U21" s="27">
        <v>531559</v>
      </c>
      <c r="V21" s="27">
        <f>545626+834</f>
        <v>546460</v>
      </c>
      <c r="W21" s="27">
        <f>488256+7452</f>
        <v>495708</v>
      </c>
      <c r="X21" s="36">
        <f>515153+8091</f>
        <v>523244</v>
      </c>
      <c r="Y21" s="14">
        <f>603132+1840</f>
        <v>604972</v>
      </c>
      <c r="Z21" s="14">
        <v>698150</v>
      </c>
      <c r="AA21" s="80">
        <v>739608</v>
      </c>
      <c r="AB21" s="1">
        <v>865474</v>
      </c>
      <c r="AC21" s="1">
        <v>1681582</v>
      </c>
      <c r="AD21" s="1">
        <v>561420</v>
      </c>
      <c r="AE21" s="1">
        <v>626795.5199999999</v>
      </c>
      <c r="AF21" s="1">
        <v>814143.25</v>
      </c>
      <c r="AG21" s="164">
        <v>614725.68999999994</v>
      </c>
      <c r="AH21" s="128">
        <v>12069.83</v>
      </c>
      <c r="AI21" s="3">
        <f>SUM(AG21:AH21)</f>
        <v>626795.5199999999</v>
      </c>
      <c r="AK21" s="3">
        <v>805421.47</v>
      </c>
      <c r="AL21" s="3">
        <v>8721.7800000000007</v>
      </c>
      <c r="AM21" s="3">
        <f t="shared" si="6"/>
        <v>814143.25</v>
      </c>
      <c r="AN21" s="1"/>
      <c r="AO21" s="156">
        <v>1169810.79</v>
      </c>
      <c r="AP21" s="92">
        <v>27401.5</v>
      </c>
      <c r="AQ21" s="3">
        <f>SUM(AO21:AP21)</f>
        <v>1197212.29</v>
      </c>
      <c r="AS21" s="3">
        <v>2008214.23</v>
      </c>
      <c r="AT21" s="3">
        <v>12643.71</v>
      </c>
      <c r="AU21" s="3">
        <f>SUM(AS21:AT21)</f>
        <v>2020857.94</v>
      </c>
      <c r="AW21" s="3">
        <v>1474612.71</v>
      </c>
      <c r="AX21" s="3">
        <v>1532.78</v>
      </c>
      <c r="AY21" s="3">
        <f>SUM(AW21:AX21)</f>
        <v>1476145.49</v>
      </c>
      <c r="BA21" s="3">
        <v>1943454.62</v>
      </c>
      <c r="BB21" s="3">
        <v>2108.1799999999998</v>
      </c>
      <c r="BC21" s="3">
        <f>SUM(BA21:BB21)</f>
        <v>1945562.8</v>
      </c>
      <c r="BE21" s="3">
        <v>1439493.25</v>
      </c>
      <c r="BF21" s="3">
        <v>771.62</v>
      </c>
      <c r="BG21" s="3">
        <f>SUM(BE21:BF21)</f>
        <v>1440264.87</v>
      </c>
      <c r="BI21" s="3">
        <v>476210.28</v>
      </c>
      <c r="BJ21" s="3">
        <v>16083.71</v>
      </c>
      <c r="BK21" s="3">
        <f>SUM(BI21:BJ21)</f>
        <v>492293.99000000005</v>
      </c>
      <c r="BM21" s="3">
        <v>540408.20000000007</v>
      </c>
      <c r="BN21" s="3">
        <v>40750.22</v>
      </c>
      <c r="BO21" s="3">
        <f>SUM(BM21:BN21)</f>
        <v>581158.42000000004</v>
      </c>
      <c r="BQ21" s="3">
        <v>163537.07</v>
      </c>
      <c r="BR21" s="3">
        <v>2965.02</v>
      </c>
      <c r="BS21" s="3">
        <f>SUM(BQ21:BR21)</f>
        <v>166502.09</v>
      </c>
      <c r="BU21" s="3">
        <v>267700.75</v>
      </c>
      <c r="BV21" s="3">
        <v>0</v>
      </c>
      <c r="BW21" s="3">
        <f>SUM(BU21:BV21)</f>
        <v>267700.75</v>
      </c>
      <c r="BY21" s="3">
        <v>217673.1</v>
      </c>
      <c r="BZ21" s="3">
        <v>359.06</v>
      </c>
      <c r="CA21" s="3">
        <f t="shared" si="7"/>
        <v>218032.16</v>
      </c>
    </row>
    <row r="22" spans="1:79">
      <c r="A22" s="1" t="s">
        <v>15</v>
      </c>
      <c r="B22" s="1">
        <v>422665</v>
      </c>
      <c r="C22" s="1">
        <v>323324</v>
      </c>
      <c r="D22" s="1">
        <v>448123.6</v>
      </c>
      <c r="E22" s="1">
        <v>453760.74</v>
      </c>
      <c r="F22" s="1">
        <v>375944.6</v>
      </c>
      <c r="G22" s="1">
        <v>443783.15</v>
      </c>
      <c r="H22" s="1">
        <v>302202.90000000002</v>
      </c>
      <c r="I22" s="1">
        <v>309608.34999999998</v>
      </c>
      <c r="J22" s="1">
        <v>291480.03999999998</v>
      </c>
      <c r="K22" s="1">
        <v>342414.98</v>
      </c>
      <c r="L22" s="239">
        <f>(K22-J22)*100/J22</f>
        <v>17.474589340662916</v>
      </c>
      <c r="M22" s="239">
        <f t="shared" si="5"/>
        <v>1002.146839191451</v>
      </c>
      <c r="N22" s="14">
        <v>32279</v>
      </c>
      <c r="O22" s="14">
        <v>48824</v>
      </c>
      <c r="P22" s="14">
        <v>46292</v>
      </c>
      <c r="Q22" s="27">
        <v>57848</v>
      </c>
      <c r="R22" s="27">
        <v>50693</v>
      </c>
      <c r="S22" s="27">
        <v>53137</v>
      </c>
      <c r="T22" s="27">
        <v>55907</v>
      </c>
      <c r="U22" s="27">
        <v>79573</v>
      </c>
      <c r="V22" s="27">
        <f>101982+979</f>
        <v>102961</v>
      </c>
      <c r="W22" s="27">
        <f>159167+597</f>
        <v>159764</v>
      </c>
      <c r="X22" s="36">
        <f>189727+5949</f>
        <v>195676</v>
      </c>
      <c r="Y22" s="14">
        <f>142076+215</f>
        <v>142291</v>
      </c>
      <c r="Z22" s="14">
        <v>164467</v>
      </c>
      <c r="AA22" s="80">
        <v>71120</v>
      </c>
      <c r="AB22" s="1">
        <v>50105</v>
      </c>
      <c r="AC22" s="1">
        <v>139802</v>
      </c>
      <c r="AD22" s="1">
        <v>84029</v>
      </c>
      <c r="AE22" s="333">
        <v>1</v>
      </c>
      <c r="AF22" s="1">
        <v>31068</v>
      </c>
      <c r="AG22" s="362">
        <v>0</v>
      </c>
      <c r="AH22" s="128">
        <v>0</v>
      </c>
      <c r="AI22" s="3">
        <f>SUM(AG22:AH22)</f>
        <v>0</v>
      </c>
      <c r="AK22" s="3">
        <v>31068</v>
      </c>
      <c r="AL22" s="3">
        <v>0</v>
      </c>
      <c r="AM22" s="3">
        <f t="shared" si="6"/>
        <v>31068</v>
      </c>
      <c r="AN22" s="1"/>
      <c r="AO22" s="159">
        <v>422665.16</v>
      </c>
      <c r="AP22" s="92">
        <v>0</v>
      </c>
      <c r="AQ22" s="3">
        <f>SUM(AO22:AP22)</f>
        <v>422665.16</v>
      </c>
      <c r="AS22" s="3">
        <v>323324</v>
      </c>
      <c r="AT22" s="3">
        <v>0</v>
      </c>
      <c r="AU22" s="3">
        <f>SUM(AS22:AT22)</f>
        <v>323324</v>
      </c>
      <c r="AW22" s="3">
        <v>448123.6</v>
      </c>
      <c r="AX22" s="3">
        <v>0</v>
      </c>
      <c r="AY22" s="3">
        <f>SUM(AW22:AX22)</f>
        <v>448123.6</v>
      </c>
      <c r="BA22" s="3">
        <v>453760.74</v>
      </c>
      <c r="BB22" s="3">
        <v>0</v>
      </c>
      <c r="BC22" s="3">
        <f>SUM(BA22:BB22)</f>
        <v>453760.74</v>
      </c>
      <c r="BE22" s="3">
        <v>375944.6</v>
      </c>
      <c r="BF22" s="3">
        <v>0</v>
      </c>
      <c r="BG22" s="3">
        <f>SUM(BE22:BF22)</f>
        <v>375944.6</v>
      </c>
      <c r="BI22" s="3">
        <v>443783.15</v>
      </c>
      <c r="BJ22" s="3">
        <v>0</v>
      </c>
      <c r="BK22" s="3">
        <f>SUM(BI22:BJ22)</f>
        <v>443783.15</v>
      </c>
      <c r="BM22" s="3">
        <v>302202.90000000002</v>
      </c>
      <c r="BN22" s="3">
        <v>0</v>
      </c>
      <c r="BO22" s="3">
        <f>SUM(BM22:BN22)</f>
        <v>302202.90000000002</v>
      </c>
      <c r="BQ22" s="3">
        <v>309608.34999999998</v>
      </c>
      <c r="BR22" s="3">
        <v>0</v>
      </c>
      <c r="BS22" s="3">
        <f>SUM(BQ22:BR22)</f>
        <v>309608.34999999998</v>
      </c>
      <c r="BU22" s="3">
        <v>291480.03999999998</v>
      </c>
      <c r="BV22" s="3">
        <v>0</v>
      </c>
      <c r="BW22" s="3">
        <f>SUM(BU22:BV22)</f>
        <v>291480.03999999998</v>
      </c>
      <c r="BY22" s="3">
        <v>342414.98</v>
      </c>
      <c r="BZ22" s="3">
        <v>0</v>
      </c>
      <c r="CA22" s="3">
        <f t="shared" si="7"/>
        <v>342414.98</v>
      </c>
    </row>
    <row r="23" spans="1:79">
      <c r="L23" s="239"/>
      <c r="M23" s="239"/>
      <c r="N23" s="14"/>
      <c r="P23" s="14"/>
      <c r="Q23" s="27"/>
      <c r="R23" s="27"/>
      <c r="S23" s="27"/>
      <c r="T23" s="27"/>
      <c r="U23" s="27"/>
      <c r="V23" s="27"/>
      <c r="W23" s="27"/>
      <c r="X23" s="36"/>
      <c r="Y23" s="14"/>
      <c r="Z23" s="14"/>
      <c r="AA23" s="80"/>
      <c r="AB23" s="1"/>
      <c r="AC23" s="1"/>
      <c r="AD23" s="1"/>
      <c r="AE23" s="1"/>
      <c r="AF23" s="1"/>
      <c r="AG23" s="128"/>
      <c r="AH23" s="128"/>
      <c r="AN23" s="1"/>
      <c r="AO23" s="92"/>
      <c r="AP23" s="92"/>
    </row>
    <row r="24" spans="1:79">
      <c r="A24" s="1" t="s">
        <v>16</v>
      </c>
      <c r="B24" s="1">
        <v>3967096</v>
      </c>
      <c r="C24" s="1">
        <v>2607922</v>
      </c>
      <c r="D24" s="1">
        <v>2979096.81</v>
      </c>
      <c r="E24" s="1">
        <v>2572696.9900000002</v>
      </c>
      <c r="F24" s="1">
        <v>3582327.06</v>
      </c>
      <c r="G24" s="1">
        <v>3935515.0099999993</v>
      </c>
      <c r="H24" s="1">
        <v>4139362.3600000003</v>
      </c>
      <c r="I24" s="1">
        <v>3952014.74</v>
      </c>
      <c r="J24" s="1">
        <v>1065951.43</v>
      </c>
      <c r="K24" s="1">
        <v>1144136.9699999997</v>
      </c>
      <c r="L24" s="239">
        <f>(K24-J24)*100/J24</f>
        <v>7.3348126189952021</v>
      </c>
      <c r="M24" s="239">
        <f t="shared" si="5"/>
        <v>-36.238023385750765</v>
      </c>
      <c r="N24" s="14">
        <v>483116</v>
      </c>
      <c r="O24" s="14">
        <v>457600</v>
      </c>
      <c r="P24" s="14">
        <v>582306</v>
      </c>
      <c r="Q24" s="27">
        <v>638836</v>
      </c>
      <c r="R24" s="27">
        <v>760284</v>
      </c>
      <c r="S24" s="27">
        <v>769689</v>
      </c>
      <c r="T24" s="27">
        <v>908445</v>
      </c>
      <c r="U24" s="27">
        <v>851988</v>
      </c>
      <c r="V24" s="27">
        <f>669856+20447</f>
        <v>690303</v>
      </c>
      <c r="W24" s="27">
        <f>446399+9786</f>
        <v>456185</v>
      </c>
      <c r="X24" s="36">
        <f>677994+13767</f>
        <v>691761</v>
      </c>
      <c r="Y24" s="14">
        <f>748084+27885</f>
        <v>775969</v>
      </c>
      <c r="Z24" s="14">
        <v>690735</v>
      </c>
      <c r="AA24" s="80">
        <v>937324</v>
      </c>
      <c r="AB24" s="1">
        <v>1170212</v>
      </c>
      <c r="AC24" s="1">
        <v>679359</v>
      </c>
      <c r="AD24" s="1">
        <v>1389324</v>
      </c>
      <c r="AE24" s="1">
        <v>1904373.4400000002</v>
      </c>
      <c r="AF24" s="1">
        <v>1794387.5499999998</v>
      </c>
      <c r="AG24" s="164">
        <v>1874242.07</v>
      </c>
      <c r="AH24" s="128">
        <v>30131.37</v>
      </c>
      <c r="AI24" s="3">
        <f>SUM(AG24:AH24)</f>
        <v>1904373.4400000002</v>
      </c>
      <c r="AK24" s="3">
        <v>1759951.16</v>
      </c>
      <c r="AL24" s="3">
        <v>34436.39</v>
      </c>
      <c r="AM24" s="3">
        <f t="shared" si="6"/>
        <v>1794387.5499999998</v>
      </c>
      <c r="AN24" s="1"/>
      <c r="AO24" s="156">
        <v>3893643.2</v>
      </c>
      <c r="AP24" s="92">
        <v>73452.320000000007</v>
      </c>
      <c r="AQ24" s="3">
        <f>SUM(AO24:AP24)</f>
        <v>3967095.52</v>
      </c>
      <c r="AS24" s="3">
        <v>2532854.5</v>
      </c>
      <c r="AT24" s="3">
        <v>75067.149999999994</v>
      </c>
      <c r="AU24" s="3">
        <f>SUM(AS24:AT24)</f>
        <v>2607921.65</v>
      </c>
      <c r="AW24" s="3">
        <v>2912771.71</v>
      </c>
      <c r="AX24" s="3">
        <v>66325.100000000006</v>
      </c>
      <c r="AY24" s="3">
        <f>SUM(AW24:AX24)</f>
        <v>2979096.81</v>
      </c>
      <c r="BA24" s="3">
        <v>2510852.4</v>
      </c>
      <c r="BB24" s="3">
        <v>61844.59</v>
      </c>
      <c r="BC24" s="3">
        <f>SUM(BA24:BB24)</f>
        <v>2572696.9899999998</v>
      </c>
      <c r="BE24" s="3">
        <v>3474092.84</v>
      </c>
      <c r="BF24" s="3">
        <v>108234.22</v>
      </c>
      <c r="BG24" s="3">
        <f>SUM(BE24:BF24)</f>
        <v>3582327.06</v>
      </c>
      <c r="BI24" s="3">
        <v>3834794.4199999995</v>
      </c>
      <c r="BJ24" s="3">
        <v>100720.59</v>
      </c>
      <c r="BK24" s="3">
        <f>SUM(BI24:BJ24)</f>
        <v>3935515.0099999993</v>
      </c>
      <c r="BM24" s="3">
        <v>3844306.7600000002</v>
      </c>
      <c r="BN24" s="3">
        <v>295055.59999999998</v>
      </c>
      <c r="BO24" s="3">
        <f>SUM(BM24:BN24)</f>
        <v>4139362.3600000003</v>
      </c>
      <c r="BQ24" s="3">
        <v>3842671.8000000003</v>
      </c>
      <c r="BR24" s="3">
        <v>109342.94</v>
      </c>
      <c r="BS24" s="3">
        <f>SUM(BQ24:BR24)</f>
        <v>3952014.74</v>
      </c>
      <c r="BU24" s="3">
        <v>1039743.63</v>
      </c>
      <c r="BV24" s="3">
        <v>26207.800000000003</v>
      </c>
      <c r="BW24" s="3">
        <f>SUM(BU24:BV24)</f>
        <v>1065951.43</v>
      </c>
      <c r="BY24" s="3">
        <v>963692.4099999998</v>
      </c>
      <c r="BZ24" s="3">
        <v>180444.56</v>
      </c>
      <c r="CA24" s="3">
        <f t="shared" si="7"/>
        <v>1144136.9699999997</v>
      </c>
    </row>
    <row r="25" spans="1:79">
      <c r="A25" s="1" t="s">
        <v>17</v>
      </c>
      <c r="B25" s="1">
        <v>468338</v>
      </c>
      <c r="C25" s="1">
        <v>307739</v>
      </c>
      <c r="D25" s="1">
        <v>442594.45</v>
      </c>
      <c r="E25" s="1">
        <v>545678.94999999995</v>
      </c>
      <c r="F25" s="1">
        <v>659173.09</v>
      </c>
      <c r="G25" s="1">
        <v>198679.34</v>
      </c>
      <c r="H25" s="1">
        <v>137018.91</v>
      </c>
      <c r="I25" s="1">
        <v>105205.81000000003</v>
      </c>
      <c r="J25" s="1">
        <v>88433.75</v>
      </c>
      <c r="K25" s="1">
        <v>349731.27</v>
      </c>
      <c r="L25" s="239">
        <f>(K25-J25)*100/J25</f>
        <v>295.47262216065701</v>
      </c>
      <c r="M25" s="239">
        <f t="shared" si="5"/>
        <v>-23.089363246762829</v>
      </c>
      <c r="N25" s="14">
        <v>117492</v>
      </c>
      <c r="O25" s="14">
        <v>143450</v>
      </c>
      <c r="P25" s="14">
        <v>181865</v>
      </c>
      <c r="Q25" s="27">
        <v>188967</v>
      </c>
      <c r="R25" s="27">
        <v>84860</v>
      </c>
      <c r="S25" s="27">
        <v>164081</v>
      </c>
      <c r="T25" s="27">
        <v>100890</v>
      </c>
      <c r="U25" s="27">
        <v>241388</v>
      </c>
      <c r="V25" s="27">
        <f>229511+3611</f>
        <v>233122</v>
      </c>
      <c r="W25" s="27">
        <f>223361+1125</f>
        <v>224486</v>
      </c>
      <c r="X25" s="36">
        <f>176481+3700</f>
        <v>180181</v>
      </c>
      <c r="Y25" s="14">
        <f>120811+5028</f>
        <v>125839</v>
      </c>
      <c r="Z25" s="14">
        <v>165007</v>
      </c>
      <c r="AA25" s="80">
        <v>157773</v>
      </c>
      <c r="AB25" s="1">
        <v>157649</v>
      </c>
      <c r="AC25" s="1">
        <v>269768</v>
      </c>
      <c r="AD25" s="1">
        <v>374280</v>
      </c>
      <c r="AE25" s="1">
        <v>527021.78</v>
      </c>
      <c r="AF25" s="1">
        <v>454724.19</v>
      </c>
      <c r="AG25" s="164">
        <v>519217.81</v>
      </c>
      <c r="AH25" s="160">
        <v>7803.97</v>
      </c>
      <c r="AI25" s="3">
        <f>SUM(AG25:AH25)</f>
        <v>527021.78</v>
      </c>
      <c r="AK25" s="3">
        <v>451828.16</v>
      </c>
      <c r="AL25" s="3">
        <v>2896.03</v>
      </c>
      <c r="AM25" s="3">
        <f t="shared" si="6"/>
        <v>454724.19</v>
      </c>
      <c r="AN25" s="1"/>
      <c r="AO25" s="156">
        <v>466925.46</v>
      </c>
      <c r="AP25" s="158">
        <v>1412.52</v>
      </c>
      <c r="AQ25" s="3">
        <f>SUM(AO25:AP25)</f>
        <v>468337.98000000004</v>
      </c>
      <c r="AS25" s="3">
        <v>302016.08</v>
      </c>
      <c r="AT25" s="3">
        <v>5723.15</v>
      </c>
      <c r="AU25" s="3">
        <f>SUM(AS25:AT25)</f>
        <v>307739.23000000004</v>
      </c>
      <c r="AW25" s="3">
        <v>437178.81</v>
      </c>
      <c r="AX25" s="3">
        <v>5415.64</v>
      </c>
      <c r="AY25" s="3">
        <f>SUM(AW25:AX25)</f>
        <v>442594.45</v>
      </c>
      <c r="BA25" s="3">
        <v>539452.76</v>
      </c>
      <c r="BB25" s="3">
        <v>6226.19</v>
      </c>
      <c r="BC25" s="3">
        <f>SUM(BA25:BB25)</f>
        <v>545678.94999999995</v>
      </c>
      <c r="BE25" s="3">
        <v>646970.91</v>
      </c>
      <c r="BF25" s="3">
        <v>12202.18</v>
      </c>
      <c r="BG25" s="3">
        <f>SUM(BE25:BF25)</f>
        <v>659173.09000000008</v>
      </c>
      <c r="BI25" s="3">
        <v>176903.19</v>
      </c>
      <c r="BJ25" s="3">
        <v>21776.149999999998</v>
      </c>
      <c r="BK25" s="3">
        <f>SUM(BI25:BJ25)</f>
        <v>198679.34</v>
      </c>
      <c r="BM25" s="3">
        <v>125016.01</v>
      </c>
      <c r="BN25" s="3">
        <v>12002.900000000001</v>
      </c>
      <c r="BO25" s="3">
        <f>SUM(BM25:BN25)</f>
        <v>137018.91</v>
      </c>
      <c r="BQ25" s="3">
        <v>93859.49000000002</v>
      </c>
      <c r="BR25" s="3">
        <v>11346.32</v>
      </c>
      <c r="BS25" s="3">
        <f>SUM(BQ25:BR25)</f>
        <v>105205.81000000003</v>
      </c>
      <c r="BU25" s="3">
        <v>80761.19</v>
      </c>
      <c r="BV25" s="3">
        <v>7672.56</v>
      </c>
      <c r="BW25" s="3">
        <f>SUM(BU25:BV25)</f>
        <v>88433.75</v>
      </c>
      <c r="BY25" s="3">
        <v>339238.02</v>
      </c>
      <c r="BZ25" s="3">
        <v>10493.25</v>
      </c>
      <c r="CA25" s="3">
        <f t="shared" si="7"/>
        <v>349731.27</v>
      </c>
    </row>
    <row r="26" spans="1:79">
      <c r="A26" s="1" t="s">
        <v>18</v>
      </c>
      <c r="B26" s="1">
        <v>2597585</v>
      </c>
      <c r="C26" s="1">
        <v>2369983</v>
      </c>
      <c r="D26" s="1">
        <v>2953468.88</v>
      </c>
      <c r="E26" s="1">
        <v>2933750.44</v>
      </c>
      <c r="F26" s="1">
        <v>2498435.96</v>
      </c>
      <c r="G26" s="1">
        <v>2509676.5299999993</v>
      </c>
      <c r="H26" s="1">
        <v>1656671.57</v>
      </c>
      <c r="I26" s="1">
        <v>1547616.49</v>
      </c>
      <c r="J26" s="1">
        <v>1368962.26</v>
      </c>
      <c r="K26" s="1">
        <v>963736.16999999993</v>
      </c>
      <c r="L26" s="239">
        <f>(K26-J26)*100/J26</f>
        <v>-29.600968692884205</v>
      </c>
      <c r="M26" s="239">
        <f t="shared" si="5"/>
        <v>-14.140866751635233</v>
      </c>
      <c r="N26" s="14">
        <v>906186</v>
      </c>
      <c r="O26" s="14">
        <v>871164</v>
      </c>
      <c r="P26" s="14">
        <v>1055055</v>
      </c>
      <c r="Q26" s="27">
        <v>1080419</v>
      </c>
      <c r="R26" s="27">
        <v>1244340</v>
      </c>
      <c r="S26" s="27">
        <v>1349267</v>
      </c>
      <c r="T26" s="27">
        <v>1398153</v>
      </c>
      <c r="U26" s="27">
        <v>1524620</v>
      </c>
      <c r="V26" s="27">
        <f>1751600+37515</f>
        <v>1789115</v>
      </c>
      <c r="W26" s="27">
        <f>1934472+58482</f>
        <v>1992954</v>
      </c>
      <c r="X26" s="36">
        <f>2104608+38635</f>
        <v>2143243</v>
      </c>
      <c r="Y26" s="14">
        <f>2136146+38014</f>
        <v>2174160</v>
      </c>
      <c r="Z26" s="14">
        <v>1958716</v>
      </c>
      <c r="AA26" s="80">
        <v>1744082</v>
      </c>
      <c r="AB26" s="1">
        <v>1725233</v>
      </c>
      <c r="AC26" s="1">
        <v>1688699</v>
      </c>
      <c r="AD26" s="1">
        <v>2265427</v>
      </c>
      <c r="AE26" s="1">
        <v>2579906.7999999998</v>
      </c>
      <c r="AF26" s="1">
        <v>1122462.0299999998</v>
      </c>
      <c r="AG26" s="164">
        <v>2482560.0499999998</v>
      </c>
      <c r="AH26" s="160">
        <v>97346.75</v>
      </c>
      <c r="AI26" s="3">
        <f>SUM(AG26:AH26)</f>
        <v>2579906.7999999998</v>
      </c>
      <c r="AK26" s="3">
        <v>1094528.3799999999</v>
      </c>
      <c r="AL26" s="3">
        <v>27933.65</v>
      </c>
      <c r="AM26" s="3">
        <f t="shared" si="6"/>
        <v>1122462.0299999998</v>
      </c>
      <c r="AN26" s="1"/>
      <c r="AO26" s="156">
        <v>2546794.67</v>
      </c>
      <c r="AP26" s="158">
        <v>50790.18</v>
      </c>
      <c r="AQ26" s="3">
        <f>SUM(AO26:AP26)</f>
        <v>2597584.85</v>
      </c>
      <c r="AS26" s="3">
        <v>2266952.8199999998</v>
      </c>
      <c r="AT26" s="3">
        <v>103030.55</v>
      </c>
      <c r="AU26" s="3">
        <f>SUM(AS26:AT26)</f>
        <v>2369983.3699999996</v>
      </c>
      <c r="AW26" s="3">
        <v>2827431.74</v>
      </c>
      <c r="AX26" s="3">
        <v>126037.14</v>
      </c>
      <c r="AY26" s="3">
        <f>SUM(AW26:AX26)</f>
        <v>2953468.8800000004</v>
      </c>
      <c r="BA26" s="3">
        <v>2818921.07</v>
      </c>
      <c r="BB26" s="3">
        <v>114829.37</v>
      </c>
      <c r="BC26" s="3">
        <f>SUM(BA26:BB26)</f>
        <v>2933750.44</v>
      </c>
      <c r="BE26" s="3">
        <v>2449987.15</v>
      </c>
      <c r="BF26" s="3">
        <v>48448.81</v>
      </c>
      <c r="BG26" s="3">
        <f>SUM(BE26:BF26)</f>
        <v>2498435.96</v>
      </c>
      <c r="BI26" s="3">
        <v>2475164.2099999995</v>
      </c>
      <c r="BJ26" s="3">
        <v>34512.32</v>
      </c>
      <c r="BK26" s="3">
        <f>SUM(BI26:BJ26)</f>
        <v>2509676.5299999993</v>
      </c>
      <c r="BM26" s="3">
        <v>1635965</v>
      </c>
      <c r="BN26" s="3">
        <v>20706.57</v>
      </c>
      <c r="BO26" s="3">
        <f>SUM(BM26:BN26)</f>
        <v>1656671.57</v>
      </c>
      <c r="BQ26" s="3">
        <v>1539591.71</v>
      </c>
      <c r="BR26" s="3">
        <v>8024.78</v>
      </c>
      <c r="BS26" s="3">
        <f>SUM(BQ26:BR26)</f>
        <v>1547616.49</v>
      </c>
      <c r="BU26" s="3">
        <v>1352921.96</v>
      </c>
      <c r="BV26" s="3">
        <v>16040.3</v>
      </c>
      <c r="BW26" s="3">
        <f>SUM(BU26:BV26)</f>
        <v>1368962.26</v>
      </c>
      <c r="BY26" s="3">
        <v>952430.54999999993</v>
      </c>
      <c r="BZ26" s="3">
        <v>11305.62</v>
      </c>
      <c r="CA26" s="3">
        <f t="shared" si="7"/>
        <v>963736.16999999993</v>
      </c>
    </row>
    <row r="27" spans="1:79">
      <c r="A27" s="1" t="s">
        <v>19</v>
      </c>
      <c r="B27" s="1">
        <v>2689120</v>
      </c>
      <c r="C27" s="1">
        <v>515713</v>
      </c>
      <c r="D27" s="1">
        <v>2862129.98</v>
      </c>
      <c r="E27" s="1">
        <v>3465468.41</v>
      </c>
      <c r="F27" s="1">
        <v>3629827.39</v>
      </c>
      <c r="G27" s="1">
        <v>3025847.71</v>
      </c>
      <c r="H27" s="1">
        <v>3358070</v>
      </c>
      <c r="I27" s="1">
        <v>3013881</v>
      </c>
      <c r="J27" s="1">
        <v>3070870</v>
      </c>
      <c r="K27" s="1">
        <v>2366267</v>
      </c>
      <c r="L27" s="239">
        <f>(K27-J27)*100/J27</f>
        <v>-22.944735530973308</v>
      </c>
      <c r="M27" s="239">
        <f t="shared" si="5"/>
        <v>136.25396920041158</v>
      </c>
      <c r="N27" s="14">
        <v>730863</v>
      </c>
      <c r="O27" s="14">
        <v>734168</v>
      </c>
      <c r="P27" s="14">
        <v>721680</v>
      </c>
      <c r="Q27" s="27">
        <v>767942</v>
      </c>
      <c r="R27" s="27">
        <v>983439</v>
      </c>
      <c r="S27" s="27">
        <v>1329553</v>
      </c>
      <c r="T27" s="27">
        <v>2315667</v>
      </c>
      <c r="U27" s="27">
        <v>1510726</v>
      </c>
      <c r="V27" s="27">
        <f>923347+25329</f>
        <v>948676</v>
      </c>
      <c r="W27" s="27">
        <f>1643191+1011</f>
        <v>1644202</v>
      </c>
      <c r="X27" s="36">
        <f>887594+3445</f>
        <v>891039</v>
      </c>
      <c r="Y27" s="14">
        <f>1481997+5683</f>
        <v>1487680</v>
      </c>
      <c r="Z27" s="14">
        <v>939861</v>
      </c>
      <c r="AA27" s="80">
        <v>1444500</v>
      </c>
      <c r="AB27" s="1">
        <v>1555843</v>
      </c>
      <c r="AC27" s="1">
        <v>1831046</v>
      </c>
      <c r="AD27" s="1">
        <v>2384530</v>
      </c>
      <c r="AE27" s="1">
        <v>2423021.3199999998</v>
      </c>
      <c r="AF27" s="1">
        <v>1001577.67</v>
      </c>
      <c r="AG27" s="164">
        <v>2198038.5</v>
      </c>
      <c r="AH27" s="160">
        <v>224982.82</v>
      </c>
      <c r="AI27" s="3">
        <f>SUM(AG27:AH27)</f>
        <v>2423021.3199999998</v>
      </c>
      <c r="AK27" s="3">
        <v>985997.54</v>
      </c>
      <c r="AL27" s="3">
        <v>15580.13</v>
      </c>
      <c r="AM27" s="3">
        <f t="shared" si="6"/>
        <v>1001577.67</v>
      </c>
      <c r="AN27" s="1"/>
      <c r="AO27" s="156">
        <v>2670941.13</v>
      </c>
      <c r="AP27" s="158">
        <v>18178.759999999998</v>
      </c>
      <c r="AQ27" s="3">
        <f>SUM(AO27:AP27)</f>
        <v>2689119.8899999997</v>
      </c>
      <c r="AS27" s="3">
        <v>502498.07</v>
      </c>
      <c r="AT27" s="3">
        <v>13215</v>
      </c>
      <c r="AU27" s="3">
        <f>SUM(AS27:AT27)</f>
        <v>515713.07</v>
      </c>
      <c r="AW27" s="3">
        <v>2623475.8199999998</v>
      </c>
      <c r="AX27" s="3">
        <v>238654.16</v>
      </c>
      <c r="AY27" s="3">
        <f>SUM(AW27:AX27)</f>
        <v>2862129.98</v>
      </c>
      <c r="BA27" s="3">
        <v>2986968.07</v>
      </c>
      <c r="BB27" s="3">
        <v>478500.34</v>
      </c>
      <c r="BC27" s="3">
        <f>SUM(BA27:BB27)</f>
        <v>3465468.4099999997</v>
      </c>
      <c r="BE27" s="3">
        <v>3491480.79</v>
      </c>
      <c r="BF27" s="3">
        <v>138346.6</v>
      </c>
      <c r="BG27" s="3">
        <f>SUM(BE27:BF27)</f>
        <v>3629827.39</v>
      </c>
      <c r="BI27" s="3">
        <v>2962079.92</v>
      </c>
      <c r="BJ27" s="3">
        <v>63767.79</v>
      </c>
      <c r="BK27" s="3">
        <f>SUM(BI27:BJ27)</f>
        <v>3025847.71</v>
      </c>
      <c r="BM27" s="3">
        <v>3214828</v>
      </c>
      <c r="BN27" s="3">
        <v>143242</v>
      </c>
      <c r="BO27" s="3">
        <f>SUM(BM27:BN27)</f>
        <v>3358070</v>
      </c>
      <c r="BQ27" s="3">
        <v>2983078</v>
      </c>
      <c r="BR27" s="3">
        <v>30803</v>
      </c>
      <c r="BS27" s="3">
        <f>SUM(BQ27:BR27)</f>
        <v>3013881</v>
      </c>
      <c r="BU27" s="3">
        <v>3056961</v>
      </c>
      <c r="BV27" s="3">
        <v>13909</v>
      </c>
      <c r="BW27" s="3">
        <f>SUM(BU27:BV27)</f>
        <v>3070870</v>
      </c>
      <c r="BY27" s="3">
        <v>2349728</v>
      </c>
      <c r="BZ27" s="3">
        <v>16539</v>
      </c>
      <c r="CA27" s="3">
        <f t="shared" si="7"/>
        <v>2366267</v>
      </c>
    </row>
    <row r="28" spans="1:79">
      <c r="A28" s="1" t="s">
        <v>20</v>
      </c>
      <c r="B28" s="1">
        <v>88312</v>
      </c>
      <c r="C28" s="1">
        <v>114943</v>
      </c>
      <c r="D28" s="1">
        <v>121176</v>
      </c>
      <c r="E28" s="1">
        <v>223652.58</v>
      </c>
      <c r="F28" s="1">
        <v>329666</v>
      </c>
      <c r="G28" s="1">
        <v>479443.25</v>
      </c>
      <c r="H28" s="1">
        <v>120570.64</v>
      </c>
      <c r="I28" s="1">
        <v>181804.02000000002</v>
      </c>
      <c r="J28" s="1">
        <v>70730.539999999994</v>
      </c>
      <c r="K28" s="1">
        <v>79336.180000000008</v>
      </c>
      <c r="L28" s="239">
        <f>(K28-J28)*100/J28</f>
        <v>12.166795276835176</v>
      </c>
      <c r="M28" s="239">
        <f t="shared" si="5"/>
        <v>-37.34603373163241</v>
      </c>
      <c r="N28" s="14">
        <v>70027</v>
      </c>
      <c r="O28" s="14">
        <v>67229</v>
      </c>
      <c r="P28" s="27">
        <v>67061</v>
      </c>
      <c r="Q28" s="27">
        <v>78565</v>
      </c>
      <c r="R28" s="27">
        <v>80239</v>
      </c>
      <c r="S28" s="27">
        <v>78324</v>
      </c>
      <c r="T28" s="27">
        <v>79877</v>
      </c>
      <c r="U28" s="27">
        <v>92304</v>
      </c>
      <c r="V28" s="27">
        <f>92298+763</f>
        <v>93061</v>
      </c>
      <c r="W28" s="27">
        <f>183858+809</f>
        <v>184667</v>
      </c>
      <c r="X28" s="36">
        <f>176141+6339</f>
        <v>182480</v>
      </c>
      <c r="Y28" s="14">
        <f>126916+538</f>
        <v>127454</v>
      </c>
      <c r="Z28" s="14">
        <v>203940</v>
      </c>
      <c r="AA28" s="80">
        <v>122815</v>
      </c>
      <c r="AB28" s="1">
        <v>156085</v>
      </c>
      <c r="AC28" s="1">
        <v>124063</v>
      </c>
      <c r="AD28" s="1">
        <v>170097</v>
      </c>
      <c r="AE28" s="1">
        <v>145732.07999999999</v>
      </c>
      <c r="AF28" s="1">
        <v>126625.95</v>
      </c>
      <c r="AG28" s="164">
        <v>143263.12</v>
      </c>
      <c r="AH28" s="160">
        <v>2468.96</v>
      </c>
      <c r="AI28" s="3">
        <f>SUM(AG28:AH28)</f>
        <v>145732.07999999999</v>
      </c>
      <c r="AK28" s="3">
        <v>126625.95</v>
      </c>
      <c r="AM28" s="3">
        <f t="shared" si="6"/>
        <v>126625.95</v>
      </c>
      <c r="AN28" s="1"/>
      <c r="AO28" s="156">
        <v>86669</v>
      </c>
      <c r="AP28" s="158">
        <v>1642.64</v>
      </c>
      <c r="AQ28" s="3">
        <f>SUM(AO28:AP28)</f>
        <v>88311.64</v>
      </c>
      <c r="AS28" s="3">
        <v>114943.19</v>
      </c>
      <c r="AT28" s="3">
        <v>0</v>
      </c>
      <c r="AU28" s="3">
        <f>SUM(AS28:AT28)</f>
        <v>114943.19</v>
      </c>
      <c r="AW28" s="3">
        <v>121176</v>
      </c>
      <c r="AX28" s="3">
        <v>0</v>
      </c>
      <c r="AY28" s="3">
        <f>SUM(AW28:AX28)</f>
        <v>121176</v>
      </c>
      <c r="BA28" s="3">
        <v>223652.58</v>
      </c>
      <c r="BB28" s="3">
        <v>0</v>
      </c>
      <c r="BC28" s="3">
        <f>SUM(BA28:BB28)</f>
        <v>223652.58</v>
      </c>
      <c r="BE28" s="3">
        <v>329666</v>
      </c>
      <c r="BF28" s="3">
        <v>0</v>
      </c>
      <c r="BG28" s="3">
        <f>SUM(BE28:BF28)</f>
        <v>329666</v>
      </c>
      <c r="BI28" s="3">
        <v>479443.25</v>
      </c>
      <c r="BJ28" s="3">
        <v>0</v>
      </c>
      <c r="BK28" s="3">
        <f>SUM(BI28:BJ28)</f>
        <v>479443.25</v>
      </c>
      <c r="BM28" s="3">
        <v>120570.64</v>
      </c>
      <c r="BN28" s="3">
        <v>0</v>
      </c>
      <c r="BO28" s="3">
        <f>SUM(BM28:BN28)</f>
        <v>120570.64</v>
      </c>
      <c r="BQ28" s="3">
        <v>174973.92</v>
      </c>
      <c r="BR28" s="3">
        <v>6830.1</v>
      </c>
      <c r="BS28" s="3">
        <f>SUM(BQ28:BR28)</f>
        <v>181804.02000000002</v>
      </c>
      <c r="BU28" s="3">
        <v>70730.539999999994</v>
      </c>
      <c r="BV28" s="3">
        <v>0</v>
      </c>
      <c r="BW28" s="3">
        <f>SUM(BU28:BV28)</f>
        <v>70730.539999999994</v>
      </c>
      <c r="BY28" s="3">
        <v>74415.12000000001</v>
      </c>
      <c r="BZ28" s="3">
        <v>4921.0600000000004</v>
      </c>
      <c r="CA28" s="3">
        <f t="shared" si="7"/>
        <v>79336.180000000008</v>
      </c>
    </row>
    <row r="29" spans="1:79">
      <c r="L29" s="239"/>
      <c r="M29" s="239"/>
      <c r="N29" s="14"/>
      <c r="O29" s="14"/>
      <c r="Q29" s="27"/>
      <c r="R29" s="27"/>
      <c r="S29" s="27"/>
      <c r="T29" s="27"/>
      <c r="U29" s="27"/>
      <c r="V29" s="27"/>
      <c r="W29" s="27"/>
      <c r="X29" s="36"/>
      <c r="Y29" s="14"/>
      <c r="Z29" s="14"/>
      <c r="AA29" s="80"/>
      <c r="AB29" s="1"/>
      <c r="AC29" s="1"/>
      <c r="AD29" s="1"/>
      <c r="AE29" s="1"/>
      <c r="AF29" s="1"/>
      <c r="AG29" s="128"/>
      <c r="AH29" s="160"/>
      <c r="AN29" s="1"/>
      <c r="AO29" s="92"/>
      <c r="AP29" s="158"/>
    </row>
    <row r="30" spans="1:79">
      <c r="A30" s="1" t="s">
        <v>21</v>
      </c>
      <c r="B30" s="1">
        <v>7880625</v>
      </c>
      <c r="C30" s="1">
        <v>8439856</v>
      </c>
      <c r="D30" s="1">
        <v>10138418.510000002</v>
      </c>
      <c r="E30" s="1">
        <v>9313324.5500000007</v>
      </c>
      <c r="F30" s="1">
        <v>5802157.75</v>
      </c>
      <c r="G30" s="1">
        <v>7414057.7299999995</v>
      </c>
      <c r="H30" s="1">
        <v>5532430.1899999995</v>
      </c>
      <c r="I30" s="1">
        <v>3928843.5100000002</v>
      </c>
      <c r="J30" s="1">
        <v>4020345.76</v>
      </c>
      <c r="K30" s="1">
        <v>5144565.169999999</v>
      </c>
      <c r="L30" s="239">
        <f>(K30-J30)*100/J30</f>
        <v>27.963251847273934</v>
      </c>
      <c r="M30" s="239">
        <f t="shared" si="5"/>
        <v>-11.164392709704195</v>
      </c>
      <c r="N30" s="14">
        <v>1882887</v>
      </c>
      <c r="O30" s="14">
        <v>2149367</v>
      </c>
      <c r="P30" s="27">
        <v>2343447</v>
      </c>
      <c r="Q30" s="27">
        <v>2432657</v>
      </c>
      <c r="R30" s="27">
        <v>2769817</v>
      </c>
      <c r="S30" s="27">
        <v>2849850</v>
      </c>
      <c r="T30" s="27">
        <v>3107873</v>
      </c>
      <c r="U30" s="27">
        <v>2591508</v>
      </c>
      <c r="V30" s="27">
        <f>3115533+92320</f>
        <v>3207853</v>
      </c>
      <c r="W30" s="27">
        <f>3229337+109140</f>
        <v>3338477</v>
      </c>
      <c r="X30" s="36">
        <f>3019090+112164</f>
        <v>3131254</v>
      </c>
      <c r="Y30" s="14">
        <f>2791494+143846</f>
        <v>2935340</v>
      </c>
      <c r="Z30" s="14">
        <v>3107903</v>
      </c>
      <c r="AA30" s="80">
        <v>3612660</v>
      </c>
      <c r="AB30" s="1">
        <v>5184430</v>
      </c>
      <c r="AC30" s="1">
        <v>5581741</v>
      </c>
      <c r="AD30" s="1">
        <v>5410880</v>
      </c>
      <c r="AE30" s="1">
        <v>5636743.1199999992</v>
      </c>
      <c r="AF30" s="1">
        <v>5791107.1100000003</v>
      </c>
      <c r="AG30" s="164">
        <v>5453407.379999999</v>
      </c>
      <c r="AH30" s="160">
        <v>183335.74</v>
      </c>
      <c r="AI30" s="3">
        <f>SUM(AG30:AH30)</f>
        <v>5636743.1199999992</v>
      </c>
      <c r="AK30" s="3">
        <v>5622527.79</v>
      </c>
      <c r="AL30" s="3">
        <v>168579.32</v>
      </c>
      <c r="AM30" s="3">
        <f t="shared" si="6"/>
        <v>5791107.1100000003</v>
      </c>
      <c r="AN30" s="1"/>
      <c r="AO30" s="156">
        <v>7356543</v>
      </c>
      <c r="AP30" s="158">
        <v>524082.48</v>
      </c>
      <c r="AQ30" s="3">
        <f>SUM(AO30:AP30)</f>
        <v>7880625.4800000004</v>
      </c>
      <c r="AS30" s="3">
        <v>8340171</v>
      </c>
      <c r="AT30" s="3">
        <v>99684.96</v>
      </c>
      <c r="AU30" s="3">
        <f>SUM(AS30:AT30)</f>
        <v>8439855.9600000009</v>
      </c>
      <c r="AW30" s="3">
        <v>9299026.9200000018</v>
      </c>
      <c r="AX30" s="3">
        <v>839391.59</v>
      </c>
      <c r="AY30" s="3">
        <f>SUM(AW30:AX30)</f>
        <v>10138418.510000002</v>
      </c>
      <c r="BA30" s="3">
        <v>9230569.6500000004</v>
      </c>
      <c r="BB30" s="3">
        <v>82754.899999999994</v>
      </c>
      <c r="BC30" s="3">
        <f>SUM(BA30:BB30)</f>
        <v>9313324.5500000007</v>
      </c>
      <c r="BE30" s="3">
        <v>5717070.8899999997</v>
      </c>
      <c r="BF30" s="3">
        <v>85086.86</v>
      </c>
      <c r="BG30" s="3">
        <f>SUM(BE30:BF30)</f>
        <v>5802157.75</v>
      </c>
      <c r="BI30" s="3">
        <v>7332439.3899999997</v>
      </c>
      <c r="BJ30" s="3">
        <v>81618.34</v>
      </c>
      <c r="BK30" s="3">
        <f>SUM(BI30:BJ30)</f>
        <v>7414057.7299999995</v>
      </c>
      <c r="BM30" s="3">
        <v>5434876.3799999999</v>
      </c>
      <c r="BN30" s="3">
        <v>97553.81</v>
      </c>
      <c r="BO30" s="3">
        <f>SUM(BM30:BN30)</f>
        <v>5532430.1899999995</v>
      </c>
      <c r="BQ30" s="3">
        <v>3838195.33</v>
      </c>
      <c r="BR30" s="3">
        <v>90648.18</v>
      </c>
      <c r="BS30" s="3">
        <f>SUM(BQ30:BR30)</f>
        <v>3928843.5100000002</v>
      </c>
      <c r="BU30" s="3">
        <v>3876479.57</v>
      </c>
      <c r="BV30" s="3">
        <v>143866.19</v>
      </c>
      <c r="BW30" s="3">
        <f>SUM(BU30:BV30)</f>
        <v>4020345.76</v>
      </c>
      <c r="BY30" s="3">
        <v>4992496.3599999994</v>
      </c>
      <c r="BZ30" s="3">
        <v>152068.81</v>
      </c>
      <c r="CA30" s="3">
        <f t="shared" si="7"/>
        <v>5144565.169999999</v>
      </c>
    </row>
    <row r="31" spans="1:79">
      <c r="A31" s="1" t="s">
        <v>22</v>
      </c>
      <c r="B31" s="1">
        <v>11763887</v>
      </c>
      <c r="C31" s="1">
        <v>5190650</v>
      </c>
      <c r="D31" s="1">
        <v>12702010.17</v>
      </c>
      <c r="E31" s="1">
        <v>1458614.84</v>
      </c>
      <c r="F31" s="1">
        <v>3691642.42</v>
      </c>
      <c r="G31" s="1">
        <v>1506657.66</v>
      </c>
      <c r="H31" s="1">
        <v>3347740.26</v>
      </c>
      <c r="I31" s="1">
        <v>2493685.0999999996</v>
      </c>
      <c r="J31" s="1">
        <v>2306914.58</v>
      </c>
      <c r="K31" s="1">
        <v>5444037.4299999997</v>
      </c>
      <c r="L31" s="239">
        <f>(K31-J31)*100/J31</f>
        <v>135.98782014720283</v>
      </c>
      <c r="M31" s="239">
        <f t="shared" si="5"/>
        <v>-58.105939950250594</v>
      </c>
      <c r="N31" s="14">
        <v>2111128</v>
      </c>
      <c r="O31" s="14">
        <v>2607329</v>
      </c>
      <c r="P31" s="27">
        <v>2617989</v>
      </c>
      <c r="Q31" s="27">
        <v>3229397</v>
      </c>
      <c r="R31" s="27">
        <v>2855706</v>
      </c>
      <c r="S31" s="27">
        <v>3723673</v>
      </c>
      <c r="T31" s="27">
        <v>3193729</v>
      </c>
      <c r="U31" s="27">
        <v>3737190</v>
      </c>
      <c r="V31" s="27">
        <f>3662515+37779</f>
        <v>3700294</v>
      </c>
      <c r="W31" s="27">
        <f>3223358+43152</f>
        <v>3266510</v>
      </c>
      <c r="X31" s="36">
        <f>3788312+51961</f>
        <v>3840273</v>
      </c>
      <c r="Y31" s="14">
        <f>4520624+47642</f>
        <v>4568266</v>
      </c>
      <c r="Z31" s="14">
        <v>4414646</v>
      </c>
      <c r="AA31" s="80">
        <v>4213500</v>
      </c>
      <c r="AB31" s="1">
        <v>7683866</v>
      </c>
      <c r="AC31" s="1">
        <v>9930859</v>
      </c>
      <c r="AD31" s="1">
        <v>11279008</v>
      </c>
      <c r="AE31" s="1">
        <v>10845388.830000002</v>
      </c>
      <c r="AF31" s="1">
        <v>12994771.630000001</v>
      </c>
      <c r="AG31" s="164">
        <v>10819652.480000002</v>
      </c>
      <c r="AH31" s="160">
        <v>25736.35</v>
      </c>
      <c r="AI31" s="3">
        <f>SUM(AG31:AH31)</f>
        <v>10845388.830000002</v>
      </c>
      <c r="AK31" s="3">
        <v>12985703.310000001</v>
      </c>
      <c r="AL31" s="3">
        <v>9068.32</v>
      </c>
      <c r="AM31" s="3">
        <f t="shared" si="6"/>
        <v>12994771.630000001</v>
      </c>
      <c r="AN31" s="1"/>
      <c r="AO31" s="156">
        <v>11763887</v>
      </c>
      <c r="AP31" s="158">
        <v>0</v>
      </c>
      <c r="AQ31" s="3">
        <f>SUM(AO31:AP31)</f>
        <v>11763887</v>
      </c>
      <c r="AS31" s="3">
        <v>5190650.3899999997</v>
      </c>
      <c r="AT31" s="3">
        <v>0</v>
      </c>
      <c r="AU31" s="3">
        <f>SUM(AS31:AT31)</f>
        <v>5190650.3899999997</v>
      </c>
      <c r="AW31" s="3">
        <v>12702010.17</v>
      </c>
      <c r="AX31" s="3">
        <v>0</v>
      </c>
      <c r="AY31" s="3">
        <f>SUM(AW31:AX31)</f>
        <v>12702010.17</v>
      </c>
      <c r="BA31" s="3">
        <v>1458614.84</v>
      </c>
      <c r="BB31" s="3">
        <v>0</v>
      </c>
      <c r="BC31" s="3">
        <f>SUM(BA31:BB31)</f>
        <v>1458614.84</v>
      </c>
      <c r="BE31" s="3">
        <v>3691642.42</v>
      </c>
      <c r="BF31" s="3">
        <v>0</v>
      </c>
      <c r="BG31" s="3">
        <f>SUM(BE31:BF31)</f>
        <v>3691642.42</v>
      </c>
      <c r="BI31" s="3">
        <v>1506657.66</v>
      </c>
      <c r="BJ31" s="3">
        <v>0</v>
      </c>
      <c r="BK31" s="3">
        <f>SUM(BI31:BJ31)</f>
        <v>1506657.66</v>
      </c>
      <c r="BM31" s="3">
        <v>3347740.26</v>
      </c>
      <c r="BN31" s="3">
        <v>0</v>
      </c>
      <c r="BO31" s="3">
        <f>SUM(BM31:BN31)</f>
        <v>3347740.26</v>
      </c>
      <c r="BQ31" s="3">
        <v>2493685.0999999996</v>
      </c>
      <c r="BR31" s="3">
        <v>0</v>
      </c>
      <c r="BS31" s="3">
        <f>SUM(BQ31:BR31)</f>
        <v>2493685.0999999996</v>
      </c>
      <c r="BU31" s="3">
        <v>2306914.58</v>
      </c>
      <c r="BV31" s="3">
        <v>0</v>
      </c>
      <c r="BW31" s="3">
        <f>SUM(BU31:BV31)</f>
        <v>2306914.58</v>
      </c>
      <c r="BY31" s="3">
        <v>5444037.4299999997</v>
      </c>
      <c r="BZ31" s="3">
        <v>0</v>
      </c>
      <c r="CA31" s="3">
        <f t="shared" si="7"/>
        <v>5444037.4299999997</v>
      </c>
    </row>
    <row r="32" spans="1:79">
      <c r="A32" s="1" t="s">
        <v>23</v>
      </c>
      <c r="B32" s="1">
        <v>618835</v>
      </c>
      <c r="C32" s="1">
        <v>373146</v>
      </c>
      <c r="D32" s="1">
        <v>230165.59</v>
      </c>
      <c r="E32" s="1">
        <v>435221.88</v>
      </c>
      <c r="F32" s="1">
        <v>580856.30000000005</v>
      </c>
      <c r="G32" s="1">
        <v>443634.16</v>
      </c>
      <c r="H32" s="1">
        <v>218997.76000000001</v>
      </c>
      <c r="I32" s="1">
        <v>84449.959999999992</v>
      </c>
      <c r="J32" s="1">
        <v>29735.61</v>
      </c>
      <c r="K32" s="1">
        <v>43530.53</v>
      </c>
      <c r="L32" s="239">
        <f>(K32-J32)*100/J32</f>
        <v>46.391918645691135</v>
      </c>
      <c r="M32" s="239">
        <f t="shared" si="5"/>
        <v>-93.699368955989172</v>
      </c>
      <c r="N32" s="14">
        <v>109656</v>
      </c>
      <c r="O32" s="14">
        <v>374980</v>
      </c>
      <c r="P32" s="27">
        <v>383380</v>
      </c>
      <c r="Q32" s="27">
        <v>188152</v>
      </c>
      <c r="R32" s="27">
        <v>237176</v>
      </c>
      <c r="S32" s="27">
        <v>155023</v>
      </c>
      <c r="T32" s="27">
        <v>146482</v>
      </c>
      <c r="U32" s="27">
        <v>201010</v>
      </c>
      <c r="V32" s="27">
        <f>215760+7423</f>
        <v>223183</v>
      </c>
      <c r="W32" s="27">
        <f>194734+7454</f>
        <v>202188</v>
      </c>
      <c r="X32" s="36">
        <f>158232+5273</f>
        <v>163505</v>
      </c>
      <c r="Y32" s="14">
        <f>193552+7791</f>
        <v>201343</v>
      </c>
      <c r="Z32" s="14">
        <v>342054</v>
      </c>
      <c r="AA32" s="80">
        <v>259230</v>
      </c>
      <c r="AB32" s="1">
        <v>345123</v>
      </c>
      <c r="AC32" s="1">
        <v>360118</v>
      </c>
      <c r="AD32" s="1">
        <v>291527</v>
      </c>
      <c r="AE32" s="1">
        <v>553068.50999999989</v>
      </c>
      <c r="AF32" s="1">
        <v>690891.59</v>
      </c>
      <c r="AG32" s="164">
        <v>535819.93999999994</v>
      </c>
      <c r="AH32" s="160">
        <v>17248.57</v>
      </c>
      <c r="AI32" s="3">
        <f>SUM(AG32:AH32)</f>
        <v>553068.50999999989</v>
      </c>
      <c r="AK32" s="3">
        <v>678152.24</v>
      </c>
      <c r="AL32" s="3">
        <v>12739.35</v>
      </c>
      <c r="AM32" s="3">
        <f t="shared" si="6"/>
        <v>690891.59</v>
      </c>
      <c r="AN32" s="1"/>
      <c r="AO32" s="156">
        <v>599875.42000000004</v>
      </c>
      <c r="AP32" s="158">
        <v>18959.09</v>
      </c>
      <c r="AQ32" s="3">
        <f>SUM(AO32:AP32)</f>
        <v>618834.51</v>
      </c>
      <c r="AS32" s="3">
        <v>361722.83</v>
      </c>
      <c r="AT32" s="3">
        <v>11423.43</v>
      </c>
      <c r="AU32" s="3">
        <f>SUM(AS32:AT32)</f>
        <v>373146.26</v>
      </c>
      <c r="AW32" s="3">
        <v>224583.91</v>
      </c>
      <c r="AX32" s="3">
        <v>5581.68</v>
      </c>
      <c r="AY32" s="3">
        <f>SUM(AW32:AX32)</f>
        <v>230165.59</v>
      </c>
      <c r="BA32" s="3">
        <v>426133.77</v>
      </c>
      <c r="BB32" s="3">
        <v>9088.11</v>
      </c>
      <c r="BC32" s="3">
        <f>SUM(BA32:BB32)</f>
        <v>435221.88</v>
      </c>
      <c r="BE32" s="3">
        <v>567747.87</v>
      </c>
      <c r="BF32" s="3">
        <v>13108.43</v>
      </c>
      <c r="BG32" s="3">
        <f>SUM(BE32:BF32)</f>
        <v>580856.30000000005</v>
      </c>
      <c r="BI32" s="3">
        <v>430929.43</v>
      </c>
      <c r="BJ32" s="3">
        <v>12704.73</v>
      </c>
      <c r="BK32" s="3">
        <f>SUM(BI32:BJ32)</f>
        <v>443634.16</v>
      </c>
      <c r="BM32" s="3">
        <v>218997.76000000001</v>
      </c>
      <c r="BN32" s="3">
        <v>0</v>
      </c>
      <c r="BO32" s="3">
        <f>SUM(BM32:BN32)</f>
        <v>218997.76000000001</v>
      </c>
      <c r="BQ32" s="3">
        <v>84449.959999999992</v>
      </c>
      <c r="BR32" s="3">
        <v>0</v>
      </c>
      <c r="BS32" s="3">
        <f>SUM(BQ32:BR32)</f>
        <v>84449.959999999992</v>
      </c>
      <c r="BU32" s="3">
        <v>29735.61</v>
      </c>
      <c r="BV32" s="3">
        <v>0</v>
      </c>
      <c r="BW32" s="3">
        <f>SUM(BU32:BV32)</f>
        <v>29735.61</v>
      </c>
      <c r="BY32" s="3">
        <v>42298.080000000002</v>
      </c>
      <c r="BZ32" s="3">
        <v>1232.45</v>
      </c>
      <c r="CA32" s="3">
        <f t="shared" si="7"/>
        <v>43530.53</v>
      </c>
    </row>
    <row r="33" spans="1:79">
      <c r="A33" s="1" t="s">
        <v>24</v>
      </c>
      <c r="B33" s="1">
        <v>1212430</v>
      </c>
      <c r="C33" s="1">
        <v>641617</v>
      </c>
      <c r="D33" s="1">
        <v>654267.31999999995</v>
      </c>
      <c r="E33" s="1">
        <v>703644.94</v>
      </c>
      <c r="F33" s="1">
        <v>732416.58</v>
      </c>
      <c r="G33" s="1">
        <v>813637.95000000007</v>
      </c>
      <c r="H33" s="1">
        <v>1158429.6200000001</v>
      </c>
      <c r="I33" s="1">
        <v>182829.94</v>
      </c>
      <c r="J33" s="1">
        <v>224095.83</v>
      </c>
      <c r="K33" s="1">
        <v>195785.88</v>
      </c>
      <c r="L33" s="239">
        <f>(K33-J33)*100/J33</f>
        <v>-12.632965994949563</v>
      </c>
      <c r="M33" s="239">
        <f t="shared" si="5"/>
        <v>0.55465696396612663</v>
      </c>
      <c r="N33" s="14">
        <v>219996</v>
      </c>
      <c r="O33" s="14">
        <v>187161</v>
      </c>
      <c r="P33" s="27">
        <v>209906</v>
      </c>
      <c r="Q33" s="27">
        <v>279962</v>
      </c>
      <c r="R33" s="27">
        <v>394628</v>
      </c>
      <c r="S33" s="27">
        <v>403842</v>
      </c>
      <c r="T33" s="27">
        <v>538898</v>
      </c>
      <c r="U33" s="27">
        <v>515695</v>
      </c>
      <c r="V33" s="27">
        <f>411289+3985</f>
        <v>415274</v>
      </c>
      <c r="W33" s="27">
        <f>349123+3577</f>
        <v>352700</v>
      </c>
      <c r="X33" s="36">
        <f>572318+3599</f>
        <v>575917</v>
      </c>
      <c r="Y33" s="14">
        <f>281495+2930</f>
        <v>284425</v>
      </c>
      <c r="Z33" s="14">
        <v>486269</v>
      </c>
      <c r="AA33" s="80">
        <v>610723</v>
      </c>
      <c r="AB33" s="1">
        <v>719622</v>
      </c>
      <c r="AC33" s="1">
        <v>304162</v>
      </c>
      <c r="AD33" s="1">
        <v>285120</v>
      </c>
      <c r="AE33" s="1">
        <v>466584.62000000005</v>
      </c>
      <c r="AF33" s="1">
        <v>194705.93</v>
      </c>
      <c r="AG33" s="164">
        <v>465659.28</v>
      </c>
      <c r="AH33" s="160">
        <v>925.34</v>
      </c>
      <c r="AI33" s="3">
        <f>SUM(AG33:AH33)</f>
        <v>466584.62000000005</v>
      </c>
      <c r="AK33" s="3">
        <v>194705.93</v>
      </c>
      <c r="AL33" s="3">
        <v>0</v>
      </c>
      <c r="AM33" s="3">
        <f t="shared" si="6"/>
        <v>194705.93</v>
      </c>
      <c r="AN33" s="1"/>
      <c r="AO33" s="156">
        <v>1178575.99</v>
      </c>
      <c r="AP33" s="158">
        <v>33854.26</v>
      </c>
      <c r="AQ33" s="3">
        <f>SUM(AO33:AP33)</f>
        <v>1212430.25</v>
      </c>
      <c r="AS33" s="3">
        <v>641616.52</v>
      </c>
      <c r="AT33" s="3">
        <v>0</v>
      </c>
      <c r="AU33" s="3">
        <f>SUM(AS33:AT33)</f>
        <v>641616.52</v>
      </c>
      <c r="AW33" s="3">
        <v>654267.31999999995</v>
      </c>
      <c r="AX33" s="3">
        <v>0</v>
      </c>
      <c r="AY33" s="3">
        <f>SUM(AW33:AX33)</f>
        <v>654267.31999999995</v>
      </c>
      <c r="BA33" s="3">
        <v>703644.94</v>
      </c>
      <c r="BB33" s="3">
        <v>0</v>
      </c>
      <c r="BC33" s="3">
        <f>SUM(BA33:BB33)</f>
        <v>703644.94</v>
      </c>
      <c r="BE33" s="3">
        <v>732416.58</v>
      </c>
      <c r="BF33" s="3">
        <v>0</v>
      </c>
      <c r="BG33" s="3">
        <f>SUM(BE33:BF33)</f>
        <v>732416.58</v>
      </c>
      <c r="BI33" s="3">
        <v>813637.95000000007</v>
      </c>
      <c r="BJ33" s="3">
        <v>0</v>
      </c>
      <c r="BK33" s="3">
        <f>SUM(BI33:BJ33)</f>
        <v>813637.95000000007</v>
      </c>
      <c r="BM33" s="3">
        <v>1158429.6200000001</v>
      </c>
      <c r="BN33" s="3">
        <v>0</v>
      </c>
      <c r="BO33" s="3">
        <f>SUM(BM33:BN33)</f>
        <v>1158429.6200000001</v>
      </c>
      <c r="BQ33" s="3">
        <v>182829.94</v>
      </c>
      <c r="BR33" s="3">
        <v>0</v>
      </c>
      <c r="BS33" s="3">
        <f>SUM(BQ33:BR33)</f>
        <v>182829.94</v>
      </c>
      <c r="BU33" s="3">
        <v>224095.83</v>
      </c>
      <c r="BV33" s="3">
        <v>0</v>
      </c>
      <c r="BW33" s="3">
        <f>SUM(BU33:BV33)</f>
        <v>224095.83</v>
      </c>
      <c r="BY33" s="3">
        <v>195785.88</v>
      </c>
      <c r="BZ33" s="3">
        <v>0</v>
      </c>
      <c r="CA33" s="3">
        <f t="shared" si="7"/>
        <v>195785.88</v>
      </c>
    </row>
    <row r="34" spans="1:79">
      <c r="A34" s="1" t="s">
        <v>25</v>
      </c>
      <c r="B34" s="1">
        <v>223475</v>
      </c>
      <c r="C34" s="1">
        <v>220333</v>
      </c>
      <c r="D34" s="1">
        <v>170509.72</v>
      </c>
      <c r="E34" s="1">
        <v>251772.83</v>
      </c>
      <c r="F34" s="1">
        <v>236286.02</v>
      </c>
      <c r="G34" s="1">
        <v>183919.62</v>
      </c>
      <c r="H34" s="1">
        <v>175062.43</v>
      </c>
      <c r="I34" s="1">
        <v>125973.93</v>
      </c>
      <c r="J34" s="1">
        <v>59800.13</v>
      </c>
      <c r="K34" s="1">
        <v>79210.81</v>
      </c>
      <c r="L34" s="239">
        <f>(K34-J34)*100/J34</f>
        <v>32.45926054006906</v>
      </c>
      <c r="M34" s="239">
        <f t="shared" si="5"/>
        <v>-65.801446202805579</v>
      </c>
      <c r="N34" s="14">
        <v>62473</v>
      </c>
      <c r="O34" s="14">
        <v>66902</v>
      </c>
      <c r="P34" s="27">
        <v>62218</v>
      </c>
      <c r="Q34" s="27">
        <v>82022</v>
      </c>
      <c r="R34" s="27">
        <v>133107</v>
      </c>
      <c r="S34" s="27">
        <v>87005</v>
      </c>
      <c r="T34" s="27">
        <v>118429</v>
      </c>
      <c r="U34" s="27">
        <v>117973</v>
      </c>
      <c r="V34" s="27">
        <v>147489</v>
      </c>
      <c r="W34" s="27">
        <v>97631</v>
      </c>
      <c r="X34" s="36">
        <v>131808</v>
      </c>
      <c r="Y34" s="14">
        <v>119021</v>
      </c>
      <c r="Z34" s="14">
        <v>86423</v>
      </c>
      <c r="AA34" s="80">
        <v>288407</v>
      </c>
      <c r="AB34" s="1">
        <v>170568</v>
      </c>
      <c r="AC34" s="1">
        <v>170681</v>
      </c>
      <c r="AD34" s="1">
        <v>210161</v>
      </c>
      <c r="AE34" s="1">
        <v>167095.64000000001</v>
      </c>
      <c r="AF34" s="1">
        <v>231620.35</v>
      </c>
      <c r="AG34" s="164">
        <v>167095.64000000001</v>
      </c>
      <c r="AH34" s="160">
        <v>0</v>
      </c>
      <c r="AI34" s="3">
        <f>SUM(AG34:AH34)</f>
        <v>167095.64000000001</v>
      </c>
      <c r="AK34" s="3">
        <v>231620.35</v>
      </c>
      <c r="AL34" s="3">
        <v>0</v>
      </c>
      <c r="AM34" s="3">
        <f t="shared" si="6"/>
        <v>231620.35</v>
      </c>
      <c r="AN34" s="1"/>
      <c r="AO34" s="156">
        <v>223475.02</v>
      </c>
      <c r="AP34" s="158">
        <v>0</v>
      </c>
      <c r="AQ34" s="3">
        <f>SUM(AO34:AP34)</f>
        <v>223475.02</v>
      </c>
      <c r="AS34" s="3">
        <v>220332.79999999999</v>
      </c>
      <c r="AT34" s="3">
        <v>0</v>
      </c>
      <c r="AU34" s="3">
        <f>SUM(AS34:AT34)</f>
        <v>220332.79999999999</v>
      </c>
      <c r="AW34" s="3">
        <v>170509.72</v>
      </c>
      <c r="AX34" s="3">
        <v>0</v>
      </c>
      <c r="AY34" s="3">
        <f>SUM(AW34:AX34)</f>
        <v>170509.72</v>
      </c>
      <c r="BA34" s="3">
        <v>251772.83</v>
      </c>
      <c r="BB34" s="3">
        <v>0</v>
      </c>
      <c r="BC34" s="3">
        <f>SUM(BA34:BB34)</f>
        <v>251772.83</v>
      </c>
      <c r="BE34" s="3">
        <v>236286.02</v>
      </c>
      <c r="BF34" s="3">
        <v>0</v>
      </c>
      <c r="BG34" s="3">
        <f>SUM(BE34:BF34)</f>
        <v>236286.02</v>
      </c>
      <c r="BI34" s="3">
        <v>183919.62</v>
      </c>
      <c r="BJ34" s="3">
        <v>0</v>
      </c>
      <c r="BK34" s="3">
        <f>SUM(BI34:BJ34)</f>
        <v>183919.62</v>
      </c>
      <c r="BM34" s="3">
        <v>175062.43</v>
      </c>
      <c r="BN34" s="3">
        <v>0</v>
      </c>
      <c r="BO34" s="3">
        <f>SUM(BM34:BN34)</f>
        <v>175062.43</v>
      </c>
      <c r="BQ34" s="3">
        <v>125973.93</v>
      </c>
      <c r="BR34" s="3">
        <v>0</v>
      </c>
      <c r="BS34" s="3">
        <f>SUM(BQ34:BR34)</f>
        <v>125973.93</v>
      </c>
      <c r="BU34" s="3">
        <v>59800.13</v>
      </c>
      <c r="BV34" s="3">
        <v>0</v>
      </c>
      <c r="BW34" s="3">
        <f>SUM(BU34:BV34)</f>
        <v>59800.13</v>
      </c>
      <c r="BY34" s="3">
        <v>79210.81</v>
      </c>
      <c r="BZ34" s="3">
        <v>0</v>
      </c>
      <c r="CA34" s="3">
        <f t="shared" si="7"/>
        <v>79210.81</v>
      </c>
    </row>
    <row r="35" spans="1:79">
      <c r="L35" s="239"/>
      <c r="M35" s="239"/>
      <c r="O35" s="14"/>
      <c r="P35" s="27"/>
      <c r="Q35" s="27"/>
      <c r="R35" s="27"/>
      <c r="S35" s="27"/>
      <c r="T35" s="27"/>
      <c r="U35" s="27"/>
      <c r="V35" s="27"/>
      <c r="W35" s="27"/>
      <c r="X35" s="36"/>
      <c r="Y35" s="14"/>
      <c r="Z35" s="14"/>
      <c r="AA35" s="80">
        <v>0</v>
      </c>
      <c r="AB35" s="1"/>
      <c r="AC35" s="1"/>
      <c r="AD35" s="1"/>
      <c r="AE35" s="1"/>
      <c r="AF35" s="1"/>
      <c r="AG35" s="128"/>
      <c r="AH35" s="160"/>
      <c r="AN35" s="1"/>
      <c r="AO35" s="92"/>
      <c r="AP35" s="158"/>
    </row>
    <row r="36" spans="1:79">
      <c r="A36" s="1" t="s">
        <v>26</v>
      </c>
      <c r="B36" s="1">
        <v>406998</v>
      </c>
      <c r="C36" s="1">
        <v>264664</v>
      </c>
      <c r="D36" s="1">
        <v>332901.59999999998</v>
      </c>
      <c r="E36" s="1">
        <v>365504.85</v>
      </c>
      <c r="F36" s="1">
        <v>383228.17</v>
      </c>
      <c r="G36" s="1">
        <v>285708.23000000004</v>
      </c>
      <c r="H36" s="1">
        <v>215547.72</v>
      </c>
      <c r="I36" s="1">
        <v>192718.47999999998</v>
      </c>
      <c r="J36" s="1">
        <v>6359.29</v>
      </c>
      <c r="K36" s="1">
        <v>36230.639999999999</v>
      </c>
      <c r="L36" s="239">
        <f>(K36-J36)*100/J36</f>
        <v>469.72775262647247</v>
      </c>
      <c r="M36" s="239">
        <f t="shared" si="5"/>
        <v>-76.129951440495418</v>
      </c>
      <c r="N36" s="14">
        <v>47758</v>
      </c>
      <c r="O36" s="14">
        <v>41689</v>
      </c>
      <c r="P36" s="27">
        <v>62674</v>
      </c>
      <c r="Q36" s="27">
        <v>115603</v>
      </c>
      <c r="R36" s="27">
        <v>67191</v>
      </c>
      <c r="S36" s="27">
        <v>89180</v>
      </c>
      <c r="T36" s="27">
        <v>152822</v>
      </c>
      <c r="U36" s="27">
        <v>54399</v>
      </c>
      <c r="V36" s="27">
        <f>95767+92</f>
        <v>95859</v>
      </c>
      <c r="W36" s="27">
        <f>113375+576</f>
        <v>113951</v>
      </c>
      <c r="X36" s="36">
        <v>205583</v>
      </c>
      <c r="Y36" s="14">
        <v>108056</v>
      </c>
      <c r="Z36" s="14">
        <v>77308</v>
      </c>
      <c r="AA36" s="80">
        <v>254153</v>
      </c>
      <c r="AB36" s="1">
        <v>163221</v>
      </c>
      <c r="AC36" s="1">
        <v>171119</v>
      </c>
      <c r="AD36" s="1">
        <v>81052</v>
      </c>
      <c r="AE36" s="1">
        <v>153465.45000000001</v>
      </c>
      <c r="AF36" s="1">
        <v>151782.85</v>
      </c>
      <c r="AG36" s="164">
        <v>153465.45000000001</v>
      </c>
      <c r="AH36" s="160">
        <v>0</v>
      </c>
      <c r="AI36" s="3">
        <f>SUM(AG36:AH36)</f>
        <v>153465.45000000001</v>
      </c>
      <c r="AK36" s="3">
        <v>151782.85</v>
      </c>
      <c r="AL36" s="3">
        <v>0</v>
      </c>
      <c r="AM36" s="3">
        <f t="shared" si="6"/>
        <v>151782.85</v>
      </c>
      <c r="AN36" s="1"/>
      <c r="AO36" s="156">
        <v>399703.9</v>
      </c>
      <c r="AP36" s="158">
        <v>7293.64</v>
      </c>
      <c r="AQ36" s="3">
        <f>SUM(AO36:AP36)</f>
        <v>406997.54000000004</v>
      </c>
      <c r="AS36" s="3">
        <v>264663.78000000003</v>
      </c>
      <c r="AT36" s="3">
        <v>0</v>
      </c>
      <c r="AU36" s="3">
        <f>SUM(AS36:AT36)</f>
        <v>264663.78000000003</v>
      </c>
      <c r="AW36" s="3">
        <v>332901.59999999998</v>
      </c>
      <c r="AX36" s="3">
        <v>0</v>
      </c>
      <c r="AY36" s="3">
        <f>SUM(AW36:AX36)</f>
        <v>332901.59999999998</v>
      </c>
      <c r="BA36" s="3">
        <v>365504.85</v>
      </c>
      <c r="BB36" s="3">
        <v>0</v>
      </c>
      <c r="BC36" s="3">
        <f>SUM(BA36:BB36)</f>
        <v>365504.85</v>
      </c>
      <c r="BE36" s="3">
        <v>383228.17</v>
      </c>
      <c r="BF36" s="3">
        <v>0</v>
      </c>
      <c r="BG36" s="3">
        <f>SUM(BE36:BF36)</f>
        <v>383228.17</v>
      </c>
      <c r="BI36" s="3">
        <v>277584.84000000003</v>
      </c>
      <c r="BJ36" s="3">
        <v>8123.39</v>
      </c>
      <c r="BK36" s="3">
        <f>SUM(BI36:BJ36)</f>
        <v>285708.23000000004</v>
      </c>
      <c r="BM36" s="3">
        <v>210671.92</v>
      </c>
      <c r="BN36" s="3">
        <v>4875.8</v>
      </c>
      <c r="BO36" s="3">
        <f>SUM(BM36:BN36)</f>
        <v>215547.72</v>
      </c>
      <c r="BQ36" s="3">
        <v>191069.86</v>
      </c>
      <c r="BR36" s="3">
        <v>1648.62</v>
      </c>
      <c r="BS36" s="3">
        <f>SUM(BQ36:BR36)</f>
        <v>192718.47999999998</v>
      </c>
      <c r="BU36" s="3">
        <v>4642.18</v>
      </c>
      <c r="BV36" s="3">
        <v>1717.11</v>
      </c>
      <c r="BW36" s="3">
        <f>SUM(BU36:BV36)</f>
        <v>6359.29</v>
      </c>
      <c r="BY36" s="3">
        <v>28146.31</v>
      </c>
      <c r="BZ36" s="3">
        <v>8084.3300000000008</v>
      </c>
      <c r="CA36" s="3">
        <f t="shared" si="7"/>
        <v>36230.639999999999</v>
      </c>
    </row>
    <row r="37" spans="1:79">
      <c r="A37" s="1" t="s">
        <v>27</v>
      </c>
      <c r="B37" s="1">
        <v>2097590</v>
      </c>
      <c r="C37" s="1">
        <v>2261056</v>
      </c>
      <c r="D37" s="1">
        <v>1517301.37</v>
      </c>
      <c r="E37" s="1">
        <v>1710284</v>
      </c>
      <c r="F37" s="1">
        <v>1799166.65</v>
      </c>
      <c r="G37" s="1">
        <v>1970734.3599999999</v>
      </c>
      <c r="H37" s="1">
        <v>1249559.49</v>
      </c>
      <c r="I37" s="1">
        <v>1110659.98</v>
      </c>
      <c r="J37" s="1">
        <v>1338655.19</v>
      </c>
      <c r="K37" s="1">
        <v>745485.3</v>
      </c>
      <c r="L37" s="239">
        <f>(K37-J37)*100/J37</f>
        <v>-44.310879637347085</v>
      </c>
      <c r="M37" s="239">
        <f t="shared" si="5"/>
        <v>-28.944176376708697</v>
      </c>
      <c r="N37" s="14">
        <v>317648</v>
      </c>
      <c r="O37" s="14">
        <v>247394</v>
      </c>
      <c r="P37" s="27">
        <v>305873</v>
      </c>
      <c r="Q37" s="27">
        <v>354754</v>
      </c>
      <c r="R37" s="27">
        <v>401453</v>
      </c>
      <c r="S37" s="27">
        <v>422858</v>
      </c>
      <c r="T37" s="27">
        <v>410393</v>
      </c>
      <c r="U37" s="27">
        <v>353038</v>
      </c>
      <c r="V37" s="27">
        <v>626062</v>
      </c>
      <c r="W37" s="27">
        <v>716432</v>
      </c>
      <c r="X37" s="36">
        <v>700384</v>
      </c>
      <c r="Y37" s="14">
        <v>607790</v>
      </c>
      <c r="Z37" s="14">
        <v>818586</v>
      </c>
      <c r="AA37" s="80">
        <v>1183676</v>
      </c>
      <c r="AB37" s="1">
        <v>692124</v>
      </c>
      <c r="AC37" s="1">
        <v>724550</v>
      </c>
      <c r="AD37" s="1">
        <v>675768</v>
      </c>
      <c r="AE37" s="1">
        <v>618174</v>
      </c>
      <c r="AF37" s="1">
        <v>1049154.3999999999</v>
      </c>
      <c r="AG37" s="164">
        <v>618174</v>
      </c>
      <c r="AH37" s="160">
        <v>0</v>
      </c>
      <c r="AI37" s="3">
        <f>SUM(AG37:AH37)</f>
        <v>618174</v>
      </c>
      <c r="AK37" s="3">
        <v>1049154.3999999999</v>
      </c>
      <c r="AL37" s="3">
        <v>0</v>
      </c>
      <c r="AM37" s="3">
        <f t="shared" si="6"/>
        <v>1049154.3999999999</v>
      </c>
      <c r="AN37" s="1"/>
      <c r="AO37" s="156">
        <v>2097590.48</v>
      </c>
      <c r="AP37" s="158">
        <v>0</v>
      </c>
      <c r="AQ37" s="3">
        <f>SUM(AO37:AP37)</f>
        <v>2097590.48</v>
      </c>
      <c r="AS37" s="3">
        <v>2261056.2000000002</v>
      </c>
      <c r="AT37" s="3">
        <v>0</v>
      </c>
      <c r="AU37" s="3">
        <f>SUM(AS37:AT37)</f>
        <v>2261056.2000000002</v>
      </c>
      <c r="AW37" s="3">
        <v>1514110.37</v>
      </c>
      <c r="AX37" s="3">
        <v>3191</v>
      </c>
      <c r="AY37" s="3">
        <f>SUM(AW37:AX37)</f>
        <v>1517301.37</v>
      </c>
      <c r="BA37" s="3">
        <v>1710284</v>
      </c>
      <c r="BB37" s="3">
        <v>0</v>
      </c>
      <c r="BC37" s="3">
        <f>SUM(BA37:BB37)</f>
        <v>1710284</v>
      </c>
      <c r="BE37" s="3">
        <v>1799166.65</v>
      </c>
      <c r="BF37" s="3">
        <v>0</v>
      </c>
      <c r="BG37" s="3">
        <f>SUM(BE37:BF37)</f>
        <v>1799166.65</v>
      </c>
      <c r="BI37" s="3">
        <v>1970734.3599999999</v>
      </c>
      <c r="BJ37" s="3">
        <v>0</v>
      </c>
      <c r="BK37" s="3">
        <f>SUM(BI37:BJ37)</f>
        <v>1970734.3599999999</v>
      </c>
      <c r="BM37" s="3">
        <v>1228110.49</v>
      </c>
      <c r="BN37" s="3">
        <v>21449</v>
      </c>
      <c r="BO37" s="3">
        <f>SUM(BM37:BN37)</f>
        <v>1249559.49</v>
      </c>
      <c r="BQ37" s="3">
        <v>1098689.48</v>
      </c>
      <c r="BR37" s="3">
        <v>11970.5</v>
      </c>
      <c r="BS37" s="3">
        <f>SUM(BQ37:BR37)</f>
        <v>1110659.98</v>
      </c>
      <c r="BU37" s="3">
        <v>879133.58</v>
      </c>
      <c r="BV37" s="3">
        <v>459521.61</v>
      </c>
      <c r="BW37" s="3">
        <f>SUM(BU37:BV37)</f>
        <v>1338655.19</v>
      </c>
      <c r="BY37" s="3">
        <v>745485.3</v>
      </c>
      <c r="BZ37" s="3">
        <v>0</v>
      </c>
      <c r="CA37" s="3">
        <f t="shared" si="7"/>
        <v>745485.3</v>
      </c>
    </row>
    <row r="38" spans="1:79">
      <c r="A38" s="1" t="s">
        <v>28</v>
      </c>
      <c r="B38" s="1">
        <v>894983</v>
      </c>
      <c r="C38" s="1">
        <v>974063</v>
      </c>
      <c r="D38" s="1">
        <v>1155433.04</v>
      </c>
      <c r="E38" s="1">
        <v>1256466.99</v>
      </c>
      <c r="F38" s="1">
        <v>1092046.48</v>
      </c>
      <c r="G38" s="1">
        <v>1005506.2799999999</v>
      </c>
      <c r="H38" s="1">
        <v>1027627.29</v>
      </c>
      <c r="I38" s="1">
        <v>490946.55000000005</v>
      </c>
      <c r="J38" s="1">
        <v>628128.16</v>
      </c>
      <c r="K38" s="1">
        <v>601483.46</v>
      </c>
      <c r="L38" s="239">
        <f>(K38-J38)*100/J38</f>
        <v>-4.2419209481071611</v>
      </c>
      <c r="M38" s="239">
        <f t="shared" si="5"/>
        <v>-30.733489524876717</v>
      </c>
      <c r="N38" s="14">
        <v>348158</v>
      </c>
      <c r="O38" s="14">
        <v>292779</v>
      </c>
      <c r="P38" s="27">
        <v>406633</v>
      </c>
      <c r="Q38" s="27">
        <v>469013</v>
      </c>
      <c r="R38" s="27">
        <v>399569</v>
      </c>
      <c r="S38" s="27">
        <v>675290</v>
      </c>
      <c r="T38" s="27">
        <v>469003</v>
      </c>
      <c r="U38" s="27">
        <v>230867</v>
      </c>
      <c r="V38" s="27">
        <f>463840+4197</f>
        <v>468037</v>
      </c>
      <c r="W38" s="27">
        <f>475380+4467</f>
        <v>479847</v>
      </c>
      <c r="X38" s="36">
        <f>510056+4106</f>
        <v>514162</v>
      </c>
      <c r="Y38" s="14">
        <f>740924+3230</f>
        <v>744154</v>
      </c>
      <c r="Z38" s="14">
        <v>787904</v>
      </c>
      <c r="AA38" s="80">
        <v>890392</v>
      </c>
      <c r="AB38" s="1">
        <v>779076</v>
      </c>
      <c r="AC38" s="1">
        <v>858616</v>
      </c>
      <c r="AD38" s="1">
        <v>933176</v>
      </c>
      <c r="AE38" s="1">
        <v>748557</v>
      </c>
      <c r="AF38" s="1">
        <v>868361.14</v>
      </c>
      <c r="AG38" s="164">
        <v>741967.41</v>
      </c>
      <c r="AH38" s="160">
        <v>6589.59</v>
      </c>
      <c r="AI38" s="3">
        <f>SUM(AG38:AH38)</f>
        <v>748557</v>
      </c>
      <c r="AK38" s="3">
        <v>864238.99</v>
      </c>
      <c r="AL38" s="3">
        <v>4122.1499999999996</v>
      </c>
      <c r="AM38" s="3">
        <f t="shared" si="6"/>
        <v>868361.14</v>
      </c>
      <c r="AN38" s="1"/>
      <c r="AO38" s="156">
        <v>894596.42</v>
      </c>
      <c r="AP38" s="158">
        <v>386.51</v>
      </c>
      <c r="AQ38" s="3">
        <f>SUM(AO38:AP38)</f>
        <v>894982.93</v>
      </c>
      <c r="AS38" s="3">
        <v>972667.07</v>
      </c>
      <c r="AT38" s="3">
        <v>1396.26</v>
      </c>
      <c r="AU38" s="3">
        <f>SUM(AS38:AT38)</f>
        <v>974063.33</v>
      </c>
      <c r="AW38" s="3">
        <v>1153209.43</v>
      </c>
      <c r="AX38" s="3">
        <v>2223.61</v>
      </c>
      <c r="AY38" s="3">
        <f>SUM(AW38:AX38)</f>
        <v>1155433.04</v>
      </c>
      <c r="BA38" s="3">
        <v>1244005.99</v>
      </c>
      <c r="BB38" s="3">
        <v>12461</v>
      </c>
      <c r="BC38" s="3">
        <f>SUM(BA38:BB38)</f>
        <v>1256466.99</v>
      </c>
      <c r="BE38" s="3">
        <v>1080736.48</v>
      </c>
      <c r="BF38" s="3">
        <v>11310</v>
      </c>
      <c r="BG38" s="3">
        <f>SUM(BE38:BF38)</f>
        <v>1092046.48</v>
      </c>
      <c r="BI38" s="3">
        <v>994266.8899999999</v>
      </c>
      <c r="BJ38" s="3">
        <v>11239.39</v>
      </c>
      <c r="BK38" s="3">
        <f>SUM(BI38:BJ38)</f>
        <v>1005506.2799999999</v>
      </c>
      <c r="BM38" s="3">
        <v>1019688.75</v>
      </c>
      <c r="BN38" s="3">
        <v>7938.54</v>
      </c>
      <c r="BO38" s="3">
        <f>SUM(BM38:BN38)</f>
        <v>1027627.29</v>
      </c>
      <c r="BQ38" s="3">
        <v>475672.85000000003</v>
      </c>
      <c r="BR38" s="3">
        <v>15273.7</v>
      </c>
      <c r="BS38" s="3">
        <f>SUM(BQ38:BR38)</f>
        <v>490946.55000000005</v>
      </c>
      <c r="BU38" s="3">
        <v>618326.1</v>
      </c>
      <c r="BV38" s="3">
        <v>9802.06</v>
      </c>
      <c r="BW38" s="3">
        <f>SUM(BU38:BV38)</f>
        <v>628128.16</v>
      </c>
      <c r="BY38" s="3">
        <v>595202.84</v>
      </c>
      <c r="BZ38" s="3">
        <v>6280.62</v>
      </c>
      <c r="CA38" s="3">
        <f t="shared" si="7"/>
        <v>601483.46</v>
      </c>
    </row>
    <row r="39" spans="1:79">
      <c r="A39" s="17" t="s">
        <v>29</v>
      </c>
      <c r="B39" s="1">
        <v>462088</v>
      </c>
      <c r="C39" s="1">
        <v>596364</v>
      </c>
      <c r="D39" s="1">
        <v>496619.31</v>
      </c>
      <c r="E39" s="1">
        <v>423439.48</v>
      </c>
      <c r="F39" s="1">
        <v>368728.14</v>
      </c>
      <c r="G39" s="1">
        <v>414403.51</v>
      </c>
      <c r="H39" s="1">
        <v>264830.59999999998</v>
      </c>
      <c r="I39" s="1">
        <v>226342.73</v>
      </c>
      <c r="J39" s="1">
        <v>663270.86</v>
      </c>
      <c r="K39" s="1">
        <v>197863.26</v>
      </c>
      <c r="L39" s="239">
        <f>(K39-J39)*100/J39</f>
        <v>-70.168558287032241</v>
      </c>
      <c r="M39" s="239">
        <f t="shared" si="5"/>
        <v>-42.528052476664342</v>
      </c>
      <c r="N39" s="14">
        <v>100647</v>
      </c>
      <c r="O39" s="14">
        <v>146331</v>
      </c>
      <c r="P39" s="27">
        <v>188313</v>
      </c>
      <c r="Q39" s="27">
        <v>188609</v>
      </c>
      <c r="R39" s="27">
        <v>212064</v>
      </c>
      <c r="S39" s="251">
        <v>277432</v>
      </c>
      <c r="T39" s="251">
        <v>269579</v>
      </c>
      <c r="U39" s="251">
        <v>310810</v>
      </c>
      <c r="V39" s="27">
        <f>389147+5636</f>
        <v>394783</v>
      </c>
      <c r="W39" s="251">
        <f>248351+2780</f>
        <v>251131</v>
      </c>
      <c r="X39" s="71">
        <f>270233+554</f>
        <v>270787</v>
      </c>
      <c r="Y39" s="14">
        <f>356168+37</f>
        <v>356205</v>
      </c>
      <c r="Z39" s="24">
        <v>380330</v>
      </c>
      <c r="AA39" s="80">
        <v>359253</v>
      </c>
      <c r="AB39" s="1">
        <v>40503</v>
      </c>
      <c r="AC39" s="1">
        <v>349042</v>
      </c>
      <c r="AD39" s="1">
        <v>336829</v>
      </c>
      <c r="AE39" s="1">
        <v>373545.11</v>
      </c>
      <c r="AF39" s="1">
        <v>344277.98</v>
      </c>
      <c r="AG39" s="129">
        <v>373212.12</v>
      </c>
      <c r="AH39" s="129">
        <v>332.99</v>
      </c>
      <c r="AI39" s="3">
        <f>SUM(AG39:AH39)</f>
        <v>373545.11</v>
      </c>
      <c r="AK39" s="3">
        <v>343560.37</v>
      </c>
      <c r="AL39" s="3">
        <v>717.61</v>
      </c>
      <c r="AM39" s="3">
        <f t="shared" si="6"/>
        <v>344277.98</v>
      </c>
      <c r="AN39" s="1"/>
      <c r="AO39" s="107">
        <v>461209.98</v>
      </c>
      <c r="AP39" s="107">
        <v>878.05</v>
      </c>
      <c r="AQ39" s="3">
        <f>SUM(AO39:AP39)</f>
        <v>462088.02999999997</v>
      </c>
      <c r="AS39" s="3">
        <v>594861.99</v>
      </c>
      <c r="AT39" s="3">
        <v>1502.26</v>
      </c>
      <c r="AU39" s="3">
        <f>SUM(AS39:AT39)</f>
        <v>596364.25</v>
      </c>
      <c r="AW39" s="3">
        <v>496619.31</v>
      </c>
      <c r="AX39" s="3">
        <v>0</v>
      </c>
      <c r="AY39" s="3">
        <f>SUM(AW39:AX39)</f>
        <v>496619.31</v>
      </c>
      <c r="BA39" s="3">
        <v>420749.77</v>
      </c>
      <c r="BB39" s="3">
        <v>2689.71</v>
      </c>
      <c r="BC39" s="3">
        <f>SUM(BA39:BB39)</f>
        <v>423439.48000000004</v>
      </c>
      <c r="BE39" s="3">
        <v>363513.47</v>
      </c>
      <c r="BF39" s="3">
        <v>5214.67</v>
      </c>
      <c r="BG39" s="3">
        <f>SUM(BE39:BF39)</f>
        <v>368728.13999999996</v>
      </c>
      <c r="BI39" s="3">
        <v>414295.88</v>
      </c>
      <c r="BJ39" s="3">
        <v>107.63</v>
      </c>
      <c r="BK39" s="3">
        <f>SUM(BI39:BJ39)</f>
        <v>414403.51</v>
      </c>
      <c r="BM39" s="3">
        <v>261579.11</v>
      </c>
      <c r="BN39" s="3">
        <v>3251.49</v>
      </c>
      <c r="BO39" s="3">
        <f>SUM(BM39:BN39)</f>
        <v>264830.59999999998</v>
      </c>
      <c r="BQ39" s="3">
        <v>224718.87000000002</v>
      </c>
      <c r="BR39" s="3">
        <v>1623.86</v>
      </c>
      <c r="BS39" s="3">
        <f>SUM(BQ39:BR39)</f>
        <v>226342.73</v>
      </c>
      <c r="BU39" s="3">
        <v>663270.86</v>
      </c>
      <c r="BV39" s="3">
        <v>0</v>
      </c>
      <c r="BW39" s="3">
        <f>SUM(BU39:BV39)</f>
        <v>663270.86</v>
      </c>
      <c r="BY39" s="3">
        <v>180999.25</v>
      </c>
      <c r="BZ39" s="3">
        <v>16864.009999999998</v>
      </c>
      <c r="CA39" s="3">
        <f t="shared" si="7"/>
        <v>197863.26</v>
      </c>
    </row>
    <row r="40" spans="1:79">
      <c r="A40" s="1" t="s">
        <v>324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Q40" s="18"/>
      <c r="R40" s="18"/>
      <c r="S40" s="18"/>
      <c r="W40" s="18"/>
      <c r="Z40" s="19"/>
    </row>
    <row r="41" spans="1:79">
      <c r="A41" s="376" t="s">
        <v>348</v>
      </c>
      <c r="Z41" s="14"/>
    </row>
    <row r="42" spans="1:79">
      <c r="Q42" s="14"/>
      <c r="R42" s="14"/>
      <c r="S42" s="14"/>
      <c r="W42" s="14"/>
      <c r="Z42" s="14"/>
    </row>
    <row r="43" spans="1:79">
      <c r="Q43" s="14"/>
      <c r="R43" s="14"/>
      <c r="S43" s="14"/>
      <c r="W43" s="14"/>
      <c r="Z43" s="14"/>
    </row>
    <row r="44" spans="1:79">
      <c r="Q44" s="14"/>
      <c r="R44" s="14"/>
      <c r="S44" s="14"/>
      <c r="W44" s="14"/>
      <c r="Z44" s="14"/>
    </row>
    <row r="45" spans="1:79">
      <c r="Q45" s="14"/>
      <c r="R45" s="14"/>
      <c r="S45" s="14"/>
      <c r="W45" s="14"/>
      <c r="Z45" s="14"/>
    </row>
    <row r="46" spans="1:79">
      <c r="Q46" s="14"/>
      <c r="R46" s="14"/>
      <c r="S46" s="14"/>
      <c r="W46" s="14"/>
      <c r="Z46" s="14"/>
    </row>
    <row r="47" spans="1:79">
      <c r="Z47" s="14"/>
    </row>
    <row r="48" spans="1:79">
      <c r="Z48" s="14"/>
    </row>
    <row r="49" spans="26:26">
      <c r="Z49" s="14"/>
    </row>
    <row r="50" spans="26:26">
      <c r="Z50" s="14"/>
    </row>
    <row r="51" spans="26:26">
      <c r="Z51" s="14"/>
    </row>
    <row r="52" spans="26:26">
      <c r="Z52" s="14"/>
    </row>
    <row r="53" spans="26:26">
      <c r="Z53" s="14"/>
    </row>
  </sheetData>
  <sheetProtection password="CAF5" sheet="1" objects="1" scenarios="1"/>
  <mergeCells count="10">
    <mergeCell ref="BE6:BG6"/>
    <mergeCell ref="A1:M1"/>
    <mergeCell ref="BA6:BC6"/>
    <mergeCell ref="L7:M7"/>
    <mergeCell ref="AS6:AU6"/>
    <mergeCell ref="AW6:AY6"/>
    <mergeCell ref="A4:M4"/>
    <mergeCell ref="A3:M3"/>
    <mergeCell ref="AG6:AI6"/>
    <mergeCell ref="AK6:AM6"/>
  </mergeCells>
  <phoneticPr fontId="2" type="noConversion"/>
  <pageMargins left="0.56000000000000005" right="0.54" top="1" bottom="1" header="0.5" footer="0.5"/>
  <pageSetup scale="81" orientation="landscape" horizontalDpi="4294967292" verticalDpi="4294967292" r:id="rId1"/>
  <headerFooter scaleWithDoc="0" alignWithMargins="0">
    <oddFooter>&amp;L&amp;"Arial,Italic"&amp;10MSDE - LFRO  12 / 2014&amp;C&amp;"Arial,Regular"&amp;10- 13 -&amp;R&amp;"Arial,Italic"&amp;10Selected Financial Data - Part 4</oddFooter>
  </headerFooter>
  <rowBreaks count="1" manualBreakCount="1">
    <brk id="4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CA46"/>
  <sheetViews>
    <sheetView zoomScaleNormal="100" workbookViewId="0">
      <selection sqref="A1:M1"/>
    </sheetView>
  </sheetViews>
  <sheetFormatPr defaultColWidth="10" defaultRowHeight="12.75"/>
  <cols>
    <col min="1" max="1" width="12.875" style="1" customWidth="1"/>
    <col min="2" max="7" width="12.625" style="1" customWidth="1"/>
    <col min="8" max="8" width="11.375" style="1" customWidth="1"/>
    <col min="9" max="9" width="10.75" style="1" customWidth="1"/>
    <col min="10" max="11" width="11.125" style="1" customWidth="1"/>
    <col min="12" max="12" width="8.125" style="1" customWidth="1"/>
    <col min="13" max="13" width="8" style="1" bestFit="1" customWidth="1"/>
    <col min="14" max="14" width="9.375" style="1" bestFit="1" customWidth="1"/>
    <col min="15" max="19" width="10.125" style="1" customWidth="1"/>
    <col min="20" max="21" width="10.125" style="3" customWidth="1"/>
    <col min="22" max="22" width="9.375" style="1" bestFit="1" customWidth="1"/>
    <col min="23" max="24" width="10.625" style="1" customWidth="1"/>
    <col min="25" max="25" width="12.625" style="1" customWidth="1"/>
    <col min="26" max="26" width="10.875" style="3" bestFit="1" customWidth="1"/>
    <col min="27" max="29" width="10.875" style="3" customWidth="1"/>
    <col min="30" max="30" width="10.25" style="3" bestFit="1" customWidth="1"/>
    <col min="31" max="35" width="10.25" style="3" customWidth="1"/>
    <col min="36" max="36" width="7.5" style="3" customWidth="1"/>
    <col min="37" max="38" width="14" style="3" customWidth="1"/>
    <col min="39" max="39" width="8.875" style="3" bestFit="1" customWidth="1"/>
    <col min="40" max="40" width="7.5" style="3" customWidth="1"/>
    <col min="41" max="43" width="10.125" style="3" customWidth="1"/>
    <col min="44" max="44" width="3.625" style="3" customWidth="1"/>
    <col min="45" max="51" width="10.125" style="3" customWidth="1"/>
    <col min="52" max="52" width="2.5" style="3" customWidth="1"/>
    <col min="53" max="55" width="10" style="3" customWidth="1"/>
    <col min="56" max="56" width="3.5" style="3" customWidth="1"/>
    <col min="57" max="16384" width="10" style="3"/>
  </cols>
  <sheetData>
    <row r="1" spans="1:79" s="30" customFormat="1" ht="15.75" customHeight="1">
      <c r="A1" s="405" t="s">
        <v>97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29"/>
      <c r="O1" s="31"/>
      <c r="P1" s="31"/>
      <c r="Q1" s="31"/>
      <c r="V1" s="116"/>
      <c r="W1" s="116"/>
      <c r="X1" s="116"/>
      <c r="Y1" s="116"/>
    </row>
    <row r="2" spans="1:79" s="30" customForma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31"/>
      <c r="O2" s="31"/>
      <c r="P2" s="31"/>
      <c r="Q2" s="31"/>
      <c r="V2" s="116"/>
      <c r="W2" s="116"/>
      <c r="X2" s="116"/>
      <c r="Y2" s="116"/>
    </row>
    <row r="3" spans="1:79" s="30" customFormat="1">
      <c r="A3" s="405" t="s">
        <v>223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180"/>
      <c r="O3" s="181"/>
      <c r="P3" s="181"/>
      <c r="Q3" s="181"/>
      <c r="R3" s="181"/>
      <c r="S3" s="181"/>
      <c r="T3" s="181"/>
      <c r="V3" s="116"/>
      <c r="W3" s="116"/>
      <c r="X3" s="116"/>
      <c r="Y3" s="116"/>
    </row>
    <row r="4" spans="1:79">
      <c r="A4" s="405" t="s">
        <v>367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115"/>
      <c r="O4" s="199"/>
      <c r="P4" s="199"/>
      <c r="Q4" s="10"/>
      <c r="T4" s="1"/>
      <c r="U4" s="1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1"/>
    </row>
    <row r="5" spans="1:79" s="30" customFormat="1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V5" s="182"/>
      <c r="W5" s="33"/>
      <c r="X5" s="33"/>
      <c r="AG5" s="406" t="s">
        <v>340</v>
      </c>
      <c r="AH5" s="426"/>
      <c r="AI5" s="426"/>
      <c r="AK5" s="383" t="s">
        <v>357</v>
      </c>
      <c r="AL5" s="389"/>
      <c r="AM5" s="389"/>
      <c r="AO5" s="354" t="s">
        <v>203</v>
      </c>
      <c r="AP5" s="354"/>
      <c r="AQ5" s="354"/>
      <c r="AS5" s="426" t="s">
        <v>204</v>
      </c>
      <c r="AT5" s="426"/>
      <c r="AU5" s="426"/>
      <c r="AW5" s="426" t="s">
        <v>242</v>
      </c>
      <c r="AX5" s="426"/>
      <c r="AY5" s="426"/>
      <c r="BA5" s="426" t="s">
        <v>251</v>
      </c>
      <c r="BB5" s="426"/>
      <c r="BC5" s="426"/>
      <c r="BE5" s="426" t="s">
        <v>264</v>
      </c>
      <c r="BF5" s="426"/>
      <c r="BG5" s="426"/>
      <c r="BI5" s="406" t="s">
        <v>278</v>
      </c>
      <c r="BJ5" s="426"/>
      <c r="BK5" s="426"/>
      <c r="BM5" s="406" t="s">
        <v>290</v>
      </c>
      <c r="BN5" s="426"/>
      <c r="BO5" s="426"/>
      <c r="BQ5" s="406" t="s">
        <v>317</v>
      </c>
      <c r="BR5" s="426"/>
      <c r="BS5" s="426"/>
      <c r="BU5" s="406" t="s">
        <v>349</v>
      </c>
      <c r="BV5" s="426"/>
      <c r="BW5" s="426"/>
      <c r="BY5" s="406" t="s">
        <v>364</v>
      </c>
      <c r="BZ5" s="426"/>
      <c r="CA5" s="426"/>
    </row>
    <row r="6" spans="1:79" s="30" customFormat="1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5"/>
      <c r="AE6" s="7"/>
      <c r="AF6" s="7"/>
      <c r="AG6" s="183" t="s">
        <v>141</v>
      </c>
      <c r="AH6" s="183" t="s">
        <v>163</v>
      </c>
      <c r="AJ6" s="7"/>
      <c r="AK6" s="183" t="s">
        <v>141</v>
      </c>
      <c r="AL6" s="183" t="s">
        <v>163</v>
      </c>
      <c r="AN6" s="7"/>
      <c r="AO6" s="183" t="s">
        <v>141</v>
      </c>
      <c r="AP6" s="183" t="s">
        <v>163</v>
      </c>
      <c r="AS6" s="183" t="s">
        <v>141</v>
      </c>
      <c r="AT6" s="183" t="s">
        <v>163</v>
      </c>
      <c r="AW6" s="183" t="s">
        <v>141</v>
      </c>
      <c r="AX6" s="183" t="s">
        <v>163</v>
      </c>
      <c r="BA6" s="183" t="s">
        <v>141</v>
      </c>
      <c r="BB6" s="183" t="s">
        <v>163</v>
      </c>
      <c r="BE6" s="183" t="s">
        <v>141</v>
      </c>
      <c r="BF6" s="183" t="s">
        <v>163</v>
      </c>
      <c r="BI6" s="183" t="s">
        <v>141</v>
      </c>
      <c r="BJ6" s="183" t="s">
        <v>163</v>
      </c>
      <c r="BM6" s="183" t="s">
        <v>141</v>
      </c>
      <c r="BN6" s="183" t="s">
        <v>163</v>
      </c>
      <c r="BQ6" s="183" t="s">
        <v>141</v>
      </c>
      <c r="BR6" s="183" t="s">
        <v>163</v>
      </c>
      <c r="BU6" s="183" t="s">
        <v>141</v>
      </c>
      <c r="BV6" s="183" t="s">
        <v>163</v>
      </c>
      <c r="BY6" s="183" t="s">
        <v>141</v>
      </c>
      <c r="BZ6" s="183" t="s">
        <v>163</v>
      </c>
    </row>
    <row r="7" spans="1:79" s="30" customFormat="1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406" t="s">
        <v>34</v>
      </c>
      <c r="M7" s="406"/>
      <c r="O7" s="33"/>
      <c r="P7" s="33"/>
      <c r="Q7" s="33"/>
      <c r="R7" s="33"/>
      <c r="U7" s="33"/>
      <c r="V7" s="33"/>
      <c r="W7" s="33"/>
      <c r="X7" s="33"/>
      <c r="Y7" s="33"/>
      <c r="Z7" s="33"/>
      <c r="AA7" s="33"/>
      <c r="AD7" s="1"/>
      <c r="AE7" s="1"/>
      <c r="AF7" s="1"/>
      <c r="AG7" s="356" t="s">
        <v>136</v>
      </c>
      <c r="AH7" s="355"/>
      <c r="AJ7" s="1"/>
      <c r="AK7" s="394" t="s">
        <v>136</v>
      </c>
      <c r="AL7" s="393"/>
      <c r="AN7" s="1"/>
      <c r="AO7" s="356" t="s">
        <v>136</v>
      </c>
      <c r="AP7" s="355"/>
      <c r="AS7" s="39" t="s">
        <v>136</v>
      </c>
      <c r="AT7" s="29"/>
      <c r="AW7" s="39" t="s">
        <v>136</v>
      </c>
      <c r="AX7" s="29"/>
      <c r="BA7" s="39" t="s">
        <v>136</v>
      </c>
      <c r="BB7" s="29"/>
      <c r="BE7" s="39" t="s">
        <v>136</v>
      </c>
      <c r="BF7" s="29"/>
      <c r="BI7" s="39" t="s">
        <v>136</v>
      </c>
      <c r="BJ7" s="29"/>
      <c r="BM7" s="39" t="s">
        <v>136</v>
      </c>
      <c r="BN7" s="29"/>
      <c r="BQ7" s="310" t="s">
        <v>136</v>
      </c>
      <c r="BR7" s="309"/>
      <c r="BU7" s="361" t="s">
        <v>136</v>
      </c>
      <c r="BV7" s="360"/>
      <c r="BY7" s="394" t="s">
        <v>136</v>
      </c>
      <c r="BZ7" s="393"/>
    </row>
    <row r="8" spans="1:79" s="30" customForma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O8" s="33"/>
      <c r="P8" s="33"/>
      <c r="Q8" s="33"/>
      <c r="R8" s="33"/>
      <c r="U8" s="33"/>
      <c r="V8" s="33"/>
      <c r="W8" s="33"/>
      <c r="X8" s="33"/>
      <c r="Y8" s="33"/>
      <c r="Z8" s="33"/>
      <c r="AA8" s="33"/>
      <c r="AB8" s="33"/>
      <c r="AC8" s="33"/>
      <c r="AD8" s="7"/>
      <c r="AE8" s="7"/>
      <c r="AF8" s="7"/>
      <c r="AG8" s="356" t="s">
        <v>137</v>
      </c>
      <c r="AH8" s="356" t="s">
        <v>136</v>
      </c>
      <c r="AI8" s="103" t="s">
        <v>164</v>
      </c>
      <c r="AJ8" s="7"/>
      <c r="AK8" s="394" t="s">
        <v>137</v>
      </c>
      <c r="AL8" s="394" t="s">
        <v>136</v>
      </c>
      <c r="AM8" s="103" t="s">
        <v>164</v>
      </c>
      <c r="AN8" s="7"/>
      <c r="AO8" s="356" t="s">
        <v>137</v>
      </c>
      <c r="AP8" s="356" t="s">
        <v>136</v>
      </c>
      <c r="AQ8" s="103" t="s">
        <v>164</v>
      </c>
      <c r="AS8" s="39" t="s">
        <v>137</v>
      </c>
      <c r="AT8" s="39" t="s">
        <v>136</v>
      </c>
      <c r="AU8" s="103" t="s">
        <v>164</v>
      </c>
      <c r="AW8" s="39" t="s">
        <v>137</v>
      </c>
      <c r="AX8" s="39" t="s">
        <v>136</v>
      </c>
      <c r="AY8" s="103" t="s">
        <v>164</v>
      </c>
      <c r="BA8" s="39" t="s">
        <v>137</v>
      </c>
      <c r="BB8" s="39" t="s">
        <v>136</v>
      </c>
      <c r="BC8" s="103" t="s">
        <v>164</v>
      </c>
      <c r="BE8" s="39" t="s">
        <v>137</v>
      </c>
      <c r="BF8" s="39" t="s">
        <v>136</v>
      </c>
      <c r="BG8" s="103" t="s">
        <v>164</v>
      </c>
      <c r="BI8" s="39" t="s">
        <v>137</v>
      </c>
      <c r="BJ8" s="39" t="s">
        <v>136</v>
      </c>
      <c r="BK8" s="103" t="s">
        <v>164</v>
      </c>
      <c r="BM8" s="39" t="s">
        <v>137</v>
      </c>
      <c r="BN8" s="39" t="s">
        <v>136</v>
      </c>
      <c r="BO8" s="103" t="s">
        <v>164</v>
      </c>
      <c r="BQ8" s="310" t="s">
        <v>137</v>
      </c>
      <c r="BR8" s="310" t="s">
        <v>136</v>
      </c>
      <c r="BS8" s="103" t="s">
        <v>164</v>
      </c>
      <c r="BU8" s="361" t="s">
        <v>137</v>
      </c>
      <c r="BV8" s="361" t="s">
        <v>136</v>
      </c>
      <c r="BW8" s="103" t="s">
        <v>164</v>
      </c>
      <c r="BY8" s="394" t="s">
        <v>137</v>
      </c>
      <c r="BZ8" s="394" t="s">
        <v>136</v>
      </c>
      <c r="CA8" s="103" t="s">
        <v>164</v>
      </c>
    </row>
    <row r="9" spans="1:79" s="30" customFormat="1" ht="13.5" thickBot="1">
      <c r="A9" s="8" t="s">
        <v>1</v>
      </c>
      <c r="B9" s="397" t="s">
        <v>184</v>
      </c>
      <c r="C9" s="397" t="s">
        <v>194</v>
      </c>
      <c r="D9" s="397" t="s">
        <v>208</v>
      </c>
      <c r="E9" s="397" t="s">
        <v>243</v>
      </c>
      <c r="F9" s="397" t="s">
        <v>256</v>
      </c>
      <c r="G9" s="397" t="s">
        <v>269</v>
      </c>
      <c r="H9" s="397" t="s">
        <v>283</v>
      </c>
      <c r="I9" s="397" t="s">
        <v>303</v>
      </c>
      <c r="J9" s="397" t="s">
        <v>330</v>
      </c>
      <c r="K9" s="397" t="s">
        <v>360</v>
      </c>
      <c r="L9" s="9" t="s">
        <v>84</v>
      </c>
      <c r="M9" s="9" t="s">
        <v>84</v>
      </c>
      <c r="N9" s="40" t="s">
        <v>2</v>
      </c>
      <c r="O9" s="40" t="s">
        <v>35</v>
      </c>
      <c r="P9" s="40" t="s">
        <v>36</v>
      </c>
      <c r="Q9" s="40" t="s">
        <v>37</v>
      </c>
      <c r="R9" s="40" t="s">
        <v>38</v>
      </c>
      <c r="S9" s="40" t="s">
        <v>39</v>
      </c>
      <c r="T9" s="40" t="s">
        <v>40</v>
      </c>
      <c r="U9" s="40" t="s">
        <v>4</v>
      </c>
      <c r="V9" s="40" t="s">
        <v>47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08" t="s">
        <v>105</v>
      </c>
      <c r="AE9" s="352" t="s">
        <v>161</v>
      </c>
      <c r="AF9" s="387" t="s">
        <v>168</v>
      </c>
      <c r="AG9" s="353" t="s">
        <v>138</v>
      </c>
      <c r="AH9" s="353" t="s">
        <v>139</v>
      </c>
      <c r="AI9" s="211" t="s">
        <v>112</v>
      </c>
      <c r="AJ9" s="308"/>
      <c r="AK9" s="388" t="s">
        <v>138</v>
      </c>
      <c r="AL9" s="388" t="s">
        <v>139</v>
      </c>
      <c r="AM9" s="211" t="s">
        <v>112</v>
      </c>
      <c r="AN9" s="387"/>
      <c r="AO9" s="353" t="s">
        <v>138</v>
      </c>
      <c r="AP9" s="353" t="s">
        <v>139</v>
      </c>
      <c r="AQ9" s="211" t="s">
        <v>112</v>
      </c>
      <c r="AS9" s="40" t="s">
        <v>138</v>
      </c>
      <c r="AT9" s="40" t="s">
        <v>139</v>
      </c>
      <c r="AU9" s="211" t="s">
        <v>112</v>
      </c>
      <c r="AW9" s="40" t="s">
        <v>138</v>
      </c>
      <c r="AX9" s="40" t="s">
        <v>139</v>
      </c>
      <c r="AY9" s="211" t="s">
        <v>112</v>
      </c>
      <c r="BA9" s="40" t="s">
        <v>138</v>
      </c>
      <c r="BB9" s="40" t="s">
        <v>139</v>
      </c>
      <c r="BC9" s="211" t="s">
        <v>112</v>
      </c>
      <c r="BE9" s="40" t="s">
        <v>138</v>
      </c>
      <c r="BF9" s="40" t="s">
        <v>139</v>
      </c>
      <c r="BG9" s="211" t="s">
        <v>112</v>
      </c>
      <c r="BI9" s="40" t="s">
        <v>138</v>
      </c>
      <c r="BJ9" s="40" t="s">
        <v>139</v>
      </c>
      <c r="BK9" s="211" t="s">
        <v>112</v>
      </c>
      <c r="BM9" s="40" t="s">
        <v>138</v>
      </c>
      <c r="BN9" s="40" t="s">
        <v>139</v>
      </c>
      <c r="BO9" s="211" t="s">
        <v>112</v>
      </c>
      <c r="BQ9" s="307" t="s">
        <v>138</v>
      </c>
      <c r="BR9" s="307" t="s">
        <v>139</v>
      </c>
      <c r="BS9" s="211" t="s">
        <v>112</v>
      </c>
      <c r="BU9" s="359" t="s">
        <v>138</v>
      </c>
      <c r="BV9" s="359" t="s">
        <v>139</v>
      </c>
      <c r="BW9" s="211" t="s">
        <v>112</v>
      </c>
      <c r="BY9" s="388" t="s">
        <v>138</v>
      </c>
      <c r="BZ9" s="388" t="s">
        <v>139</v>
      </c>
      <c r="CA9" s="211" t="s">
        <v>112</v>
      </c>
    </row>
    <row r="10" spans="1:79" s="30" customFormat="1">
      <c r="A10" s="7" t="s">
        <v>5</v>
      </c>
      <c r="B10" s="11">
        <f t="shared" ref="B10:E10" si="0">SUM(B12:B39)</f>
        <v>10931459</v>
      </c>
      <c r="C10" s="11">
        <f t="shared" si="0"/>
        <v>13729586</v>
      </c>
      <c r="D10" s="11">
        <f t="shared" si="0"/>
        <v>20428888.430000003</v>
      </c>
      <c r="E10" s="11">
        <f t="shared" si="0"/>
        <v>19864379.630000003</v>
      </c>
      <c r="F10" s="11">
        <f t="shared" ref="F10:K10" si="1">SUM(F12:F39)</f>
        <v>19723031.32</v>
      </c>
      <c r="G10" s="11">
        <f t="shared" si="1"/>
        <v>13144701.239999998</v>
      </c>
      <c r="H10" s="11">
        <f t="shared" si="1"/>
        <v>12164696.239999996</v>
      </c>
      <c r="I10" s="11">
        <f t="shared" si="1"/>
        <v>10475069.799999997</v>
      </c>
      <c r="J10" s="11">
        <f t="shared" si="1"/>
        <v>10938550.020000001</v>
      </c>
      <c r="K10" s="11">
        <f t="shared" si="1"/>
        <v>10420278.049999999</v>
      </c>
      <c r="L10" s="239">
        <f>(K10-J10)*100/J10</f>
        <v>-4.7380317231479134</v>
      </c>
      <c r="M10" s="239">
        <f>(K10-AF10)*100/AF10</f>
        <v>-32.42597779048625</v>
      </c>
      <c r="N10" s="35">
        <f t="shared" ref="N10:T10" si="2">SUM(N12:N39)</f>
        <v>4413633</v>
      </c>
      <c r="O10" s="35">
        <f t="shared" si="2"/>
        <v>5627928</v>
      </c>
      <c r="P10" s="35">
        <f t="shared" si="2"/>
        <v>6113711</v>
      </c>
      <c r="Q10" s="35">
        <f t="shared" si="2"/>
        <v>7223239</v>
      </c>
      <c r="R10" s="35">
        <f t="shared" si="2"/>
        <v>8226951</v>
      </c>
      <c r="S10" s="35">
        <f t="shared" si="2"/>
        <v>8443005</v>
      </c>
      <c r="T10" s="35">
        <f t="shared" si="2"/>
        <v>7208281</v>
      </c>
      <c r="U10" s="35">
        <f t="shared" ref="U10:Z10" si="3">SUM(U12:U39)</f>
        <v>6520003</v>
      </c>
      <c r="V10" s="35">
        <f t="shared" si="3"/>
        <v>9685458</v>
      </c>
      <c r="W10" s="35">
        <f t="shared" si="3"/>
        <v>8328978</v>
      </c>
      <c r="X10" s="35">
        <f t="shared" si="3"/>
        <v>9451871</v>
      </c>
      <c r="Y10" s="35">
        <f t="shared" si="3"/>
        <v>9460835</v>
      </c>
      <c r="Z10" s="35">
        <f t="shared" si="3"/>
        <v>9368893</v>
      </c>
      <c r="AA10" s="35">
        <f>SUM(AA12:AA39)</f>
        <v>8691258</v>
      </c>
      <c r="AB10" s="35">
        <f>SUM(AB12:AB39)</f>
        <v>12578981</v>
      </c>
      <c r="AC10" s="35">
        <f>SUM(AC12:AC39)</f>
        <v>17957929</v>
      </c>
      <c r="AD10" s="11">
        <f t="shared" ref="AD10:AF10" si="4">SUM(AD12:AD39)</f>
        <v>24167347</v>
      </c>
      <c r="AE10" s="11">
        <f t="shared" si="4"/>
        <v>14445570.33</v>
      </c>
      <c r="AF10" s="11">
        <f t="shared" si="4"/>
        <v>15420538.41</v>
      </c>
      <c r="AG10" s="104">
        <f>SUM(AG12:AG39)</f>
        <v>14341951.319999998</v>
      </c>
      <c r="AH10" s="104">
        <f>SUM(AH12:AH39)</f>
        <v>103619.01000000001</v>
      </c>
      <c r="AI10" s="30">
        <f>SUM(AG10:AH10)</f>
        <v>14445570.329999998</v>
      </c>
      <c r="AK10" s="399">
        <f>SUM(AK12:AK39)</f>
        <v>15351970.18</v>
      </c>
      <c r="AL10" s="399">
        <f>SUM(AL12:AL39)</f>
        <v>68568.23</v>
      </c>
      <c r="AM10" s="30">
        <f>SUM(AK10:AL10)</f>
        <v>15420538.41</v>
      </c>
      <c r="AN10" s="11"/>
      <c r="AO10" s="104">
        <f>SUM(AO12:AO39)</f>
        <v>10810258.990000002</v>
      </c>
      <c r="AP10" s="104">
        <f>SUM(AP12:AP39)</f>
        <v>121200.00999999998</v>
      </c>
      <c r="AQ10" s="30">
        <f>SUM(AO10:AP10)</f>
        <v>10931459.000000002</v>
      </c>
      <c r="AS10" s="104">
        <f>SUM(AS12:AS39)</f>
        <v>13686920.67</v>
      </c>
      <c r="AT10" s="104">
        <f>SUM(AT12:AT39)</f>
        <v>42665.33</v>
      </c>
      <c r="AU10" s="30">
        <f>SUM(AS10:AT10)</f>
        <v>13729586</v>
      </c>
      <c r="AW10" s="104">
        <f>SUM(AW12:AW39)</f>
        <v>20384570</v>
      </c>
      <c r="AX10" s="104">
        <f>SUM(AX12:AX39)</f>
        <v>44318.43</v>
      </c>
      <c r="AY10" s="104">
        <f>SUM(AY12:AY39)</f>
        <v>20428888.430000003</v>
      </c>
      <c r="BA10" s="104">
        <f>SUM(BA12:BA39)</f>
        <v>19822218.010000005</v>
      </c>
      <c r="BB10" s="104">
        <f>SUM(BB12:BB39)</f>
        <v>42161.619999999995</v>
      </c>
      <c r="BC10" s="104">
        <f>SUM(BC12:BC39)</f>
        <v>19864379.630000003</v>
      </c>
      <c r="BE10" s="104">
        <f>SUM(BE12:BE39)</f>
        <v>19153940.57</v>
      </c>
      <c r="BF10" s="104">
        <f>SUM(BF12:BF39)</f>
        <v>569090.75</v>
      </c>
      <c r="BG10" s="104">
        <f>SUM(BG12:BG39)</f>
        <v>19723031.32</v>
      </c>
      <c r="BI10" s="104">
        <f>SUM(BI12:BI39)</f>
        <v>13001729.389999999</v>
      </c>
      <c r="BJ10" s="104">
        <f>SUM(BJ12:BJ39)</f>
        <v>142971.85</v>
      </c>
      <c r="BK10" s="104">
        <f>SUM(BK12:BK39)</f>
        <v>13144701.239999998</v>
      </c>
      <c r="BM10" s="104">
        <f>SUM(BM12:BM39)</f>
        <v>12090597.299999997</v>
      </c>
      <c r="BN10" s="104">
        <f>SUM(BN12:BN39)</f>
        <v>74098.94</v>
      </c>
      <c r="BO10" s="104">
        <f>SUM(BO12:BO39)</f>
        <v>12164696.239999996</v>
      </c>
      <c r="BQ10" s="104">
        <f>SUM(BQ12:BQ39)</f>
        <v>10420151.179999996</v>
      </c>
      <c r="BR10" s="104">
        <f>SUM(BR12:BR39)</f>
        <v>54918.62</v>
      </c>
      <c r="BS10" s="104">
        <f>SUM(BS12:BS39)</f>
        <v>10475069.799999997</v>
      </c>
      <c r="BU10" s="104">
        <f>SUM(BU12:BU39)</f>
        <v>10255465.229999997</v>
      </c>
      <c r="BV10" s="104">
        <f>SUM(BV12:BV39)</f>
        <v>683084.79</v>
      </c>
      <c r="BW10" s="104">
        <f>SUM(BW12:BW39)</f>
        <v>10938550.020000001</v>
      </c>
      <c r="BY10" s="30">
        <f>SUM(BY12:BY39)</f>
        <v>10372794.879999999</v>
      </c>
      <c r="BZ10" s="30">
        <f t="shared" ref="BZ10:CA10" si="5">SUM(BZ12:BZ39)</f>
        <v>47483.170000000006</v>
      </c>
      <c r="CA10" s="30">
        <f t="shared" si="5"/>
        <v>10420278.049999999</v>
      </c>
    </row>
    <row r="11" spans="1:79" s="30" customForma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4"/>
      <c r="O11" s="36"/>
      <c r="R11" s="36"/>
      <c r="S11" s="36"/>
      <c r="Y11" s="36"/>
      <c r="Z11" s="36"/>
      <c r="AD11" s="1"/>
      <c r="AE11" s="1"/>
      <c r="AF11" s="1"/>
      <c r="AG11" s="105"/>
      <c r="AH11" s="33"/>
      <c r="AJ11" s="1"/>
      <c r="AK11" s="1"/>
      <c r="AL11" s="1"/>
      <c r="AM11" s="1"/>
      <c r="AN11" s="1"/>
      <c r="AO11" s="105"/>
      <c r="AP11" s="33"/>
    </row>
    <row r="12" spans="1:79" s="30" customFormat="1">
      <c r="A12" s="1" t="s">
        <v>6</v>
      </c>
      <c r="B12" s="1">
        <v>52424</v>
      </c>
      <c r="C12" s="1">
        <v>13997</v>
      </c>
      <c r="D12" s="1">
        <v>87525.45</v>
      </c>
      <c r="E12" s="1">
        <v>86009.87</v>
      </c>
      <c r="F12" s="1">
        <v>301951.23</v>
      </c>
      <c r="G12" s="1">
        <v>855394.03</v>
      </c>
      <c r="H12" s="1">
        <v>110293.26</v>
      </c>
      <c r="I12" s="1">
        <v>109537.05</v>
      </c>
      <c r="J12" s="1">
        <v>109861.08</v>
      </c>
      <c r="K12" s="1">
        <v>109796.5</v>
      </c>
      <c r="L12" s="239">
        <f>(K12-J12)*100/J12</f>
        <v>-5.8783328909566286E-2</v>
      </c>
      <c r="M12" s="239">
        <f>(K12-AF12)*100/AF12</f>
        <v>122.84217258154243</v>
      </c>
      <c r="N12" s="36">
        <v>62283</v>
      </c>
      <c r="O12" s="36">
        <v>138205</v>
      </c>
      <c r="P12" s="36">
        <v>144714</v>
      </c>
      <c r="Q12" s="184">
        <v>296281</v>
      </c>
      <c r="R12" s="184">
        <v>214777</v>
      </c>
      <c r="S12" s="184">
        <v>131083</v>
      </c>
      <c r="T12" s="184">
        <v>79788</v>
      </c>
      <c r="U12" s="184">
        <v>76552</v>
      </c>
      <c r="V12" s="184">
        <v>50022</v>
      </c>
      <c r="W12" s="184">
        <v>38928</v>
      </c>
      <c r="X12" s="36">
        <v>39690</v>
      </c>
      <c r="Y12" s="36">
        <v>34327</v>
      </c>
      <c r="Z12" s="36">
        <v>36306</v>
      </c>
      <c r="AA12" s="80">
        <v>14526</v>
      </c>
      <c r="AB12" s="30">
        <v>4798</v>
      </c>
      <c r="AC12" s="30">
        <v>3460</v>
      </c>
      <c r="AD12" s="1">
        <v>234399</v>
      </c>
      <c r="AE12" s="1">
        <v>50448.81</v>
      </c>
      <c r="AF12" s="1">
        <v>49270.97</v>
      </c>
      <c r="AG12" s="160">
        <v>50448.81</v>
      </c>
      <c r="AH12" s="128">
        <v>0</v>
      </c>
      <c r="AI12" s="30">
        <f>SUM(AG12:AH12)</f>
        <v>50448.81</v>
      </c>
      <c r="AJ12" s="1"/>
      <c r="AK12" s="1">
        <v>49270.97</v>
      </c>
      <c r="AL12" s="1">
        <v>0</v>
      </c>
      <c r="AM12" s="1">
        <f>SUM(AK12:AL12)</f>
        <v>49270.97</v>
      </c>
      <c r="AN12" s="1"/>
      <c r="AO12" s="158">
        <v>52423.56</v>
      </c>
      <c r="AP12" s="92">
        <v>0</v>
      </c>
      <c r="AQ12" s="30">
        <f>SUM(AO12:AP12)</f>
        <v>52423.56</v>
      </c>
      <c r="AS12" s="30">
        <v>13997</v>
      </c>
      <c r="AT12" s="30">
        <v>0</v>
      </c>
      <c r="AU12" s="30">
        <f>SUM(AS12:AT12)</f>
        <v>13997</v>
      </c>
      <c r="AW12" s="30">
        <v>87525.45</v>
      </c>
      <c r="AX12" s="30">
        <v>0</v>
      </c>
      <c r="AY12" s="30">
        <f>SUM(AW12:AX12)</f>
        <v>87525.45</v>
      </c>
      <c r="BA12" s="158">
        <v>86009.87</v>
      </c>
      <c r="BB12" s="30">
        <v>0</v>
      </c>
      <c r="BC12" s="30">
        <f>SUM(BA12:BB12)</f>
        <v>86009.87</v>
      </c>
      <c r="BE12" s="158">
        <v>301951.23</v>
      </c>
      <c r="BF12" s="30">
        <v>0</v>
      </c>
      <c r="BG12" s="30">
        <f>SUM(BE12:BF12)</f>
        <v>301951.23</v>
      </c>
      <c r="BI12" s="158">
        <v>855394.03</v>
      </c>
      <c r="BJ12" s="30">
        <v>0</v>
      </c>
      <c r="BK12" s="30">
        <f>SUM(BI12:BJ12)</f>
        <v>855394.03</v>
      </c>
      <c r="BM12" s="30">
        <v>110293.26</v>
      </c>
      <c r="BN12" s="30">
        <v>0</v>
      </c>
      <c r="BO12" s="30">
        <f>SUM(BM12:BN12)</f>
        <v>110293.26</v>
      </c>
      <c r="BQ12" s="160">
        <v>109537.05</v>
      </c>
      <c r="BR12" s="128">
        <v>0</v>
      </c>
      <c r="BS12" s="30">
        <f>SUM(BQ12:BR12)</f>
        <v>109537.05</v>
      </c>
      <c r="BU12" s="160">
        <v>109861.08</v>
      </c>
      <c r="BV12" s="128">
        <v>0</v>
      </c>
      <c r="BW12" s="30">
        <f>SUM(BU12:BV12)</f>
        <v>109861.08</v>
      </c>
      <c r="BY12" s="30">
        <v>109796.5</v>
      </c>
      <c r="BZ12" s="30">
        <v>0</v>
      </c>
      <c r="CA12" s="30">
        <f>SUM(BY12:BZ12)</f>
        <v>109796.5</v>
      </c>
    </row>
    <row r="13" spans="1:79" s="30" customFormat="1">
      <c r="A13" s="1" t="s">
        <v>7</v>
      </c>
      <c r="B13" s="1">
        <v>1084351</v>
      </c>
      <c r="C13" s="1">
        <v>928302</v>
      </c>
      <c r="D13" s="1">
        <v>942065.9</v>
      </c>
      <c r="E13" s="1">
        <v>1557708.08</v>
      </c>
      <c r="F13" s="1">
        <v>1359567.51</v>
      </c>
      <c r="G13" s="1">
        <v>781635.1</v>
      </c>
      <c r="H13" s="1">
        <v>799179.08</v>
      </c>
      <c r="I13" s="1">
        <v>824319.59</v>
      </c>
      <c r="J13" s="1">
        <v>1404005.08</v>
      </c>
      <c r="K13" s="1">
        <v>1003400.77</v>
      </c>
      <c r="L13" s="239">
        <f>(K13-J13)*100/J13</f>
        <v>-28.532967273879098</v>
      </c>
      <c r="M13" s="239">
        <f t="shared" ref="M13:M39" si="6">(K13-AF13)*100/AF13</f>
        <v>-27.767682010112281</v>
      </c>
      <c r="N13" s="36">
        <v>466218</v>
      </c>
      <c r="O13" s="36">
        <v>490719</v>
      </c>
      <c r="P13" s="36">
        <v>530971</v>
      </c>
      <c r="Q13" s="184">
        <v>613527</v>
      </c>
      <c r="R13" s="184">
        <v>644514</v>
      </c>
      <c r="S13" s="184">
        <v>637725</v>
      </c>
      <c r="T13" s="184">
        <v>416195</v>
      </c>
      <c r="U13" s="184">
        <v>442113</v>
      </c>
      <c r="V13" s="184">
        <v>387552</v>
      </c>
      <c r="W13" s="184">
        <v>437794</v>
      </c>
      <c r="X13" s="36">
        <v>438135</v>
      </c>
      <c r="Y13" s="36">
        <v>566181</v>
      </c>
      <c r="Z13" s="36">
        <v>501752</v>
      </c>
      <c r="AA13" s="80">
        <v>674883</v>
      </c>
      <c r="AB13" s="30">
        <v>487202</v>
      </c>
      <c r="AC13" s="30">
        <v>1129721</v>
      </c>
      <c r="AD13" s="1">
        <v>1099866</v>
      </c>
      <c r="AE13" s="1">
        <v>937850.38</v>
      </c>
      <c r="AF13" s="1">
        <v>1389129.96</v>
      </c>
      <c r="AG13" s="160">
        <v>937850.38</v>
      </c>
      <c r="AH13" s="128">
        <v>0</v>
      </c>
      <c r="AI13" s="30">
        <f>SUM(AG13:AH13)</f>
        <v>937850.38</v>
      </c>
      <c r="AJ13" s="1"/>
      <c r="AK13" s="1">
        <v>1389129.96</v>
      </c>
      <c r="AL13" s="1">
        <v>0</v>
      </c>
      <c r="AM13" s="1">
        <f t="shared" ref="AM13:AM39" si="7">SUM(AK13:AL13)</f>
        <v>1389129.96</v>
      </c>
      <c r="AN13" s="1"/>
      <c r="AO13" s="158">
        <v>1084350.5</v>
      </c>
      <c r="AP13" s="92">
        <v>0</v>
      </c>
      <c r="AQ13" s="30">
        <f>SUM(AO13:AP13)</f>
        <v>1084350.5</v>
      </c>
      <c r="AS13" s="30">
        <v>928301.56</v>
      </c>
      <c r="AT13" s="30">
        <v>0</v>
      </c>
      <c r="AU13" s="30">
        <f>SUM(AS13:AT13)</f>
        <v>928301.56</v>
      </c>
      <c r="AW13" s="30">
        <v>942065.9</v>
      </c>
      <c r="AX13" s="30">
        <v>0</v>
      </c>
      <c r="AY13" s="30">
        <f>SUM(AW13:AX13)</f>
        <v>942065.9</v>
      </c>
      <c r="BA13" s="158">
        <v>1557708.08</v>
      </c>
      <c r="BB13" s="30">
        <v>0</v>
      </c>
      <c r="BC13" s="30">
        <f>SUM(BA13:BB13)</f>
        <v>1557708.08</v>
      </c>
      <c r="BE13" s="158">
        <v>841992.45</v>
      </c>
      <c r="BF13" s="30">
        <v>517575.06</v>
      </c>
      <c r="BG13" s="30">
        <f>SUM(BE13:BF13)</f>
        <v>1359567.51</v>
      </c>
      <c r="BI13" s="158">
        <v>781635.1</v>
      </c>
      <c r="BJ13" s="30">
        <v>0</v>
      </c>
      <c r="BK13" s="30">
        <f>SUM(BI13:BJ13)</f>
        <v>781635.1</v>
      </c>
      <c r="BM13" s="30">
        <v>799179.08</v>
      </c>
      <c r="BN13" s="30">
        <v>0</v>
      </c>
      <c r="BO13" s="30">
        <f>SUM(BM13:BN13)</f>
        <v>799179.08</v>
      </c>
      <c r="BQ13" s="160">
        <v>824319.59</v>
      </c>
      <c r="BR13" s="128">
        <v>0</v>
      </c>
      <c r="BS13" s="30">
        <f>SUM(BQ13:BR13)</f>
        <v>824319.59</v>
      </c>
      <c r="BU13" s="160">
        <v>758190.53</v>
      </c>
      <c r="BV13" s="128">
        <v>645814.55000000005</v>
      </c>
      <c r="BW13" s="30">
        <f>SUM(BU13:BV13)</f>
        <v>1404005.08</v>
      </c>
      <c r="BY13" s="30">
        <v>1003400.77</v>
      </c>
      <c r="BZ13" s="30">
        <v>0</v>
      </c>
      <c r="CA13" s="30">
        <f t="shared" ref="CA13:CA39" si="8">SUM(BY13:BZ13)</f>
        <v>1003400.77</v>
      </c>
    </row>
    <row r="14" spans="1:79" s="30" customFormat="1">
      <c r="A14" s="1" t="s">
        <v>8</v>
      </c>
      <c r="B14" s="1">
        <v>455495</v>
      </c>
      <c r="C14" s="1">
        <v>0</v>
      </c>
      <c r="D14" s="120">
        <v>2693</v>
      </c>
      <c r="E14" s="1">
        <v>18245.009999999998</v>
      </c>
      <c r="F14" s="1">
        <v>273032.84000000003</v>
      </c>
      <c r="G14" s="1">
        <v>63613.62</v>
      </c>
      <c r="H14" s="1">
        <v>27259.020000000004</v>
      </c>
      <c r="I14" s="1">
        <v>252606.12</v>
      </c>
      <c r="J14" s="1">
        <v>88797.11</v>
      </c>
      <c r="K14" s="1">
        <v>21646.61</v>
      </c>
      <c r="L14" s="239">
        <f>(K14-J14)*100/J14</f>
        <v>-75.62239356663747</v>
      </c>
      <c r="M14" s="239">
        <f t="shared" si="6"/>
        <v>-76.55870829842307</v>
      </c>
      <c r="N14" s="36">
        <v>321099</v>
      </c>
      <c r="O14" s="36">
        <v>359959</v>
      </c>
      <c r="P14" s="36">
        <v>270981</v>
      </c>
      <c r="Q14" s="184">
        <v>293488</v>
      </c>
      <c r="R14" s="184">
        <v>183413</v>
      </c>
      <c r="S14" s="184">
        <v>311511</v>
      </c>
      <c r="T14" s="184">
        <v>449506</v>
      </c>
      <c r="U14" s="184">
        <v>278445</v>
      </c>
      <c r="V14" s="184">
        <v>507837</v>
      </c>
      <c r="W14" s="184">
        <v>114560</v>
      </c>
      <c r="X14" s="36">
        <v>444093</v>
      </c>
      <c r="Y14" s="36">
        <v>122719</v>
      </c>
      <c r="Z14" s="36">
        <v>377402</v>
      </c>
      <c r="AA14" s="80">
        <v>449107</v>
      </c>
      <c r="AB14" s="30">
        <v>903955</v>
      </c>
      <c r="AC14" s="30">
        <v>3486044</v>
      </c>
      <c r="AD14" s="1">
        <v>327806</v>
      </c>
      <c r="AE14" s="1">
        <v>201570.03</v>
      </c>
      <c r="AF14" s="1">
        <v>92343.93</v>
      </c>
      <c r="AG14" s="160">
        <v>156197</v>
      </c>
      <c r="AH14" s="128">
        <v>45373.03</v>
      </c>
      <c r="AI14" s="30">
        <f>SUM(AG14:AH14)</f>
        <v>201570.03</v>
      </c>
      <c r="AJ14" s="1"/>
      <c r="AK14" s="1">
        <v>76905</v>
      </c>
      <c r="AL14" s="1">
        <v>15438.93</v>
      </c>
      <c r="AM14" s="1">
        <f t="shared" si="7"/>
        <v>92343.93</v>
      </c>
      <c r="AN14" s="1"/>
      <c r="AO14" s="158">
        <v>380390</v>
      </c>
      <c r="AP14" s="92">
        <v>75104.679999999993</v>
      </c>
      <c r="AQ14" s="30">
        <f>SUM(AO14:AP14)</f>
        <v>455494.68</v>
      </c>
      <c r="AS14" s="30">
        <v>0</v>
      </c>
      <c r="AT14" s="30">
        <v>0</v>
      </c>
      <c r="AU14" s="30">
        <f>SUM(AS14:AT14)</f>
        <v>0</v>
      </c>
      <c r="AW14" s="30">
        <v>0</v>
      </c>
      <c r="AX14" s="30">
        <v>2693</v>
      </c>
      <c r="AY14" s="30">
        <f>SUM(AW14:AX14)</f>
        <v>2693</v>
      </c>
      <c r="BA14" s="158">
        <v>18245.009999999998</v>
      </c>
      <c r="BB14" s="30">
        <v>0</v>
      </c>
      <c r="BC14" s="30">
        <f>SUM(BA14:BB14)</f>
        <v>18245.009999999998</v>
      </c>
      <c r="BE14" s="158">
        <v>273032.84000000003</v>
      </c>
      <c r="BF14" s="30">
        <v>0</v>
      </c>
      <c r="BG14" s="30">
        <f>SUM(BE14:BF14)</f>
        <v>273032.84000000003</v>
      </c>
      <c r="BI14" s="158">
        <v>63613.62</v>
      </c>
      <c r="BJ14" s="30">
        <v>0</v>
      </c>
      <c r="BK14" s="30">
        <f>SUM(BI14:BJ14)</f>
        <v>63613.62</v>
      </c>
      <c r="BM14" s="30">
        <v>13005.170000000002</v>
      </c>
      <c r="BN14" s="30">
        <v>14253.85</v>
      </c>
      <c r="BO14" s="30">
        <f>SUM(BM14:BN14)</f>
        <v>27259.020000000004</v>
      </c>
      <c r="BQ14" s="160">
        <v>246966.33</v>
      </c>
      <c r="BR14" s="128">
        <v>5639.79</v>
      </c>
      <c r="BS14" s="30">
        <f>SUM(BQ14:BR14)</f>
        <v>252606.12</v>
      </c>
      <c r="BU14" s="160">
        <v>82624.399999999994</v>
      </c>
      <c r="BV14" s="128">
        <v>6172.71</v>
      </c>
      <c r="BW14" s="30">
        <f>SUM(BU14:BV14)</f>
        <v>88797.11</v>
      </c>
      <c r="BY14" s="30">
        <v>14958.06</v>
      </c>
      <c r="BZ14" s="30">
        <v>6688.55</v>
      </c>
      <c r="CA14" s="30">
        <f t="shared" si="8"/>
        <v>21646.61</v>
      </c>
    </row>
    <row r="15" spans="1:79" s="30" customFormat="1">
      <c r="A15" s="1" t="s">
        <v>9</v>
      </c>
      <c r="B15" s="1">
        <v>2229953</v>
      </c>
      <c r="C15" s="1">
        <v>2179497</v>
      </c>
      <c r="D15" s="1">
        <v>3825573.31</v>
      </c>
      <c r="E15" s="1">
        <v>1554740.55</v>
      </c>
      <c r="F15" s="1">
        <v>2048451.8</v>
      </c>
      <c r="G15" s="1">
        <v>1875881</v>
      </c>
      <c r="H15" s="1">
        <v>2196807</v>
      </c>
      <c r="I15" s="1">
        <v>1884332</v>
      </c>
      <c r="J15" s="1">
        <v>1780380</v>
      </c>
      <c r="K15" s="1">
        <v>1852621</v>
      </c>
      <c r="L15" s="239">
        <f>(K15-J15)*100/J15</f>
        <v>4.0576169132432405</v>
      </c>
      <c r="M15" s="239">
        <f t="shared" si="6"/>
        <v>-15.312491376094833</v>
      </c>
      <c r="N15" s="36">
        <v>205317</v>
      </c>
      <c r="O15" s="36">
        <v>492756</v>
      </c>
      <c r="P15" s="36">
        <v>556216</v>
      </c>
      <c r="Q15" s="184">
        <v>949437</v>
      </c>
      <c r="R15" s="184">
        <v>626812</v>
      </c>
      <c r="S15" s="184">
        <v>596915</v>
      </c>
      <c r="T15" s="184">
        <v>513842</v>
      </c>
      <c r="U15" s="184">
        <v>292973</v>
      </c>
      <c r="V15" s="184">
        <v>494486</v>
      </c>
      <c r="W15" s="184">
        <v>144266</v>
      </c>
      <c r="X15" s="36">
        <v>117513</v>
      </c>
      <c r="Y15" s="36">
        <v>102214</v>
      </c>
      <c r="Z15" s="36">
        <v>193539</v>
      </c>
      <c r="AA15" s="80">
        <v>396253</v>
      </c>
      <c r="AB15" s="30">
        <v>1314080</v>
      </c>
      <c r="AC15" s="30">
        <v>1233158</v>
      </c>
      <c r="AD15" s="1">
        <v>11678704</v>
      </c>
      <c r="AE15" s="1">
        <v>2210776.7200000002</v>
      </c>
      <c r="AF15" s="1">
        <v>2187596.5299999998</v>
      </c>
      <c r="AG15" s="160">
        <v>2210776.7200000002</v>
      </c>
      <c r="AH15" s="128">
        <v>0</v>
      </c>
      <c r="AI15" s="30">
        <f>SUM(AG15:AH15)</f>
        <v>2210776.7200000002</v>
      </c>
      <c r="AJ15" s="1"/>
      <c r="AK15" s="1">
        <v>2184973.52</v>
      </c>
      <c r="AL15" s="1">
        <v>2623.01</v>
      </c>
      <c r="AM15" s="1">
        <f t="shared" si="7"/>
        <v>2187596.5299999998</v>
      </c>
      <c r="AN15" s="1"/>
      <c r="AO15" s="158">
        <v>2226436.63</v>
      </c>
      <c r="AP15" s="92">
        <v>3516.84</v>
      </c>
      <c r="AQ15" s="30">
        <f>SUM(AO15:AP15)</f>
        <v>2229953.4699999997</v>
      </c>
      <c r="AS15" s="30">
        <v>2179222.6</v>
      </c>
      <c r="AT15" s="30">
        <v>274.39999999999998</v>
      </c>
      <c r="AU15" s="30">
        <f>SUM(AS15:AT15)</f>
        <v>2179497</v>
      </c>
      <c r="AW15" s="30">
        <v>3825573.31</v>
      </c>
      <c r="AX15" s="30">
        <v>0</v>
      </c>
      <c r="AY15" s="30">
        <f>SUM(AW15:AX15)</f>
        <v>3825573.31</v>
      </c>
      <c r="BA15" s="158">
        <v>1552441.55</v>
      </c>
      <c r="BB15" s="30">
        <v>2299</v>
      </c>
      <c r="BC15" s="30">
        <f>SUM(BA15:BB15)</f>
        <v>1554740.55</v>
      </c>
      <c r="BE15" s="158">
        <v>2044176.8</v>
      </c>
      <c r="BF15" s="30">
        <v>4275</v>
      </c>
      <c r="BG15" s="30">
        <f>SUM(BE15:BF15)</f>
        <v>2048451.8</v>
      </c>
      <c r="BI15" s="158">
        <v>1869810</v>
      </c>
      <c r="BJ15" s="30">
        <v>6071</v>
      </c>
      <c r="BK15" s="30">
        <f>SUM(BI15:BJ15)</f>
        <v>1875881</v>
      </c>
      <c r="BM15" s="30">
        <v>2188834</v>
      </c>
      <c r="BN15" s="30">
        <v>7973</v>
      </c>
      <c r="BO15" s="30">
        <f>SUM(BM15:BN15)</f>
        <v>2196807</v>
      </c>
      <c r="BQ15" s="160">
        <v>1884332</v>
      </c>
      <c r="BR15" s="281">
        <v>0</v>
      </c>
      <c r="BS15" s="30">
        <f>SUM(BQ15:BR15)</f>
        <v>1884332</v>
      </c>
      <c r="BU15" s="160">
        <v>1775712</v>
      </c>
      <c r="BV15" s="281">
        <v>4668</v>
      </c>
      <c r="BW15" s="30">
        <f>SUM(BU15:BV15)</f>
        <v>1780380</v>
      </c>
      <c r="BY15" s="30">
        <v>1852621</v>
      </c>
      <c r="BZ15" s="30">
        <v>0</v>
      </c>
      <c r="CA15" s="30">
        <f t="shared" si="8"/>
        <v>1852621</v>
      </c>
    </row>
    <row r="16" spans="1:79" s="30" customFormat="1">
      <c r="A16" s="1" t="s">
        <v>10</v>
      </c>
      <c r="B16" s="1">
        <v>319352</v>
      </c>
      <c r="C16" s="1">
        <v>242165</v>
      </c>
      <c r="D16" s="1">
        <v>238596.86</v>
      </c>
      <c r="E16" s="1">
        <v>202388.08</v>
      </c>
      <c r="F16" s="1">
        <v>198257.99</v>
      </c>
      <c r="G16" s="1">
        <v>236491.31</v>
      </c>
      <c r="H16" s="1">
        <v>6248.75</v>
      </c>
      <c r="I16" s="1">
        <v>4276.68</v>
      </c>
      <c r="J16" s="1">
        <v>213775.63999999998</v>
      </c>
      <c r="K16" s="1">
        <v>236679.33</v>
      </c>
      <c r="L16" s="15">
        <f>(K16-J16)*100/J16</f>
        <v>10.713891442448729</v>
      </c>
      <c r="M16" s="239">
        <f t="shared" si="6"/>
        <v>7.5314382007106122</v>
      </c>
      <c r="N16" s="36">
        <v>100013</v>
      </c>
      <c r="O16" s="36">
        <v>110123</v>
      </c>
      <c r="P16" s="36">
        <v>125605</v>
      </c>
      <c r="Q16" s="184">
        <v>138653</v>
      </c>
      <c r="R16" s="184">
        <v>134985</v>
      </c>
      <c r="S16" s="184">
        <v>135287</v>
      </c>
      <c r="T16" s="184">
        <v>180945</v>
      </c>
      <c r="U16" s="184">
        <v>175586</v>
      </c>
      <c r="V16" s="184">
        <v>247062</v>
      </c>
      <c r="W16" s="184">
        <v>222524</v>
      </c>
      <c r="X16" s="36">
        <v>183137</v>
      </c>
      <c r="Y16" s="36">
        <v>264751</v>
      </c>
      <c r="Z16" s="36">
        <v>407637</v>
      </c>
      <c r="AA16" s="80">
        <v>358252</v>
      </c>
      <c r="AB16" s="30">
        <v>248851</v>
      </c>
      <c r="AC16" s="30">
        <v>335798</v>
      </c>
      <c r="AD16" s="1">
        <v>311758</v>
      </c>
      <c r="AE16" s="1">
        <v>221474.23</v>
      </c>
      <c r="AF16" s="1">
        <v>220102.45</v>
      </c>
      <c r="AG16" s="160">
        <v>221474.23</v>
      </c>
      <c r="AH16" s="128">
        <v>0</v>
      </c>
      <c r="AI16" s="30">
        <f>SUM(AG16:AH16)</f>
        <v>221474.23</v>
      </c>
      <c r="AJ16" s="1"/>
      <c r="AK16" s="1">
        <v>220102.45</v>
      </c>
      <c r="AL16" s="1">
        <v>0</v>
      </c>
      <c r="AM16" s="1">
        <f t="shared" si="7"/>
        <v>220102.45</v>
      </c>
      <c r="AN16" s="1"/>
      <c r="AO16" s="158">
        <v>319351.58</v>
      </c>
      <c r="AP16" s="92">
        <v>0</v>
      </c>
      <c r="AQ16" s="30">
        <f>SUM(AO16:AP16)</f>
        <v>319351.58</v>
      </c>
      <c r="AS16" s="30">
        <v>242164.51</v>
      </c>
      <c r="AT16" s="30">
        <v>0</v>
      </c>
      <c r="AU16" s="30">
        <f>SUM(AS16:AT16)</f>
        <v>242164.51</v>
      </c>
      <c r="AW16" s="30">
        <v>238596.86</v>
      </c>
      <c r="AX16" s="30">
        <v>0</v>
      </c>
      <c r="AY16" s="30">
        <f>SUM(AW16:AX16)</f>
        <v>238596.86</v>
      </c>
      <c r="BA16" s="158">
        <v>202388.08</v>
      </c>
      <c r="BB16" s="30">
        <v>0</v>
      </c>
      <c r="BC16" s="30">
        <f>SUM(BA16:BB16)</f>
        <v>202388.08</v>
      </c>
      <c r="BE16" s="158">
        <v>190068.22</v>
      </c>
      <c r="BF16" s="30">
        <v>8189.77</v>
      </c>
      <c r="BG16" s="30">
        <f>SUM(BE16:BF16)</f>
        <v>198257.99</v>
      </c>
      <c r="BI16" s="158">
        <v>232240.59</v>
      </c>
      <c r="BJ16" s="30">
        <v>4250.72</v>
      </c>
      <c r="BK16" s="30">
        <f>SUM(BI16:BJ16)</f>
        <v>236491.31</v>
      </c>
      <c r="BM16" s="30">
        <v>9.51</v>
      </c>
      <c r="BN16" s="30">
        <v>6239.24</v>
      </c>
      <c r="BO16" s="30">
        <f>SUM(BM16:BN16)</f>
        <v>6248.75</v>
      </c>
      <c r="BQ16" s="160">
        <v>2093.19</v>
      </c>
      <c r="BR16" s="128">
        <v>2183.4899999999998</v>
      </c>
      <c r="BS16" s="30">
        <f>SUM(BQ16:BR16)</f>
        <v>4276.68</v>
      </c>
      <c r="BU16" s="160">
        <v>212111.96</v>
      </c>
      <c r="BV16" s="128">
        <v>1663.68</v>
      </c>
      <c r="BW16" s="30">
        <f>SUM(BU16:BV16)</f>
        <v>213775.63999999998</v>
      </c>
      <c r="BY16" s="30">
        <v>229901.58</v>
      </c>
      <c r="BZ16" s="30">
        <v>6777.75</v>
      </c>
      <c r="CA16" s="30">
        <f t="shared" si="8"/>
        <v>236679.33</v>
      </c>
    </row>
    <row r="17" spans="1:79" s="30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39"/>
      <c r="M17" s="239"/>
      <c r="N17" s="36"/>
      <c r="P17" s="36"/>
      <c r="Q17" s="184"/>
      <c r="R17" s="184"/>
      <c r="S17" s="184"/>
      <c r="T17" s="184"/>
      <c r="U17" s="184"/>
      <c r="V17" s="184"/>
      <c r="W17" s="184"/>
      <c r="X17" s="36"/>
      <c r="Y17" s="36"/>
      <c r="Z17" s="36"/>
      <c r="AA17" s="80"/>
      <c r="AD17" s="1"/>
      <c r="AE17" s="1"/>
      <c r="AF17" s="1"/>
      <c r="AG17" s="128"/>
      <c r="AH17" s="128"/>
      <c r="AJ17" s="1"/>
      <c r="AK17" s="1"/>
      <c r="AL17" s="1"/>
      <c r="AM17" s="1"/>
      <c r="AN17" s="1"/>
      <c r="AO17" s="92"/>
      <c r="AP17" s="92"/>
      <c r="BA17" s="92"/>
      <c r="BE17" s="92"/>
      <c r="BI17" s="92"/>
      <c r="BQ17" s="318"/>
      <c r="BR17" s="284"/>
      <c r="BU17" s="318"/>
      <c r="BV17" s="284"/>
    </row>
    <row r="18" spans="1:79" s="30" customFormat="1">
      <c r="A18" s="1" t="s">
        <v>11</v>
      </c>
      <c r="B18" s="1">
        <v>95101</v>
      </c>
      <c r="C18" s="1">
        <v>91838</v>
      </c>
      <c r="D18" s="1">
        <v>82106.77</v>
      </c>
      <c r="E18" s="1">
        <v>91003.28</v>
      </c>
      <c r="F18" s="1">
        <v>98549.25</v>
      </c>
      <c r="G18" s="1">
        <v>138294.08000000002</v>
      </c>
      <c r="H18" s="1">
        <v>38747.839999999997</v>
      </c>
      <c r="I18" s="1">
        <v>38392.22</v>
      </c>
      <c r="J18" s="1">
        <v>42708.480000000003</v>
      </c>
      <c r="K18" s="1">
        <v>41458.76</v>
      </c>
      <c r="L18" s="239">
        <f>(K18-J18)*100/J18</f>
        <v>-2.9261636096625332</v>
      </c>
      <c r="M18" s="239">
        <f t="shared" si="6"/>
        <v>-58.012134106732582</v>
      </c>
      <c r="N18" s="36">
        <v>49743</v>
      </c>
      <c r="O18" s="36">
        <v>33828</v>
      </c>
      <c r="P18" s="36">
        <v>45606</v>
      </c>
      <c r="Q18" s="184">
        <v>30924</v>
      </c>
      <c r="R18" s="184">
        <v>38144</v>
      </c>
      <c r="S18" s="184">
        <v>36846</v>
      </c>
      <c r="T18" s="184">
        <v>38007</v>
      </c>
      <c r="U18" s="184">
        <v>36557</v>
      </c>
      <c r="V18" s="184">
        <v>44705</v>
      </c>
      <c r="W18" s="184">
        <v>41492</v>
      </c>
      <c r="X18" s="36">
        <v>45934</v>
      </c>
      <c r="Y18" s="36">
        <v>42352</v>
      </c>
      <c r="Z18" s="36">
        <v>40608</v>
      </c>
      <c r="AA18" s="80">
        <v>48298</v>
      </c>
      <c r="AB18" s="30">
        <v>88567</v>
      </c>
      <c r="AC18" s="30">
        <v>94053</v>
      </c>
      <c r="AD18" s="1">
        <v>117915</v>
      </c>
      <c r="AE18" s="1">
        <v>92310.74</v>
      </c>
      <c r="AF18" s="1">
        <v>98739.86</v>
      </c>
      <c r="AG18" s="160">
        <v>92310.74</v>
      </c>
      <c r="AH18" s="128">
        <v>0</v>
      </c>
      <c r="AI18" s="30">
        <f>SUM(AG18:AH18)</f>
        <v>92310.74</v>
      </c>
      <c r="AJ18" s="1"/>
      <c r="AK18" s="1">
        <v>98739.86</v>
      </c>
      <c r="AL18" s="1">
        <v>0</v>
      </c>
      <c r="AM18" s="1">
        <f t="shared" si="7"/>
        <v>98739.86</v>
      </c>
      <c r="AN18" s="1"/>
      <c r="AO18" s="158">
        <v>95101.45</v>
      </c>
      <c r="AP18" s="92">
        <v>0</v>
      </c>
      <c r="AQ18" s="30">
        <f>SUM(AO18:AP18)</f>
        <v>95101.45</v>
      </c>
      <c r="AS18" s="30">
        <v>91837.71</v>
      </c>
      <c r="AT18" s="30">
        <v>0</v>
      </c>
      <c r="AU18" s="30">
        <f>SUM(AS18:AT18)</f>
        <v>91837.71</v>
      </c>
      <c r="AW18" s="30">
        <v>82106.77</v>
      </c>
      <c r="AX18" s="30">
        <v>0</v>
      </c>
      <c r="AY18" s="30">
        <f>SUM(AW18:AX18)</f>
        <v>82106.77</v>
      </c>
      <c r="BA18" s="158">
        <v>91003.28</v>
      </c>
      <c r="BB18" s="30">
        <v>0</v>
      </c>
      <c r="BC18" s="30">
        <f>SUM(BA18:BB18)</f>
        <v>91003.28</v>
      </c>
      <c r="BE18" s="158">
        <v>98549.25</v>
      </c>
      <c r="BF18" s="30">
        <v>0</v>
      </c>
      <c r="BG18" s="30">
        <f>SUM(BE18:BF18)</f>
        <v>98549.25</v>
      </c>
      <c r="BI18" s="158">
        <v>103436.77</v>
      </c>
      <c r="BJ18" s="30">
        <v>34857.31</v>
      </c>
      <c r="BK18" s="30">
        <f>SUM(BI18:BJ18)</f>
        <v>138294.08000000002</v>
      </c>
      <c r="BM18" s="30">
        <v>38747.839999999997</v>
      </c>
      <c r="BN18" s="30">
        <v>0</v>
      </c>
      <c r="BO18" s="30">
        <f>SUM(BM18:BN18)</f>
        <v>38747.839999999997</v>
      </c>
      <c r="BQ18" s="160">
        <v>38392.22</v>
      </c>
      <c r="BR18" s="281">
        <v>0</v>
      </c>
      <c r="BS18" s="30">
        <f>SUM(BQ18:BR18)</f>
        <v>38392.22</v>
      </c>
      <c r="BU18" s="160">
        <v>42708.480000000003</v>
      </c>
      <c r="BV18" s="281">
        <v>0</v>
      </c>
      <c r="BW18" s="30">
        <f>SUM(BU18:BV18)</f>
        <v>42708.480000000003</v>
      </c>
      <c r="BY18" s="30">
        <v>41458.76</v>
      </c>
      <c r="BZ18" s="30">
        <v>0</v>
      </c>
      <c r="CA18" s="30">
        <f t="shared" si="8"/>
        <v>41458.76</v>
      </c>
    </row>
    <row r="19" spans="1:79" s="30" customFormat="1">
      <c r="A19" s="1" t="s">
        <v>12</v>
      </c>
      <c r="B19" s="1">
        <v>489866</v>
      </c>
      <c r="C19" s="1">
        <v>454327</v>
      </c>
      <c r="D19" s="1">
        <v>1414838.41</v>
      </c>
      <c r="E19" s="1">
        <v>430538.95</v>
      </c>
      <c r="F19" s="1">
        <v>500718.66</v>
      </c>
      <c r="G19" s="1">
        <v>1220737.28</v>
      </c>
      <c r="H19" s="1">
        <v>516187.91</v>
      </c>
      <c r="I19" s="1">
        <v>4777.8599999999997</v>
      </c>
      <c r="J19" s="1">
        <v>515318.49</v>
      </c>
      <c r="K19" s="1">
        <v>514592.51</v>
      </c>
      <c r="L19" s="15">
        <f>(K19-J19)*100/J19</f>
        <v>-0.1408798663521624</v>
      </c>
      <c r="M19" s="239">
        <f t="shared" si="6"/>
        <v>-29.49687975309574</v>
      </c>
      <c r="N19" s="36">
        <v>252454</v>
      </c>
      <c r="O19" s="36">
        <v>216336</v>
      </c>
      <c r="P19" s="36">
        <v>281435</v>
      </c>
      <c r="Q19" s="184">
        <v>268155</v>
      </c>
      <c r="R19" s="184">
        <v>222236</v>
      </c>
      <c r="S19" s="184">
        <v>353915</v>
      </c>
      <c r="T19" s="184">
        <v>367118</v>
      </c>
      <c r="U19" s="184">
        <v>283938</v>
      </c>
      <c r="V19" s="184">
        <f>379142+8438</f>
        <v>387580</v>
      </c>
      <c r="W19" s="184">
        <f>229618+1364</f>
        <v>230982</v>
      </c>
      <c r="X19" s="36">
        <f>271288+3945</f>
        <v>275233</v>
      </c>
      <c r="Y19" s="36">
        <f>378493+6758</f>
        <v>385251</v>
      </c>
      <c r="Z19" s="36">
        <v>514645</v>
      </c>
      <c r="AA19" s="80">
        <v>248098</v>
      </c>
      <c r="AB19" s="30">
        <v>276470</v>
      </c>
      <c r="AC19" s="30">
        <v>446800</v>
      </c>
      <c r="AD19" s="1">
        <v>700576</v>
      </c>
      <c r="AE19" s="1">
        <v>627924.07999999996</v>
      </c>
      <c r="AF19" s="1">
        <v>729886.15</v>
      </c>
      <c r="AG19" s="160">
        <v>627924.07999999996</v>
      </c>
      <c r="AH19" s="164">
        <v>0</v>
      </c>
      <c r="AI19" s="30">
        <f>SUM(AG19:AH19)</f>
        <v>627924.07999999996</v>
      </c>
      <c r="AJ19" s="1"/>
      <c r="AK19" s="1">
        <v>729886.15</v>
      </c>
      <c r="AL19" s="1">
        <v>0</v>
      </c>
      <c r="AM19" s="1">
        <f t="shared" si="7"/>
        <v>729886.15</v>
      </c>
      <c r="AN19" s="1"/>
      <c r="AO19" s="158">
        <v>489704.22</v>
      </c>
      <c r="AP19" s="156">
        <v>162.06</v>
      </c>
      <c r="AQ19" s="30">
        <f>SUM(AO19:AP19)</f>
        <v>489866.27999999997</v>
      </c>
      <c r="AS19" s="30">
        <v>454220.75</v>
      </c>
      <c r="AT19" s="30">
        <v>106.41</v>
      </c>
      <c r="AU19" s="30">
        <f>SUM(AS19:AT19)</f>
        <v>454327.16</v>
      </c>
      <c r="AW19" s="30">
        <v>1413753.99</v>
      </c>
      <c r="AX19" s="30">
        <v>1084.42</v>
      </c>
      <c r="AY19" s="30">
        <f>SUM(AW19:AX19)</f>
        <v>1414838.41</v>
      </c>
      <c r="BA19" s="158">
        <v>430156.21</v>
      </c>
      <c r="BB19" s="30">
        <v>382.74</v>
      </c>
      <c r="BC19" s="30">
        <f>SUM(BA19:BB19)</f>
        <v>430538.95</v>
      </c>
      <c r="BE19" s="158">
        <v>499319.13</v>
      </c>
      <c r="BF19" s="30">
        <v>1399.53</v>
      </c>
      <c r="BG19" s="30">
        <f>SUM(BE19:BF19)</f>
        <v>500718.66000000003</v>
      </c>
      <c r="BI19" s="158">
        <v>1219755.28</v>
      </c>
      <c r="BJ19" s="30">
        <v>982</v>
      </c>
      <c r="BK19" s="30">
        <f>SUM(BI19:BJ19)</f>
        <v>1220737.28</v>
      </c>
      <c r="BM19" s="30">
        <v>514909.1</v>
      </c>
      <c r="BN19" s="30">
        <v>1278.81</v>
      </c>
      <c r="BO19" s="30">
        <f>SUM(BM19:BN19)</f>
        <v>516187.91</v>
      </c>
      <c r="BQ19" s="160">
        <v>0</v>
      </c>
      <c r="BR19" s="164">
        <v>4777.8599999999997</v>
      </c>
      <c r="BS19" s="30">
        <f>SUM(BQ19:BR19)</f>
        <v>4777.8599999999997</v>
      </c>
      <c r="BU19" s="160">
        <v>514240.74</v>
      </c>
      <c r="BV19" s="164">
        <v>1077.75</v>
      </c>
      <c r="BW19" s="30">
        <f>SUM(BU19:BV19)</f>
        <v>515318.49</v>
      </c>
      <c r="BY19" s="30">
        <v>513450.21</v>
      </c>
      <c r="BZ19" s="30">
        <v>1142.3</v>
      </c>
      <c r="CA19" s="30">
        <f t="shared" si="8"/>
        <v>514592.51</v>
      </c>
    </row>
    <row r="20" spans="1:79" s="30" customFormat="1">
      <c r="A20" s="1" t="s">
        <v>13</v>
      </c>
      <c r="B20" s="1">
        <v>210334</v>
      </c>
      <c r="C20" s="1">
        <v>157267</v>
      </c>
      <c r="D20" s="1">
        <v>161204.88</v>
      </c>
      <c r="E20" s="1">
        <v>203493.99</v>
      </c>
      <c r="F20" s="1">
        <v>210110.1</v>
      </c>
      <c r="G20" s="1">
        <v>181122.47</v>
      </c>
      <c r="H20" s="1">
        <v>186826.92</v>
      </c>
      <c r="I20" s="1">
        <v>169506.48</v>
      </c>
      <c r="J20" s="1">
        <v>169506.48</v>
      </c>
      <c r="K20" s="1">
        <v>147151.39000000001</v>
      </c>
      <c r="L20" s="239">
        <f>(K20-J20)*100/J20</f>
        <v>-13.188339466432193</v>
      </c>
      <c r="M20" s="239">
        <f t="shared" si="6"/>
        <v>-50.638701991601373</v>
      </c>
      <c r="N20" s="36">
        <v>122868</v>
      </c>
      <c r="O20" s="36">
        <v>135731</v>
      </c>
      <c r="P20" s="36">
        <v>75317</v>
      </c>
      <c r="Q20" s="184">
        <v>231428</v>
      </c>
      <c r="R20" s="184">
        <v>258452</v>
      </c>
      <c r="S20" s="184">
        <v>207019</v>
      </c>
      <c r="T20" s="184">
        <v>214098</v>
      </c>
      <c r="U20" s="184">
        <v>268308</v>
      </c>
      <c r="V20" s="184">
        <v>194357</v>
      </c>
      <c r="W20" s="184">
        <v>148946</v>
      </c>
      <c r="X20" s="36">
        <v>151813</v>
      </c>
      <c r="Y20" s="36">
        <v>168840</v>
      </c>
      <c r="Z20" s="36">
        <v>164238</v>
      </c>
      <c r="AA20" s="80">
        <v>191272</v>
      </c>
      <c r="AB20" s="30">
        <v>294160</v>
      </c>
      <c r="AC20" s="30">
        <v>240958</v>
      </c>
      <c r="AD20" s="1">
        <v>243460</v>
      </c>
      <c r="AE20" s="1">
        <v>271655.05</v>
      </c>
      <c r="AF20" s="1">
        <v>298110.86</v>
      </c>
      <c r="AG20" s="160">
        <v>271655.05</v>
      </c>
      <c r="AH20" s="128">
        <v>0</v>
      </c>
      <c r="AI20" s="30">
        <f>SUM(AG20:AH20)</f>
        <v>271655.05</v>
      </c>
      <c r="AJ20" s="1"/>
      <c r="AK20" s="1">
        <v>298110.86</v>
      </c>
      <c r="AL20" s="1">
        <v>0</v>
      </c>
      <c r="AM20" s="1">
        <f t="shared" si="7"/>
        <v>298110.86</v>
      </c>
      <c r="AN20" s="1"/>
      <c r="AO20" s="158">
        <v>210334.07999999999</v>
      </c>
      <c r="AP20" s="92">
        <v>0</v>
      </c>
      <c r="AQ20" s="30">
        <f>SUM(AO20:AP20)</f>
        <v>210334.07999999999</v>
      </c>
      <c r="AS20" s="30">
        <v>157267.49</v>
      </c>
      <c r="AT20" s="30">
        <v>0</v>
      </c>
      <c r="AU20" s="30">
        <f>SUM(AS20:AT20)</f>
        <v>157267.49</v>
      </c>
      <c r="AW20" s="30">
        <v>161204.88</v>
      </c>
      <c r="AX20" s="30">
        <v>0</v>
      </c>
      <c r="AY20" s="30">
        <f>SUM(AW20:AX20)</f>
        <v>161204.88</v>
      </c>
      <c r="BA20" s="158">
        <v>203493.99</v>
      </c>
      <c r="BB20" s="30">
        <v>0</v>
      </c>
      <c r="BC20" s="30">
        <f>SUM(BA20:BB20)</f>
        <v>203493.99</v>
      </c>
      <c r="BE20" s="158">
        <v>210110.1</v>
      </c>
      <c r="BF20" s="30">
        <v>0</v>
      </c>
      <c r="BG20" s="30">
        <f>SUM(BE20:BF20)</f>
        <v>210110.1</v>
      </c>
      <c r="BI20" s="158">
        <v>181122.47</v>
      </c>
      <c r="BJ20" s="30">
        <v>0</v>
      </c>
      <c r="BK20" s="30">
        <f>SUM(BI20:BJ20)</f>
        <v>181122.47</v>
      </c>
      <c r="BM20" s="30">
        <v>186826.92</v>
      </c>
      <c r="BN20" s="30">
        <v>0</v>
      </c>
      <c r="BO20" s="30">
        <f>SUM(BM20:BN20)</f>
        <v>186826.92</v>
      </c>
      <c r="BQ20" s="160">
        <v>169506.48</v>
      </c>
      <c r="BR20" s="281">
        <v>0</v>
      </c>
      <c r="BS20" s="30">
        <f>SUM(BQ20:BR20)</f>
        <v>169506.48</v>
      </c>
      <c r="BU20" s="160">
        <v>169506.48</v>
      </c>
      <c r="BV20" s="281">
        <v>0</v>
      </c>
      <c r="BW20" s="30">
        <f>SUM(BU20:BV20)</f>
        <v>169506.48</v>
      </c>
      <c r="BY20" s="30">
        <v>147151.39000000001</v>
      </c>
      <c r="BZ20" s="30">
        <v>0</v>
      </c>
      <c r="CA20" s="30">
        <f t="shared" si="8"/>
        <v>147151.39000000001</v>
      </c>
    </row>
    <row r="21" spans="1:79" s="30" customFormat="1">
      <c r="A21" s="1" t="s">
        <v>14</v>
      </c>
      <c r="B21" s="1">
        <v>317032</v>
      </c>
      <c r="C21" s="1">
        <v>536187</v>
      </c>
      <c r="D21" s="1">
        <v>510369.01</v>
      </c>
      <c r="E21" s="1">
        <v>563212.1</v>
      </c>
      <c r="F21" s="1">
        <v>496414.33</v>
      </c>
      <c r="G21" s="1">
        <v>219797.76000000001</v>
      </c>
      <c r="H21" s="1">
        <v>227195.75</v>
      </c>
      <c r="I21" s="1">
        <v>220780.47</v>
      </c>
      <c r="J21" s="1">
        <v>225124.79</v>
      </c>
      <c r="K21" s="1">
        <v>224739.61</v>
      </c>
      <c r="L21" s="239">
        <f>(K21-J21)*100/J21</f>
        <v>-0.17109621734684222</v>
      </c>
      <c r="M21" s="239">
        <f t="shared" si="6"/>
        <v>-31.858271872565478</v>
      </c>
      <c r="N21" s="36">
        <v>114196</v>
      </c>
      <c r="O21" s="36">
        <v>168500</v>
      </c>
      <c r="P21" s="36">
        <v>318700</v>
      </c>
      <c r="Q21" s="184">
        <v>325242</v>
      </c>
      <c r="R21" s="184">
        <v>323019</v>
      </c>
      <c r="S21" s="184">
        <v>399087</v>
      </c>
      <c r="T21" s="184">
        <v>337207</v>
      </c>
      <c r="U21" s="184">
        <v>165289</v>
      </c>
      <c r="V21" s="184">
        <v>427002</v>
      </c>
      <c r="W21" s="184">
        <f>281619+61101</f>
        <v>342720</v>
      </c>
      <c r="X21" s="36">
        <v>318345</v>
      </c>
      <c r="Y21" s="36">
        <v>221947</v>
      </c>
      <c r="Z21" s="36">
        <v>704823</v>
      </c>
      <c r="AA21" s="80">
        <v>148332</v>
      </c>
      <c r="AB21" s="30">
        <v>262237</v>
      </c>
      <c r="AC21" s="30">
        <v>352005</v>
      </c>
      <c r="AD21" s="1">
        <v>302142</v>
      </c>
      <c r="AE21" s="1">
        <v>394191.84</v>
      </c>
      <c r="AF21" s="1">
        <v>329812.02</v>
      </c>
      <c r="AG21" s="160">
        <v>394191.84</v>
      </c>
      <c r="AH21" s="128">
        <v>0</v>
      </c>
      <c r="AI21" s="30">
        <f>SUM(AG21:AH21)</f>
        <v>394191.84</v>
      </c>
      <c r="AJ21" s="1"/>
      <c r="AK21" s="1">
        <v>329812.02</v>
      </c>
      <c r="AL21" s="1">
        <v>0</v>
      </c>
      <c r="AM21" s="1">
        <f t="shared" si="7"/>
        <v>329812.02</v>
      </c>
      <c r="AN21" s="1"/>
      <c r="AO21" s="158">
        <v>317032.45</v>
      </c>
      <c r="AP21" s="92">
        <v>0</v>
      </c>
      <c r="AQ21" s="30">
        <f>SUM(AO21:AP21)</f>
        <v>317032.45</v>
      </c>
      <c r="AS21" s="30">
        <v>536186.78</v>
      </c>
      <c r="AT21" s="30">
        <v>0</v>
      </c>
      <c r="AU21" s="30">
        <f>SUM(AS21:AT21)</f>
        <v>536186.78</v>
      </c>
      <c r="AW21" s="30">
        <v>510369.01</v>
      </c>
      <c r="AX21" s="30">
        <v>0</v>
      </c>
      <c r="AY21" s="30">
        <f>SUM(AW21:AX21)</f>
        <v>510369.01</v>
      </c>
      <c r="BA21" s="158">
        <v>563212.1</v>
      </c>
      <c r="BB21" s="30">
        <v>0</v>
      </c>
      <c r="BC21" s="30">
        <f>SUM(BA21:BB21)</f>
        <v>563212.1</v>
      </c>
      <c r="BE21" s="158">
        <v>496414.33</v>
      </c>
      <c r="BF21" s="30">
        <v>0</v>
      </c>
      <c r="BG21" s="30">
        <f>SUM(BE21:BF21)</f>
        <v>496414.33</v>
      </c>
      <c r="BI21" s="158">
        <v>219797.76000000001</v>
      </c>
      <c r="BJ21" s="30">
        <v>0</v>
      </c>
      <c r="BK21" s="30">
        <f>SUM(BI21:BJ21)</f>
        <v>219797.76000000001</v>
      </c>
      <c r="BM21" s="30">
        <v>227195.75</v>
      </c>
      <c r="BN21" s="30">
        <v>0</v>
      </c>
      <c r="BO21" s="30">
        <f>SUM(BM21:BN21)</f>
        <v>227195.75</v>
      </c>
      <c r="BQ21" s="160">
        <v>220780.47</v>
      </c>
      <c r="BR21" s="281">
        <v>0</v>
      </c>
      <c r="BS21" s="30">
        <f>SUM(BQ21:BR21)</f>
        <v>220780.47</v>
      </c>
      <c r="BU21" s="160">
        <v>225124.79</v>
      </c>
      <c r="BV21" s="281">
        <v>0</v>
      </c>
      <c r="BW21" s="30">
        <f>SUM(BU21:BV21)</f>
        <v>225124.79</v>
      </c>
      <c r="BY21" s="30">
        <v>224739.61</v>
      </c>
      <c r="BZ21" s="30">
        <v>0</v>
      </c>
      <c r="CA21" s="30">
        <f t="shared" si="8"/>
        <v>224739.61</v>
      </c>
    </row>
    <row r="22" spans="1:79" s="30" customFormat="1">
      <c r="A22" s="1" t="s">
        <v>15</v>
      </c>
      <c r="B22" s="1">
        <v>19945</v>
      </c>
      <c r="C22" s="1">
        <v>24437</v>
      </c>
      <c r="D22" s="1">
        <v>31651.19</v>
      </c>
      <c r="E22" s="1">
        <v>17394</v>
      </c>
      <c r="F22" s="1">
        <v>18772.259999999998</v>
      </c>
      <c r="G22" s="1">
        <v>12632.29</v>
      </c>
      <c r="H22" s="1">
        <v>5232.5600000000004</v>
      </c>
      <c r="I22" s="1">
        <v>7916.65</v>
      </c>
      <c r="J22" s="1">
        <v>0</v>
      </c>
      <c r="K22" s="373">
        <v>0</v>
      </c>
      <c r="L22" s="403" t="s">
        <v>118</v>
      </c>
      <c r="M22" s="239">
        <f t="shared" si="6"/>
        <v>-100</v>
      </c>
      <c r="N22" s="36">
        <v>30520</v>
      </c>
      <c r="O22" s="36">
        <v>47799</v>
      </c>
      <c r="P22" s="36">
        <v>42012</v>
      </c>
      <c r="Q22" s="184">
        <v>38181</v>
      </c>
      <c r="R22" s="184">
        <v>26419</v>
      </c>
      <c r="S22" s="184">
        <v>36256</v>
      </c>
      <c r="T22" s="184">
        <v>29922</v>
      </c>
      <c r="U22" s="184">
        <v>27043</v>
      </c>
      <c r="V22" s="184">
        <v>29770</v>
      </c>
      <c r="W22" s="184">
        <v>42940</v>
      </c>
      <c r="X22" s="36">
        <f>20457+650</f>
        <v>21107</v>
      </c>
      <c r="Y22" s="36">
        <v>25813</v>
      </c>
      <c r="Z22" s="36">
        <v>43893</v>
      </c>
      <c r="AA22" s="80">
        <v>23077</v>
      </c>
      <c r="AB22" s="30">
        <v>45862</v>
      </c>
      <c r="AC22" s="30">
        <v>49352</v>
      </c>
      <c r="AD22" s="1">
        <v>40251</v>
      </c>
      <c r="AE22" s="1">
        <v>27790</v>
      </c>
      <c r="AF22" s="1">
        <v>130613.56</v>
      </c>
      <c r="AG22" s="160">
        <v>27181</v>
      </c>
      <c r="AH22" s="160">
        <v>609</v>
      </c>
      <c r="AI22" s="30">
        <f>SUM(AG22:AH22)</f>
        <v>27790</v>
      </c>
      <c r="AJ22" s="1"/>
      <c r="AK22" s="1">
        <v>130148.56</v>
      </c>
      <c r="AL22" s="1">
        <v>465</v>
      </c>
      <c r="AM22" s="1">
        <f t="shared" si="7"/>
        <v>130613.56</v>
      </c>
      <c r="AN22" s="1"/>
      <c r="AO22" s="158">
        <v>19802</v>
      </c>
      <c r="AP22" s="158">
        <v>143</v>
      </c>
      <c r="AQ22" s="30">
        <f>SUM(AO22:AP22)</f>
        <v>19945</v>
      </c>
      <c r="AS22" s="30">
        <v>24437</v>
      </c>
      <c r="AT22" s="30">
        <v>0</v>
      </c>
      <c r="AU22" s="30">
        <f>SUM(AS22:AT22)</f>
        <v>24437</v>
      </c>
      <c r="AW22" s="30">
        <v>31651.19</v>
      </c>
      <c r="AX22" s="30">
        <v>0</v>
      </c>
      <c r="AY22" s="30">
        <f>SUM(AW22:AX22)</f>
        <v>31651.19</v>
      </c>
      <c r="BA22" s="158">
        <v>17394</v>
      </c>
      <c r="BB22" s="30">
        <v>0</v>
      </c>
      <c r="BC22" s="30">
        <f>SUM(BA22:BB22)</f>
        <v>17394</v>
      </c>
      <c r="BE22" s="158">
        <v>18772.259999999998</v>
      </c>
      <c r="BF22" s="30">
        <v>0</v>
      </c>
      <c r="BG22" s="30">
        <f>SUM(BE22:BF22)</f>
        <v>18772.259999999998</v>
      </c>
      <c r="BI22" s="158">
        <v>12632.29</v>
      </c>
      <c r="BJ22" s="30">
        <v>0</v>
      </c>
      <c r="BK22" s="30">
        <f>SUM(BI22:BJ22)</f>
        <v>12632.29</v>
      </c>
      <c r="BM22" s="30">
        <v>5232.5600000000004</v>
      </c>
      <c r="BN22" s="30">
        <v>0</v>
      </c>
      <c r="BO22" s="30">
        <f>SUM(BM22:BN22)</f>
        <v>5232.5600000000004</v>
      </c>
      <c r="BQ22" s="160">
        <v>7916.65</v>
      </c>
      <c r="BR22" s="281">
        <v>0</v>
      </c>
      <c r="BS22" s="30">
        <f>SUM(BQ22:BR22)</f>
        <v>7916.65</v>
      </c>
      <c r="BU22" s="160">
        <v>0</v>
      </c>
      <c r="BV22" s="281">
        <v>0</v>
      </c>
      <c r="BW22" s="30">
        <f>SUM(BU22:BV22)</f>
        <v>0</v>
      </c>
      <c r="BY22" s="30">
        <v>0</v>
      </c>
      <c r="BZ22" s="30">
        <v>0</v>
      </c>
      <c r="CA22" s="30">
        <f t="shared" si="8"/>
        <v>0</v>
      </c>
    </row>
    <row r="23" spans="1:79" s="30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39"/>
      <c r="M23" s="239"/>
      <c r="N23" s="36"/>
      <c r="P23" s="36"/>
      <c r="Q23" s="184"/>
      <c r="R23" s="184"/>
      <c r="S23" s="184"/>
      <c r="T23" s="184"/>
      <c r="U23" s="184"/>
      <c r="V23" s="184"/>
      <c r="W23" s="184"/>
      <c r="X23" s="36"/>
      <c r="Y23" s="36"/>
      <c r="Z23" s="36"/>
      <c r="AA23" s="80"/>
      <c r="AD23" s="1"/>
      <c r="AE23" s="1"/>
      <c r="AF23" s="1"/>
      <c r="AG23" s="128"/>
      <c r="AH23" s="160"/>
      <c r="AJ23" s="1"/>
      <c r="AK23" s="1"/>
      <c r="AL23" s="1"/>
      <c r="AM23" s="1"/>
      <c r="AN23" s="1"/>
      <c r="AO23" s="92"/>
      <c r="AP23" s="158"/>
      <c r="BA23" s="222"/>
      <c r="BE23" s="222"/>
      <c r="BI23" s="222"/>
      <c r="BQ23" s="318"/>
      <c r="BR23" s="317"/>
      <c r="BU23" s="318"/>
      <c r="BV23" s="317"/>
    </row>
    <row r="24" spans="1:79" s="30" customFormat="1">
      <c r="A24" s="1" t="s">
        <v>16</v>
      </c>
      <c r="B24" s="1">
        <v>749301</v>
      </c>
      <c r="C24" s="1">
        <v>756594</v>
      </c>
      <c r="D24" s="1">
        <v>704042.29</v>
      </c>
      <c r="E24" s="1">
        <v>720007.34</v>
      </c>
      <c r="F24" s="1">
        <v>781852.38</v>
      </c>
      <c r="G24" s="1">
        <v>947072.69000000006</v>
      </c>
      <c r="H24" s="1">
        <v>911275.34000000008</v>
      </c>
      <c r="I24" s="1">
        <v>907210.62</v>
      </c>
      <c r="J24" s="1">
        <v>813295.4</v>
      </c>
      <c r="K24" s="1">
        <v>939065.47</v>
      </c>
      <c r="L24" s="239">
        <f>(K24-J24)*100/J24</f>
        <v>15.464254439407863</v>
      </c>
      <c r="M24" s="239">
        <f t="shared" si="6"/>
        <v>25.089172438028314</v>
      </c>
      <c r="N24" s="36">
        <v>312601</v>
      </c>
      <c r="O24" s="36">
        <v>193574</v>
      </c>
      <c r="P24" s="36">
        <v>242936</v>
      </c>
      <c r="Q24" s="184">
        <v>345800</v>
      </c>
      <c r="R24" s="184">
        <v>350019</v>
      </c>
      <c r="S24" s="184">
        <v>359865</v>
      </c>
      <c r="T24" s="184">
        <v>335891</v>
      </c>
      <c r="U24" s="184">
        <v>394574</v>
      </c>
      <c r="V24" s="184">
        <v>484306</v>
      </c>
      <c r="W24" s="184">
        <v>462051</v>
      </c>
      <c r="X24" s="36">
        <v>441347</v>
      </c>
      <c r="Y24" s="36">
        <v>434955</v>
      </c>
      <c r="Z24" s="36">
        <v>388406</v>
      </c>
      <c r="AA24" s="80">
        <v>435263</v>
      </c>
      <c r="AB24" s="30">
        <v>401672</v>
      </c>
      <c r="AC24" s="30">
        <v>421917</v>
      </c>
      <c r="AD24" s="1">
        <v>712565</v>
      </c>
      <c r="AE24" s="1">
        <v>778587.66</v>
      </c>
      <c r="AF24" s="1">
        <v>750716.83000000007</v>
      </c>
      <c r="AG24" s="160">
        <v>777691.53</v>
      </c>
      <c r="AH24" s="160">
        <v>896.13</v>
      </c>
      <c r="AI24" s="30">
        <f>SUM(AG24:AH24)</f>
        <v>778587.66</v>
      </c>
      <c r="AJ24" s="1"/>
      <c r="AK24" s="1">
        <v>750627.81</v>
      </c>
      <c r="AL24" s="1">
        <v>89.02</v>
      </c>
      <c r="AM24" s="1">
        <f t="shared" si="7"/>
        <v>750716.83000000007</v>
      </c>
      <c r="AN24" s="1"/>
      <c r="AO24" s="158">
        <v>747359.49</v>
      </c>
      <c r="AP24" s="158">
        <v>1941.48</v>
      </c>
      <c r="AQ24" s="30">
        <f>SUM(AO24:AP24)</f>
        <v>749300.97</v>
      </c>
      <c r="AS24" s="30">
        <v>754146.01</v>
      </c>
      <c r="AT24" s="30">
        <v>2448.21</v>
      </c>
      <c r="AU24" s="30">
        <f>SUM(AS24:AT24)</f>
        <v>756594.22</v>
      </c>
      <c r="AW24" s="30">
        <v>703517.29</v>
      </c>
      <c r="AX24" s="30">
        <v>525</v>
      </c>
      <c r="AY24" s="30">
        <f>SUM(AW24:AX24)</f>
        <v>704042.29</v>
      </c>
      <c r="BA24" s="158">
        <v>713802.93</v>
      </c>
      <c r="BB24" s="30">
        <v>6204.41</v>
      </c>
      <c r="BC24" s="30">
        <f>SUM(BA24:BB24)</f>
        <v>720007.34000000008</v>
      </c>
      <c r="BE24" s="158">
        <v>775405.97</v>
      </c>
      <c r="BF24" s="30">
        <v>6446.41</v>
      </c>
      <c r="BG24" s="30">
        <f>SUM(BE24:BF24)</f>
        <v>781852.38</v>
      </c>
      <c r="BI24" s="158">
        <v>939344.53</v>
      </c>
      <c r="BJ24" s="30">
        <v>7728.16</v>
      </c>
      <c r="BK24" s="30">
        <f>SUM(BI24:BJ24)</f>
        <v>947072.69000000006</v>
      </c>
      <c r="BM24" s="30">
        <v>903684.68</v>
      </c>
      <c r="BN24" s="30">
        <v>7590.66</v>
      </c>
      <c r="BO24" s="30">
        <f>SUM(BM24:BN24)</f>
        <v>911275.34000000008</v>
      </c>
      <c r="BQ24" s="160">
        <v>900660.8</v>
      </c>
      <c r="BR24" s="160">
        <v>6549.82</v>
      </c>
      <c r="BS24" s="30">
        <f>SUM(BQ24:BR24)</f>
        <v>907210.62</v>
      </c>
      <c r="BU24" s="160">
        <v>813295.4</v>
      </c>
      <c r="BV24" s="160">
        <v>0</v>
      </c>
      <c r="BW24" s="30">
        <f>SUM(BU24:BV24)</f>
        <v>813295.4</v>
      </c>
      <c r="BY24" s="30">
        <v>937055.34</v>
      </c>
      <c r="BZ24" s="30">
        <v>2010.13</v>
      </c>
      <c r="CA24" s="30">
        <f t="shared" si="8"/>
        <v>939065.47</v>
      </c>
    </row>
    <row r="25" spans="1:79" s="30" customFormat="1">
      <c r="A25" s="1" t="s">
        <v>17</v>
      </c>
      <c r="B25" s="1">
        <v>54038</v>
      </c>
      <c r="C25" s="1">
        <v>63474</v>
      </c>
      <c r="D25" s="1">
        <v>52462.31</v>
      </c>
      <c r="E25" s="1">
        <v>63598.51</v>
      </c>
      <c r="F25" s="1">
        <v>54923.78</v>
      </c>
      <c r="G25" s="1">
        <v>57492.15</v>
      </c>
      <c r="H25" s="1">
        <v>42234.080000000002</v>
      </c>
      <c r="I25" s="1">
        <v>39593.629999999997</v>
      </c>
      <c r="J25" s="1">
        <v>21761.4</v>
      </c>
      <c r="K25" s="1">
        <v>20869.599999999999</v>
      </c>
      <c r="L25" s="239">
        <f>(K25-J25)*100/J25</f>
        <v>-4.09808192487617</v>
      </c>
      <c r="M25" s="239">
        <f t="shared" si="6"/>
        <v>-64.016138045499162</v>
      </c>
      <c r="N25" s="36">
        <v>21237</v>
      </c>
      <c r="O25" s="36">
        <v>36667</v>
      </c>
      <c r="P25" s="36">
        <v>44336</v>
      </c>
      <c r="Q25" s="184">
        <v>40266</v>
      </c>
      <c r="R25" s="184">
        <v>78239</v>
      </c>
      <c r="S25" s="184">
        <v>69133</v>
      </c>
      <c r="T25" s="184">
        <v>32859</v>
      </c>
      <c r="U25" s="184">
        <v>51931</v>
      </c>
      <c r="V25" s="184">
        <v>65391</v>
      </c>
      <c r="W25" s="184">
        <v>44245</v>
      </c>
      <c r="X25" s="36">
        <v>40572</v>
      </c>
      <c r="Y25" s="36">
        <v>42600</v>
      </c>
      <c r="Z25" s="36">
        <v>37971</v>
      </c>
      <c r="AA25" s="80">
        <v>34690</v>
      </c>
      <c r="AB25" s="30">
        <v>47579</v>
      </c>
      <c r="AC25" s="30">
        <v>54609</v>
      </c>
      <c r="AD25" s="1">
        <v>57360</v>
      </c>
      <c r="AE25" s="1">
        <v>66130.210000000006</v>
      </c>
      <c r="AF25" s="1">
        <v>57997.11</v>
      </c>
      <c r="AG25" s="160">
        <v>66130.210000000006</v>
      </c>
      <c r="AH25" s="160">
        <v>0</v>
      </c>
      <c r="AI25" s="30">
        <f>SUM(AG25:AH25)</f>
        <v>66130.210000000006</v>
      </c>
      <c r="AJ25" s="1"/>
      <c r="AK25" s="1">
        <v>57997.11</v>
      </c>
      <c r="AL25" s="1"/>
      <c r="AM25" s="1">
        <f t="shared" si="7"/>
        <v>57997.11</v>
      </c>
      <c r="AN25" s="1"/>
      <c r="AO25" s="158">
        <v>54037.91</v>
      </c>
      <c r="AP25" s="158">
        <v>0</v>
      </c>
      <c r="AQ25" s="30">
        <f>SUM(AO25:AP25)</f>
        <v>54037.91</v>
      </c>
      <c r="AS25" s="30">
        <v>63474.47</v>
      </c>
      <c r="AT25" s="30">
        <v>0</v>
      </c>
      <c r="AU25" s="30">
        <f>SUM(AS25:AT25)</f>
        <v>63474.47</v>
      </c>
      <c r="AW25" s="30">
        <v>52462.31</v>
      </c>
      <c r="AX25" s="30">
        <v>0</v>
      </c>
      <c r="AY25" s="30">
        <f>SUM(AW25:AX25)</f>
        <v>52462.31</v>
      </c>
      <c r="BA25" s="158">
        <v>63598.51</v>
      </c>
      <c r="BB25" s="30">
        <v>0</v>
      </c>
      <c r="BC25" s="30">
        <f>SUM(BA25:BB25)</f>
        <v>63598.51</v>
      </c>
      <c r="BE25" s="158">
        <v>54923.78</v>
      </c>
      <c r="BF25" s="30">
        <v>0</v>
      </c>
      <c r="BG25" s="30">
        <f>SUM(BE25:BF25)</f>
        <v>54923.78</v>
      </c>
      <c r="BI25" s="158">
        <v>57492.15</v>
      </c>
      <c r="BJ25" s="30">
        <v>0</v>
      </c>
      <c r="BK25" s="30">
        <f>SUM(BI25:BJ25)</f>
        <v>57492.15</v>
      </c>
      <c r="BM25" s="30">
        <v>42234.080000000002</v>
      </c>
      <c r="BN25" s="30">
        <v>0</v>
      </c>
      <c r="BO25" s="30">
        <f>SUM(BM25:BN25)</f>
        <v>42234.080000000002</v>
      </c>
      <c r="BQ25" s="160">
        <v>39593.629999999997</v>
      </c>
      <c r="BR25" s="281">
        <v>0</v>
      </c>
      <c r="BS25" s="30">
        <f>SUM(BQ25:BR25)</f>
        <v>39593.629999999997</v>
      </c>
      <c r="BU25" s="160">
        <v>21761.4</v>
      </c>
      <c r="BV25" s="281">
        <v>0</v>
      </c>
      <c r="BW25" s="30">
        <f>SUM(BU25:BV25)</f>
        <v>21761.4</v>
      </c>
      <c r="BY25" s="30">
        <v>20869.599999999999</v>
      </c>
      <c r="BZ25" s="30">
        <v>0</v>
      </c>
      <c r="CA25" s="30">
        <f t="shared" si="8"/>
        <v>20869.599999999999</v>
      </c>
    </row>
    <row r="26" spans="1:79" s="30" customFormat="1">
      <c r="A26" s="1" t="s">
        <v>18</v>
      </c>
      <c r="B26" s="1">
        <v>768170</v>
      </c>
      <c r="C26" s="1">
        <v>737838</v>
      </c>
      <c r="D26" s="1">
        <v>1043146.86</v>
      </c>
      <c r="E26" s="1">
        <v>1628679.05</v>
      </c>
      <c r="F26" s="1">
        <v>1302262.9099999999</v>
      </c>
      <c r="G26" s="1">
        <v>1014751.2699999999</v>
      </c>
      <c r="H26" s="1">
        <v>1026917.5499999999</v>
      </c>
      <c r="I26" s="1">
        <v>1358869.08</v>
      </c>
      <c r="J26" s="1">
        <v>1373674.9500000002</v>
      </c>
      <c r="K26" s="1">
        <v>730945.58</v>
      </c>
      <c r="L26" s="239">
        <f>(K26-J26)*100/J26</f>
        <v>-46.789043506981045</v>
      </c>
      <c r="M26" s="239">
        <f t="shared" si="6"/>
        <v>-17.076989718721112</v>
      </c>
      <c r="N26" s="36">
        <v>373709</v>
      </c>
      <c r="O26" s="36">
        <v>378877</v>
      </c>
      <c r="P26" s="36">
        <v>339773</v>
      </c>
      <c r="Q26" s="184">
        <v>381207</v>
      </c>
      <c r="R26" s="184">
        <v>366661</v>
      </c>
      <c r="S26" s="184">
        <v>437517</v>
      </c>
      <c r="T26" s="184">
        <v>336207</v>
      </c>
      <c r="U26" s="184">
        <v>456938</v>
      </c>
      <c r="V26" s="184">
        <f>736663+30729</f>
        <v>767392</v>
      </c>
      <c r="W26" s="184">
        <f>1112470+39453</f>
        <v>1151923</v>
      </c>
      <c r="X26" s="36">
        <f>1069372+25854</f>
        <v>1095226</v>
      </c>
      <c r="Y26" s="36">
        <f>708195+20989</f>
        <v>729184</v>
      </c>
      <c r="Z26" s="36">
        <v>656666</v>
      </c>
      <c r="AA26" s="80">
        <v>674740</v>
      </c>
      <c r="AB26" s="30">
        <v>974172</v>
      </c>
      <c r="AC26" s="30">
        <v>455787</v>
      </c>
      <c r="AD26" s="1">
        <v>802437</v>
      </c>
      <c r="AE26" s="1">
        <v>857307.58</v>
      </c>
      <c r="AF26" s="1">
        <v>881474.97</v>
      </c>
      <c r="AG26" s="160">
        <v>851717.13</v>
      </c>
      <c r="AH26" s="160">
        <v>5590.45</v>
      </c>
      <c r="AI26" s="30">
        <f>SUM(AG26:AH26)</f>
        <v>857307.58</v>
      </c>
      <c r="AJ26" s="1"/>
      <c r="AK26" s="1">
        <v>876117.94</v>
      </c>
      <c r="AL26" s="1">
        <v>5357.03</v>
      </c>
      <c r="AM26" s="1">
        <f t="shared" si="7"/>
        <v>881474.97</v>
      </c>
      <c r="AN26" s="1"/>
      <c r="AO26" s="158">
        <v>761788.98</v>
      </c>
      <c r="AP26" s="158">
        <v>6380.55</v>
      </c>
      <c r="AQ26" s="30">
        <f>SUM(AO26:AP26)</f>
        <v>768169.53</v>
      </c>
      <c r="AS26" s="30">
        <v>725489.2</v>
      </c>
      <c r="AT26" s="30">
        <v>12348.75</v>
      </c>
      <c r="AU26" s="30">
        <f>SUM(AS26:AT26)</f>
        <v>737837.95</v>
      </c>
      <c r="AW26" s="30">
        <v>1034999.91</v>
      </c>
      <c r="AX26" s="30">
        <v>8146.95</v>
      </c>
      <c r="AY26" s="30">
        <f>SUM(AW26:AX26)</f>
        <v>1043146.86</v>
      </c>
      <c r="BA26" s="158">
        <v>1622204.72</v>
      </c>
      <c r="BB26" s="30">
        <v>6474.33</v>
      </c>
      <c r="BC26" s="30">
        <f>SUM(BA26:BB26)</f>
        <v>1628679.05</v>
      </c>
      <c r="BE26" s="158">
        <v>1293558.78</v>
      </c>
      <c r="BF26" s="30">
        <v>8704.1299999999992</v>
      </c>
      <c r="BG26" s="30">
        <f>SUM(BE26:BF26)</f>
        <v>1302262.9099999999</v>
      </c>
      <c r="BI26" s="158">
        <v>1008190.82</v>
      </c>
      <c r="BJ26" s="30">
        <v>6560.45</v>
      </c>
      <c r="BK26" s="30">
        <f>SUM(BI26:BJ26)</f>
        <v>1014751.2699999999</v>
      </c>
      <c r="BM26" s="30">
        <v>1020979.44</v>
      </c>
      <c r="BN26" s="30">
        <v>5938.11</v>
      </c>
      <c r="BO26" s="30">
        <f>SUM(BM26:BN26)</f>
        <v>1026917.5499999999</v>
      </c>
      <c r="BQ26" s="160">
        <v>1350220.51</v>
      </c>
      <c r="BR26" s="160">
        <v>8648.57</v>
      </c>
      <c r="BS26" s="30">
        <f>SUM(BQ26:BR26)</f>
        <v>1358869.08</v>
      </c>
      <c r="BU26" s="160">
        <v>1364544.59</v>
      </c>
      <c r="BV26" s="160">
        <v>9130.36</v>
      </c>
      <c r="BW26" s="30">
        <f>SUM(BU26:BV26)</f>
        <v>1373674.9500000002</v>
      </c>
      <c r="BY26" s="30">
        <v>719272.51</v>
      </c>
      <c r="BZ26" s="30">
        <v>11673.07</v>
      </c>
      <c r="CA26" s="30">
        <f t="shared" si="8"/>
        <v>730945.58</v>
      </c>
    </row>
    <row r="27" spans="1:79" s="30" customFormat="1">
      <c r="A27" s="1" t="s">
        <v>19</v>
      </c>
      <c r="B27" s="1">
        <v>1536377</v>
      </c>
      <c r="C27" s="1">
        <v>824266</v>
      </c>
      <c r="D27" s="1">
        <v>1406012.4</v>
      </c>
      <c r="E27" s="1">
        <v>992792</v>
      </c>
      <c r="F27" s="1">
        <v>1067898</v>
      </c>
      <c r="G27" s="1">
        <v>676054</v>
      </c>
      <c r="H27" s="1">
        <v>765813</v>
      </c>
      <c r="I27" s="1">
        <v>777866</v>
      </c>
      <c r="J27" s="1">
        <v>650878</v>
      </c>
      <c r="K27" s="1">
        <v>1033417</v>
      </c>
      <c r="L27" s="239">
        <f>(K27-J27)*100/J27</f>
        <v>58.772765403040204</v>
      </c>
      <c r="M27" s="239">
        <f t="shared" si="6"/>
        <v>-31.241201319010798</v>
      </c>
      <c r="N27" s="36">
        <v>345433</v>
      </c>
      <c r="O27" s="36">
        <v>528914</v>
      </c>
      <c r="P27" s="36">
        <v>378864</v>
      </c>
      <c r="Q27" s="184">
        <v>411256</v>
      </c>
      <c r="R27" s="184">
        <v>473594</v>
      </c>
      <c r="S27" s="184">
        <v>613909</v>
      </c>
      <c r="T27" s="184">
        <v>7048</v>
      </c>
      <c r="U27" s="184">
        <v>630199</v>
      </c>
      <c r="V27" s="184">
        <f>1182898+4997</f>
        <v>1187895</v>
      </c>
      <c r="W27" s="184">
        <f>681425+6237</f>
        <v>687662</v>
      </c>
      <c r="X27" s="36">
        <f>1431185+11377</f>
        <v>1442562</v>
      </c>
      <c r="Y27" s="36">
        <f>1499554+5619</f>
        <v>1505173</v>
      </c>
      <c r="Z27" s="36">
        <v>1686294</v>
      </c>
      <c r="AA27" s="80">
        <v>655977</v>
      </c>
      <c r="AB27" s="30">
        <v>757612</v>
      </c>
      <c r="AC27" s="30">
        <v>765790</v>
      </c>
      <c r="AD27" s="1">
        <v>1581293</v>
      </c>
      <c r="AE27" s="1">
        <v>1245054.3900000001</v>
      </c>
      <c r="AF27" s="1">
        <v>1502959.6500000001</v>
      </c>
      <c r="AG27" s="160">
        <v>1242750.8</v>
      </c>
      <c r="AH27" s="160">
        <v>2303.59</v>
      </c>
      <c r="AI27" s="30">
        <f>SUM(AG27:AH27)</f>
        <v>1245054.3900000001</v>
      </c>
      <c r="AJ27" s="1"/>
      <c r="AK27" s="1">
        <v>1499670.32</v>
      </c>
      <c r="AL27" s="1">
        <v>3289.33</v>
      </c>
      <c r="AM27" s="1">
        <f t="shared" si="7"/>
        <v>1502959.6500000001</v>
      </c>
      <c r="AN27" s="1"/>
      <c r="AO27" s="158">
        <v>1534464.66</v>
      </c>
      <c r="AP27" s="158">
        <v>1912.53</v>
      </c>
      <c r="AQ27" s="30">
        <f>SUM(AO27:AP27)</f>
        <v>1536377.19</v>
      </c>
      <c r="AS27" s="30">
        <v>822325.32</v>
      </c>
      <c r="AT27" s="30">
        <v>1940.43</v>
      </c>
      <c r="AU27" s="30">
        <f>SUM(AS27:AT27)</f>
        <v>824265.75</v>
      </c>
      <c r="AW27" s="30">
        <v>1404604.09</v>
      </c>
      <c r="AX27" s="30">
        <v>1408.31</v>
      </c>
      <c r="AY27" s="30">
        <f>SUM(AW27:AX27)</f>
        <v>1406012.4000000001</v>
      </c>
      <c r="BA27" s="158">
        <v>991052</v>
      </c>
      <c r="BB27" s="30">
        <v>1740</v>
      </c>
      <c r="BC27" s="30">
        <f>SUM(BA27:BB27)</f>
        <v>992792</v>
      </c>
      <c r="BE27" s="158">
        <v>1066469</v>
      </c>
      <c r="BF27" s="30">
        <v>1429</v>
      </c>
      <c r="BG27" s="30">
        <f>SUM(BE27:BF27)</f>
        <v>1067898</v>
      </c>
      <c r="BI27" s="158">
        <v>621383</v>
      </c>
      <c r="BJ27" s="30">
        <v>54671</v>
      </c>
      <c r="BK27" s="30">
        <f>SUM(BI27:BJ27)</f>
        <v>676054</v>
      </c>
      <c r="BM27" s="30">
        <v>762711</v>
      </c>
      <c r="BN27" s="30">
        <v>3102</v>
      </c>
      <c r="BO27" s="30">
        <f>SUM(BM27:BN27)</f>
        <v>765813</v>
      </c>
      <c r="BQ27" s="160">
        <v>772189</v>
      </c>
      <c r="BR27" s="160">
        <v>5677</v>
      </c>
      <c r="BS27" s="30">
        <f>SUM(BQ27:BR27)</f>
        <v>777866</v>
      </c>
      <c r="BU27" s="160">
        <v>648119</v>
      </c>
      <c r="BV27" s="160">
        <v>2759</v>
      </c>
      <c r="BW27" s="30">
        <f>SUM(BU27:BV27)</f>
        <v>650878</v>
      </c>
      <c r="BY27" s="30">
        <v>1032606</v>
      </c>
      <c r="BZ27" s="30">
        <v>811</v>
      </c>
      <c r="CA27" s="30">
        <f t="shared" si="8"/>
        <v>1033417</v>
      </c>
    </row>
    <row r="28" spans="1:79" s="30" customFormat="1">
      <c r="A28" s="1" t="s">
        <v>20</v>
      </c>
      <c r="B28" s="1">
        <v>0</v>
      </c>
      <c r="C28" s="120">
        <v>0</v>
      </c>
      <c r="D28" s="120">
        <v>9541</v>
      </c>
      <c r="E28" s="1">
        <v>5710</v>
      </c>
      <c r="F28" s="1">
        <v>41193</v>
      </c>
      <c r="G28" s="1">
        <v>35549.870000000003</v>
      </c>
      <c r="H28" s="1">
        <v>0</v>
      </c>
      <c r="I28" s="120">
        <v>35673.58</v>
      </c>
      <c r="J28" s="120">
        <v>25080.74</v>
      </c>
      <c r="K28" s="1">
        <v>0</v>
      </c>
      <c r="L28" s="239">
        <f>(K28-J28)*100/J28</f>
        <v>-100</v>
      </c>
      <c r="M28" s="239">
        <f t="shared" si="6"/>
        <v>-100</v>
      </c>
      <c r="N28" s="36">
        <v>27070</v>
      </c>
      <c r="O28" s="36">
        <v>28570</v>
      </c>
      <c r="P28" s="184">
        <v>34463</v>
      </c>
      <c r="Q28" s="184">
        <v>29475</v>
      </c>
      <c r="R28" s="184">
        <v>30427</v>
      </c>
      <c r="S28" s="184">
        <v>35716</v>
      </c>
      <c r="T28" s="184">
        <v>29384</v>
      </c>
      <c r="U28" s="184">
        <v>33101</v>
      </c>
      <c r="V28" s="184">
        <v>33854</v>
      </c>
      <c r="W28" s="184">
        <v>34126</v>
      </c>
      <c r="X28" s="36">
        <v>39969</v>
      </c>
      <c r="Y28" s="36">
        <v>32642</v>
      </c>
      <c r="Z28" s="36">
        <v>926</v>
      </c>
      <c r="AA28" s="80">
        <v>9154</v>
      </c>
      <c r="AB28" s="30">
        <v>1058</v>
      </c>
      <c r="AC28" s="30">
        <v>60082</v>
      </c>
      <c r="AD28" s="1">
        <v>11353</v>
      </c>
      <c r="AE28" s="1">
        <v>57661.26</v>
      </c>
      <c r="AF28" s="1">
        <v>1500</v>
      </c>
      <c r="AG28" s="160">
        <v>54571.8</v>
      </c>
      <c r="AH28" s="128">
        <v>3089.46</v>
      </c>
      <c r="AI28" s="30">
        <f>SUM(AG28:AH28)</f>
        <v>57661.26</v>
      </c>
      <c r="AJ28" s="1"/>
      <c r="AK28" s="1">
        <v>1500</v>
      </c>
      <c r="AL28" s="1"/>
      <c r="AM28" s="1">
        <f t="shared" si="7"/>
        <v>1500</v>
      </c>
      <c r="AN28" s="1"/>
      <c r="AO28" s="158">
        <v>0</v>
      </c>
      <c r="AP28" s="92"/>
      <c r="AQ28" s="30">
        <f>SUM(AO28:AP28)</f>
        <v>0</v>
      </c>
      <c r="AS28" s="30">
        <v>0</v>
      </c>
      <c r="AU28" s="30">
        <f>SUM(AS28:AT28)</f>
        <v>0</v>
      </c>
      <c r="AW28" s="30">
        <v>9541</v>
      </c>
      <c r="AY28" s="30">
        <f>SUM(AW28:AX28)</f>
        <v>9541</v>
      </c>
      <c r="BA28" s="158">
        <v>5710</v>
      </c>
      <c r="BB28" s="30">
        <v>0</v>
      </c>
      <c r="BC28" s="30">
        <f>SUM(BA28:BB28)</f>
        <v>5710</v>
      </c>
      <c r="BE28" s="158">
        <v>41193</v>
      </c>
      <c r="BF28" s="30">
        <v>0</v>
      </c>
      <c r="BG28" s="30">
        <f>SUM(BE28:BF28)</f>
        <v>41193</v>
      </c>
      <c r="BI28" s="158">
        <v>35549.870000000003</v>
      </c>
      <c r="BK28" s="30">
        <f>SUM(BI28:BJ28)</f>
        <v>35549.870000000003</v>
      </c>
      <c r="BN28" s="30">
        <v>0</v>
      </c>
      <c r="BO28" s="30">
        <f>SUM(BM28:BN28)</f>
        <v>0</v>
      </c>
      <c r="BQ28" s="160">
        <v>35673.58</v>
      </c>
      <c r="BR28" s="281">
        <v>0</v>
      </c>
      <c r="BS28" s="30">
        <f>SUM(BQ28:BR28)</f>
        <v>35673.58</v>
      </c>
      <c r="BU28" s="160">
        <v>25080.74</v>
      </c>
      <c r="BV28" s="281">
        <v>0</v>
      </c>
      <c r="BW28" s="30">
        <f>SUM(BU28:BV28)</f>
        <v>25080.74</v>
      </c>
      <c r="BY28" s="30">
        <v>0</v>
      </c>
      <c r="BZ28" s="30">
        <v>0</v>
      </c>
      <c r="CA28" s="30">
        <f t="shared" si="8"/>
        <v>0</v>
      </c>
    </row>
    <row r="29" spans="1:79" s="30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39"/>
      <c r="M29" s="239"/>
      <c r="N29" s="36"/>
      <c r="O29" s="36"/>
      <c r="Q29" s="184"/>
      <c r="R29" s="184"/>
      <c r="S29" s="184"/>
      <c r="T29" s="184"/>
      <c r="U29" s="184"/>
      <c r="V29" s="184"/>
      <c r="W29" s="184"/>
      <c r="X29" s="36"/>
      <c r="Y29" s="36"/>
      <c r="Z29" s="36"/>
      <c r="AA29" s="80"/>
      <c r="AD29" s="1"/>
      <c r="AE29" s="1"/>
      <c r="AF29" s="1"/>
      <c r="AG29" s="128"/>
      <c r="AH29" s="128"/>
      <c r="AJ29" s="1"/>
      <c r="AK29" s="1"/>
      <c r="AL29" s="1"/>
      <c r="AM29" s="1"/>
      <c r="AN29" s="1"/>
      <c r="AO29" s="92"/>
      <c r="AP29" s="92"/>
      <c r="BA29" s="222"/>
      <c r="BE29" s="222"/>
      <c r="BI29" s="222"/>
      <c r="BQ29" s="318"/>
      <c r="BR29" s="284"/>
      <c r="BU29" s="318"/>
      <c r="BV29" s="284"/>
    </row>
    <row r="30" spans="1:79" s="30" customFormat="1">
      <c r="A30" s="1" t="s">
        <v>21</v>
      </c>
      <c r="B30" s="1">
        <v>26860</v>
      </c>
      <c r="C30" s="1">
        <v>2624577</v>
      </c>
      <c r="D30" s="1">
        <v>4406482.8899999997</v>
      </c>
      <c r="E30" s="1">
        <v>5044220.63</v>
      </c>
      <c r="F30" s="1">
        <v>3932929.71</v>
      </c>
      <c r="G30" s="1">
        <v>2790871.6700000004</v>
      </c>
      <c r="H30" s="1">
        <v>3023681.34</v>
      </c>
      <c r="I30" s="1">
        <v>2586940.12</v>
      </c>
      <c r="J30" s="1">
        <v>2549185.89</v>
      </c>
      <c r="K30" s="1">
        <v>2420177.02</v>
      </c>
      <c r="L30" s="239">
        <f t="shared" ref="L30:L39" si="9">(K30-J30)*100/J30</f>
        <v>-5.0607870734762344</v>
      </c>
      <c r="M30" s="239">
        <f t="shared" si="6"/>
        <v>-9.4260621761594017</v>
      </c>
      <c r="N30" s="36">
        <v>686482</v>
      </c>
      <c r="O30" s="36">
        <v>1244798</v>
      </c>
      <c r="P30" s="184">
        <v>1429256</v>
      </c>
      <c r="Q30" s="184">
        <v>1608283</v>
      </c>
      <c r="R30" s="184">
        <v>3087089</v>
      </c>
      <c r="S30" s="184">
        <v>2561520</v>
      </c>
      <c r="T30" s="184">
        <v>2727806</v>
      </c>
      <c r="U30" s="184">
        <v>1911204</v>
      </c>
      <c r="V30" s="184">
        <f>2133613+27204</f>
        <v>2160817</v>
      </c>
      <c r="W30" s="184">
        <f>2197702+31115</f>
        <v>2228817</v>
      </c>
      <c r="X30" s="36">
        <f>2113387+33528</f>
        <v>2146915</v>
      </c>
      <c r="Y30" s="36">
        <f>2452468+31693</f>
        <v>2484161</v>
      </c>
      <c r="Z30" s="36">
        <v>2186196</v>
      </c>
      <c r="AA30" s="80">
        <v>2652522</v>
      </c>
      <c r="AB30" s="30">
        <v>4127075</v>
      </c>
      <c r="AC30" s="30">
        <v>4886583</v>
      </c>
      <c r="AD30" s="1">
        <v>2886871</v>
      </c>
      <c r="AE30" s="1">
        <v>3397753.97</v>
      </c>
      <c r="AF30" s="1">
        <v>2672045.71</v>
      </c>
      <c r="AG30" s="160">
        <v>3355660.81</v>
      </c>
      <c r="AH30" s="128">
        <v>42093.16</v>
      </c>
      <c r="AI30" s="30">
        <f>SUM(AG30:AH30)</f>
        <v>3397753.97</v>
      </c>
      <c r="AJ30" s="1"/>
      <c r="AK30" s="1">
        <v>2633574.44</v>
      </c>
      <c r="AL30" s="1">
        <v>38471.269999999997</v>
      </c>
      <c r="AM30" s="1">
        <f t="shared" si="7"/>
        <v>2672045.71</v>
      </c>
      <c r="AN30" s="1"/>
      <c r="AO30" s="158">
        <v>0</v>
      </c>
      <c r="AP30" s="92">
        <v>26859.75</v>
      </c>
      <c r="AQ30" s="30">
        <f>SUM(AO30:AP30)</f>
        <v>26859.75</v>
      </c>
      <c r="AS30" s="30">
        <v>2599421.92</v>
      </c>
      <c r="AT30" s="30">
        <v>25155.13</v>
      </c>
      <c r="AU30" s="30">
        <f>SUM(AS30:AT30)</f>
        <v>2624577.0499999998</v>
      </c>
      <c r="AW30" s="30">
        <v>4376922.1900000004</v>
      </c>
      <c r="AX30" s="30">
        <v>29560.7</v>
      </c>
      <c r="AY30" s="30">
        <f>SUM(AW30:AX30)</f>
        <v>4406482.8900000006</v>
      </c>
      <c r="BA30" s="158">
        <v>5020054.49</v>
      </c>
      <c r="BB30" s="30">
        <v>24166.14</v>
      </c>
      <c r="BC30" s="30">
        <f>SUM(BA30:BB30)</f>
        <v>5044220.63</v>
      </c>
      <c r="BE30" s="158">
        <v>3912755.86</v>
      </c>
      <c r="BF30" s="30">
        <v>20173.849999999999</v>
      </c>
      <c r="BG30" s="30">
        <f>SUM(BE30:BF30)</f>
        <v>3932929.71</v>
      </c>
      <c r="BI30" s="158">
        <v>2763911.18</v>
      </c>
      <c r="BJ30" s="30">
        <v>26960.49</v>
      </c>
      <c r="BK30" s="30">
        <f>SUM(BI30:BJ30)</f>
        <v>2790871.6700000004</v>
      </c>
      <c r="BM30" s="30">
        <v>2996797.26</v>
      </c>
      <c r="BN30" s="30">
        <v>26884.080000000002</v>
      </c>
      <c r="BO30" s="30">
        <f>SUM(BM30:BN30)</f>
        <v>3023681.34</v>
      </c>
      <c r="BQ30" s="160">
        <v>2566408.6800000002</v>
      </c>
      <c r="BR30" s="128">
        <v>20531.439999999999</v>
      </c>
      <c r="BS30" s="30">
        <f>SUM(BQ30:BR30)</f>
        <v>2586940.12</v>
      </c>
      <c r="BU30" s="160">
        <v>2538195.69</v>
      </c>
      <c r="BV30" s="128">
        <v>10990.2</v>
      </c>
      <c r="BW30" s="30">
        <f>SUM(BU30:BV30)</f>
        <v>2549185.89</v>
      </c>
      <c r="BY30" s="30">
        <v>2403588.91</v>
      </c>
      <c r="BZ30" s="30">
        <v>16588.11</v>
      </c>
      <c r="CA30" s="30">
        <f t="shared" si="8"/>
        <v>2420177.02</v>
      </c>
    </row>
    <row r="31" spans="1:79" s="30" customFormat="1">
      <c r="A31" s="1" t="s">
        <v>22</v>
      </c>
      <c r="B31" s="1">
        <v>1285158</v>
      </c>
      <c r="C31" s="1">
        <v>2728000</v>
      </c>
      <c r="D31" s="1">
        <v>4287445.5</v>
      </c>
      <c r="E31" s="1">
        <v>5358250.3</v>
      </c>
      <c r="F31" s="1">
        <v>6123567.6399999997</v>
      </c>
      <c r="G31" s="1">
        <v>1155401.25</v>
      </c>
      <c r="H31" s="1">
        <v>1179967.0299999998</v>
      </c>
      <c r="I31" s="1">
        <v>425201.93</v>
      </c>
      <c r="J31" s="1">
        <v>234556.56</v>
      </c>
      <c r="K31" s="1">
        <v>582280.5</v>
      </c>
      <c r="L31" s="239">
        <f t="shared" si="9"/>
        <v>148.24737368249262</v>
      </c>
      <c r="M31" s="239">
        <f t="shared" si="6"/>
        <v>-79.244589171380213</v>
      </c>
      <c r="N31" s="36">
        <v>234909</v>
      </c>
      <c r="O31" s="36">
        <v>371196</v>
      </c>
      <c r="P31" s="184">
        <v>468302</v>
      </c>
      <c r="Q31" s="184">
        <v>305388</v>
      </c>
      <c r="R31" s="184">
        <v>323055</v>
      </c>
      <c r="S31" s="184">
        <v>399076</v>
      </c>
      <c r="T31" s="184">
        <v>0</v>
      </c>
      <c r="U31" s="184">
        <v>306195</v>
      </c>
      <c r="V31" s="184">
        <v>1153256</v>
      </c>
      <c r="W31" s="184">
        <f>1081911-3</f>
        <v>1081908</v>
      </c>
      <c r="X31" s="36">
        <f>1087871+67</f>
        <v>1087938</v>
      </c>
      <c r="Y31" s="36">
        <f>1572536+113</f>
        <v>1572649</v>
      </c>
      <c r="Z31" s="36">
        <v>630375</v>
      </c>
      <c r="AA31" s="80">
        <v>640664</v>
      </c>
      <c r="AB31" s="30">
        <v>1052345</v>
      </c>
      <c r="AC31" s="30">
        <v>2587073</v>
      </c>
      <c r="AD31" s="1">
        <v>1689013</v>
      </c>
      <c r="AE31" s="1">
        <v>1643451.6700000002</v>
      </c>
      <c r="AF31" s="1">
        <v>2805439.5300000003</v>
      </c>
      <c r="AG31" s="160">
        <v>1642099.87</v>
      </c>
      <c r="AH31" s="128">
        <v>1351.8</v>
      </c>
      <c r="AI31" s="30">
        <f>SUM(AG31:AH31)</f>
        <v>1643451.6700000002</v>
      </c>
      <c r="AJ31" s="1"/>
      <c r="AK31" s="1">
        <v>2804812.83</v>
      </c>
      <c r="AL31" s="1">
        <v>626.70000000000005</v>
      </c>
      <c r="AM31" s="1">
        <f t="shared" si="7"/>
        <v>2805439.5300000003</v>
      </c>
      <c r="AN31" s="1"/>
      <c r="AO31" s="158">
        <v>1285157.75</v>
      </c>
      <c r="AP31" s="92">
        <v>0</v>
      </c>
      <c r="AQ31" s="30">
        <f>SUM(AO31:AP31)</f>
        <v>1285157.75</v>
      </c>
      <c r="AS31" s="30">
        <v>2728000.19</v>
      </c>
      <c r="AT31" s="30">
        <v>0</v>
      </c>
      <c r="AU31" s="30">
        <f>SUM(AS31:AT31)</f>
        <v>2728000.19</v>
      </c>
      <c r="AW31" s="30">
        <v>4287445.5</v>
      </c>
      <c r="AX31" s="30">
        <v>0</v>
      </c>
      <c r="AY31" s="30">
        <f>SUM(AW31:AX31)</f>
        <v>4287445.5</v>
      </c>
      <c r="BA31" s="158">
        <v>5358250.3</v>
      </c>
      <c r="BB31" s="30">
        <v>0</v>
      </c>
      <c r="BC31" s="30">
        <f>SUM(BA31:BB31)</f>
        <v>5358250.3</v>
      </c>
      <c r="BE31" s="158">
        <v>6123567.6399999997</v>
      </c>
      <c r="BF31" s="30">
        <v>0</v>
      </c>
      <c r="BG31" s="30">
        <f>SUM(BE31:BF31)</f>
        <v>6123567.6399999997</v>
      </c>
      <c r="BI31" s="158">
        <v>1155401.25</v>
      </c>
      <c r="BJ31" s="30">
        <v>0</v>
      </c>
      <c r="BK31" s="30">
        <f>SUM(BI31:BJ31)</f>
        <v>1155401.25</v>
      </c>
      <c r="BM31" s="30">
        <v>1179967.0299999998</v>
      </c>
      <c r="BN31" s="30">
        <v>0</v>
      </c>
      <c r="BO31" s="30">
        <f>SUM(BM31:BN31)</f>
        <v>1179967.0299999998</v>
      </c>
      <c r="BQ31" s="160">
        <v>425201.93</v>
      </c>
      <c r="BR31" s="281">
        <v>0</v>
      </c>
      <c r="BS31" s="30">
        <f>SUM(BQ31:BR31)</f>
        <v>425201.93</v>
      </c>
      <c r="BU31" s="160">
        <v>234556.56</v>
      </c>
      <c r="BV31" s="281">
        <v>0</v>
      </c>
      <c r="BW31" s="30">
        <f>SUM(BU31:BV31)</f>
        <v>234556.56</v>
      </c>
      <c r="BY31" s="30">
        <v>582280.5</v>
      </c>
      <c r="BZ31" s="30">
        <v>0</v>
      </c>
      <c r="CA31" s="30">
        <f t="shared" si="8"/>
        <v>582280.5</v>
      </c>
    </row>
    <row r="32" spans="1:79" s="30" customFormat="1">
      <c r="A32" s="1" t="s">
        <v>23</v>
      </c>
      <c r="B32" s="1">
        <v>135410</v>
      </c>
      <c r="C32" s="1">
        <v>111970</v>
      </c>
      <c r="D32" s="1">
        <v>98461.66</v>
      </c>
      <c r="E32" s="1">
        <v>96307.91</v>
      </c>
      <c r="F32" s="1">
        <v>142679.72</v>
      </c>
      <c r="G32" s="1">
        <v>139026.99</v>
      </c>
      <c r="H32" s="1">
        <v>0</v>
      </c>
      <c r="I32" s="120">
        <v>85706.93</v>
      </c>
      <c r="J32" s="120">
        <v>89731.35</v>
      </c>
      <c r="K32" s="1">
        <v>0</v>
      </c>
      <c r="L32" s="239">
        <f>(K32-J32)*100/J32</f>
        <v>-100</v>
      </c>
      <c r="M32" s="239">
        <f t="shared" si="6"/>
        <v>-100</v>
      </c>
      <c r="N32" s="36">
        <v>66526</v>
      </c>
      <c r="O32" s="36">
        <v>1</v>
      </c>
      <c r="P32" s="184">
        <v>93968</v>
      </c>
      <c r="Q32" s="184">
        <v>108102</v>
      </c>
      <c r="R32" s="184">
        <v>81982</v>
      </c>
      <c r="S32" s="184">
        <v>160056</v>
      </c>
      <c r="T32" s="184">
        <v>134115</v>
      </c>
      <c r="U32" s="184">
        <v>189152</v>
      </c>
      <c r="V32" s="184">
        <v>185749</v>
      </c>
      <c r="W32" s="184">
        <v>168377</v>
      </c>
      <c r="X32" s="36">
        <v>212752</v>
      </c>
      <c r="Y32" s="36">
        <v>182387</v>
      </c>
      <c r="Z32" s="36">
        <v>177704</v>
      </c>
      <c r="AA32" s="80">
        <v>152291</v>
      </c>
      <c r="AB32" s="30">
        <v>155156</v>
      </c>
      <c r="AC32" s="30">
        <v>187841</v>
      </c>
      <c r="AD32" s="1">
        <v>207919</v>
      </c>
      <c r="AE32" s="1">
        <v>131417.04</v>
      </c>
      <c r="AF32" s="1">
        <v>246770.43</v>
      </c>
      <c r="AG32" s="160">
        <v>131417.04</v>
      </c>
      <c r="AH32" s="128">
        <v>0</v>
      </c>
      <c r="AI32" s="30">
        <f>SUM(AG32:AH32)</f>
        <v>131417.04</v>
      </c>
      <c r="AJ32" s="1"/>
      <c r="AK32" s="1">
        <v>246770.43</v>
      </c>
      <c r="AL32" s="1">
        <v>0</v>
      </c>
      <c r="AM32" s="1">
        <f t="shared" si="7"/>
        <v>246770.43</v>
      </c>
      <c r="AN32" s="1"/>
      <c r="AO32" s="158">
        <v>135409.88</v>
      </c>
      <c r="AP32" s="92">
        <v>0</v>
      </c>
      <c r="AQ32" s="30">
        <f>SUM(AO32:AP32)</f>
        <v>135409.88</v>
      </c>
      <c r="AS32" s="30">
        <v>111970.26</v>
      </c>
      <c r="AT32" s="30">
        <v>0</v>
      </c>
      <c r="AU32" s="30">
        <f>SUM(AS32:AT32)</f>
        <v>111970.26</v>
      </c>
      <c r="AW32" s="30">
        <v>98461.66</v>
      </c>
      <c r="AX32" s="30">
        <v>0</v>
      </c>
      <c r="AY32" s="30">
        <f>SUM(AW32:AX32)</f>
        <v>98461.66</v>
      </c>
      <c r="BA32" s="158">
        <v>96307.91</v>
      </c>
      <c r="BB32" s="30">
        <v>0</v>
      </c>
      <c r="BC32" s="30">
        <f>SUM(BA32:BB32)</f>
        <v>96307.91</v>
      </c>
      <c r="BE32" s="158">
        <v>142679.72</v>
      </c>
      <c r="BF32" s="30">
        <v>0</v>
      </c>
      <c r="BG32" s="30">
        <f>SUM(BE32:BF32)</f>
        <v>142679.72</v>
      </c>
      <c r="BI32" s="158">
        <v>139026.99</v>
      </c>
      <c r="BJ32" s="30">
        <v>0</v>
      </c>
      <c r="BK32" s="30">
        <f>SUM(BI32:BJ32)</f>
        <v>139026.99</v>
      </c>
      <c r="BN32" s="30">
        <v>0</v>
      </c>
      <c r="BO32" s="30">
        <f>SUM(BM32:BN32)</f>
        <v>0</v>
      </c>
      <c r="BQ32" s="160">
        <v>85706.93</v>
      </c>
      <c r="BR32" s="281">
        <v>0</v>
      </c>
      <c r="BS32" s="30">
        <f>SUM(BQ32:BR32)</f>
        <v>85706.93</v>
      </c>
      <c r="BU32" s="160">
        <v>89731.35</v>
      </c>
      <c r="BV32" s="281">
        <v>0</v>
      </c>
      <c r="BW32" s="30">
        <f>SUM(BU32:BV32)</f>
        <v>89731.35</v>
      </c>
      <c r="BY32" s="30">
        <v>0</v>
      </c>
      <c r="BZ32" s="30">
        <v>0</v>
      </c>
      <c r="CA32" s="30">
        <f t="shared" si="8"/>
        <v>0</v>
      </c>
    </row>
    <row r="33" spans="1:79" s="30" customFormat="1">
      <c r="A33" s="1" t="s">
        <v>24</v>
      </c>
      <c r="B33" s="1">
        <v>222486</v>
      </c>
      <c r="C33" s="1">
        <v>407030</v>
      </c>
      <c r="D33" s="1">
        <v>282843.64</v>
      </c>
      <c r="E33" s="1">
        <v>287931.84999999998</v>
      </c>
      <c r="F33" s="1">
        <v>310106.90000000002</v>
      </c>
      <c r="G33" s="1">
        <v>298249.84999999998</v>
      </c>
      <c r="H33" s="1">
        <v>471841.12</v>
      </c>
      <c r="I33" s="1">
        <v>246917.11</v>
      </c>
      <c r="J33" s="1">
        <v>237946.44</v>
      </c>
      <c r="K33" s="1">
        <v>218074.14</v>
      </c>
      <c r="L33" s="239">
        <f t="shared" si="9"/>
        <v>-8.3515853399613746</v>
      </c>
      <c r="M33" s="239">
        <f t="shared" si="6"/>
        <v>73.845096412961453</v>
      </c>
      <c r="N33" s="36">
        <v>190394</v>
      </c>
      <c r="O33" s="36">
        <v>225049</v>
      </c>
      <c r="P33" s="184">
        <v>188419</v>
      </c>
      <c r="Q33" s="184">
        <v>197708</v>
      </c>
      <c r="R33" s="184">
        <v>173163</v>
      </c>
      <c r="S33" s="184">
        <v>316928</v>
      </c>
      <c r="T33" s="184">
        <v>204470</v>
      </c>
      <c r="U33" s="184">
        <v>160980</v>
      </c>
      <c r="V33" s="184">
        <f>298272+1461</f>
        <v>299733</v>
      </c>
      <c r="W33" s="184">
        <f>166253+1704</f>
        <v>167957</v>
      </c>
      <c r="X33" s="36">
        <f>305412+1670</f>
        <v>307082</v>
      </c>
      <c r="Y33" s="36">
        <f>65974+1296</f>
        <v>67270</v>
      </c>
      <c r="Z33" s="36">
        <v>124381</v>
      </c>
      <c r="AA33" s="80">
        <v>308582</v>
      </c>
      <c r="AB33" s="30">
        <v>229198</v>
      </c>
      <c r="AC33" s="30">
        <v>278553</v>
      </c>
      <c r="AD33" s="1">
        <v>287904</v>
      </c>
      <c r="AE33" s="1">
        <v>381451.97</v>
      </c>
      <c r="AF33" s="1">
        <v>125441.64</v>
      </c>
      <c r="AG33" s="160">
        <v>381451.97</v>
      </c>
      <c r="AH33" s="128">
        <v>0</v>
      </c>
      <c r="AI33" s="30">
        <f>SUM(AG33:AH33)</f>
        <v>381451.97</v>
      </c>
      <c r="AJ33" s="1"/>
      <c r="AK33" s="1">
        <v>125441.64</v>
      </c>
      <c r="AL33" s="1">
        <v>0</v>
      </c>
      <c r="AM33" s="1">
        <f t="shared" si="7"/>
        <v>125441.64</v>
      </c>
      <c r="AN33" s="1"/>
      <c r="AO33" s="158">
        <v>222486.18</v>
      </c>
      <c r="AP33" s="92">
        <v>0</v>
      </c>
      <c r="AQ33" s="30">
        <f>SUM(AO33:AP33)</f>
        <v>222486.18</v>
      </c>
      <c r="AS33" s="30">
        <v>407030.24</v>
      </c>
      <c r="AT33" s="30">
        <v>0</v>
      </c>
      <c r="AU33" s="30">
        <f>SUM(AS33:AT33)</f>
        <v>407030.24</v>
      </c>
      <c r="AW33" s="30">
        <v>282843.64</v>
      </c>
      <c r="AX33" s="30">
        <v>0</v>
      </c>
      <c r="AY33" s="30">
        <f>SUM(AW33:AX33)</f>
        <v>282843.64</v>
      </c>
      <c r="BA33" s="158">
        <v>287931.84999999998</v>
      </c>
      <c r="BB33" s="30">
        <v>0</v>
      </c>
      <c r="BC33" s="30">
        <f>SUM(BA33:BB33)</f>
        <v>287931.84999999998</v>
      </c>
      <c r="BE33" s="158">
        <v>310106.90000000002</v>
      </c>
      <c r="BF33" s="30">
        <v>0</v>
      </c>
      <c r="BG33" s="30">
        <f>SUM(BE33:BF33)</f>
        <v>310106.90000000002</v>
      </c>
      <c r="BI33" s="158">
        <v>298249.84999999998</v>
      </c>
      <c r="BJ33" s="30">
        <v>0</v>
      </c>
      <c r="BK33" s="30">
        <f>SUM(BI33:BJ33)</f>
        <v>298249.84999999998</v>
      </c>
      <c r="BM33" s="30">
        <v>471841.12</v>
      </c>
      <c r="BN33" s="30">
        <v>0</v>
      </c>
      <c r="BO33" s="30">
        <f>SUM(BM33:BN33)</f>
        <v>471841.12</v>
      </c>
      <c r="BQ33" s="160">
        <v>246917.11</v>
      </c>
      <c r="BR33" s="281">
        <v>0</v>
      </c>
      <c r="BS33" s="30">
        <f>SUM(BQ33:BR33)</f>
        <v>246917.11</v>
      </c>
      <c r="BU33" s="160">
        <v>237946.44</v>
      </c>
      <c r="BV33" s="281">
        <v>0</v>
      </c>
      <c r="BW33" s="30">
        <f>SUM(BU33:BV33)</f>
        <v>237946.44</v>
      </c>
      <c r="BY33" s="30">
        <v>218074.14</v>
      </c>
      <c r="BZ33" s="30">
        <v>0</v>
      </c>
      <c r="CA33" s="30">
        <f t="shared" si="8"/>
        <v>218074.14</v>
      </c>
    </row>
    <row r="34" spans="1:79" s="30" customFormat="1">
      <c r="A34" s="1" t="s">
        <v>25</v>
      </c>
      <c r="B34" s="1">
        <v>43651</v>
      </c>
      <c r="C34" s="1">
        <v>45547</v>
      </c>
      <c r="D34" s="1">
        <v>42700.35</v>
      </c>
      <c r="E34" s="1">
        <v>0</v>
      </c>
      <c r="F34" s="120">
        <v>0</v>
      </c>
      <c r="G34" s="120">
        <v>0</v>
      </c>
      <c r="H34" s="120">
        <v>50196.52</v>
      </c>
      <c r="I34" s="1">
        <v>48620.53</v>
      </c>
      <c r="J34" s="1">
        <v>47019.29</v>
      </c>
      <c r="K34" s="1">
        <v>11939.09</v>
      </c>
      <c r="L34" s="239">
        <f t="shared" si="9"/>
        <v>-74.608102334169644</v>
      </c>
      <c r="M34" s="239">
        <f t="shared" si="6"/>
        <v>-63.306744574577806</v>
      </c>
      <c r="N34" s="36">
        <v>17226</v>
      </c>
      <c r="O34" s="36">
        <v>18143</v>
      </c>
      <c r="P34" s="184">
        <v>17439</v>
      </c>
      <c r="Q34" s="184">
        <v>19340</v>
      </c>
      <c r="R34" s="184">
        <v>12505</v>
      </c>
      <c r="S34" s="184">
        <v>12129</v>
      </c>
      <c r="T34" s="184">
        <v>12592</v>
      </c>
      <c r="U34" s="184">
        <v>8618</v>
      </c>
      <c r="V34" s="184">
        <f>18922+758</f>
        <v>19680</v>
      </c>
      <c r="W34" s="184">
        <f>14513+378</f>
        <v>14891</v>
      </c>
      <c r="X34" s="36">
        <v>15592</v>
      </c>
      <c r="Y34" s="36">
        <v>10981</v>
      </c>
      <c r="Z34" s="36">
        <v>27626</v>
      </c>
      <c r="AA34" s="80">
        <v>20506</v>
      </c>
      <c r="AB34" s="30">
        <v>78225</v>
      </c>
      <c r="AC34" s="30">
        <v>33742</v>
      </c>
      <c r="AD34" s="1">
        <v>41152</v>
      </c>
      <c r="AE34" s="1">
        <v>28744.18</v>
      </c>
      <c r="AF34" s="1">
        <v>32537.56</v>
      </c>
      <c r="AG34" s="160">
        <v>28744.18</v>
      </c>
      <c r="AH34" s="128">
        <v>0</v>
      </c>
      <c r="AI34" s="30">
        <f>SUM(AG34:AH34)</f>
        <v>28744.18</v>
      </c>
      <c r="AJ34" s="1"/>
      <c r="AK34" s="1">
        <v>32537.56</v>
      </c>
      <c r="AL34" s="1">
        <v>0</v>
      </c>
      <c r="AM34" s="1">
        <f t="shared" si="7"/>
        <v>32537.56</v>
      </c>
      <c r="AN34" s="1"/>
      <c r="AO34" s="158">
        <v>43650.96</v>
      </c>
      <c r="AP34" s="92">
        <v>0</v>
      </c>
      <c r="AQ34" s="30">
        <f>SUM(AO34:AP34)</f>
        <v>43650.96</v>
      </c>
      <c r="AS34" s="30">
        <v>45546.81</v>
      </c>
      <c r="AT34" s="30">
        <v>0</v>
      </c>
      <c r="AU34" s="30">
        <f>SUM(AS34:AT34)</f>
        <v>45546.81</v>
      </c>
      <c r="AW34" s="30">
        <v>42700.35</v>
      </c>
      <c r="AX34" s="30">
        <v>0</v>
      </c>
      <c r="AY34" s="30">
        <f>SUM(AW34:AX34)</f>
        <v>42700.35</v>
      </c>
      <c r="BA34" s="158">
        <v>0</v>
      </c>
      <c r="BB34" s="30">
        <v>0</v>
      </c>
      <c r="BC34" s="30">
        <f>SUM(BA34:BB34)</f>
        <v>0</v>
      </c>
      <c r="BE34" s="158">
        <v>0</v>
      </c>
      <c r="BF34" s="30">
        <v>0</v>
      </c>
      <c r="BG34" s="30">
        <f>SUM(BE34:BF34)</f>
        <v>0</v>
      </c>
      <c r="BI34" s="158">
        <v>0</v>
      </c>
      <c r="BJ34" s="30">
        <v>0</v>
      </c>
      <c r="BK34" s="30">
        <f>SUM(BI34:BJ34)</f>
        <v>0</v>
      </c>
      <c r="BM34" s="30">
        <v>50196.52</v>
      </c>
      <c r="BN34" s="30">
        <v>0</v>
      </c>
      <c r="BO34" s="30">
        <f>SUM(BM34:BN34)</f>
        <v>50196.52</v>
      </c>
      <c r="BQ34" s="160">
        <v>48620.53</v>
      </c>
      <c r="BR34" s="281">
        <v>0</v>
      </c>
      <c r="BS34" s="30">
        <f>SUM(BQ34:BR34)</f>
        <v>48620.53</v>
      </c>
      <c r="BU34" s="160">
        <v>47019.29</v>
      </c>
      <c r="BV34" s="281">
        <v>0</v>
      </c>
      <c r="BW34" s="30">
        <f>SUM(BU34:BV34)</f>
        <v>47019.29</v>
      </c>
      <c r="BY34" s="30">
        <v>11939.09</v>
      </c>
      <c r="BZ34" s="30">
        <v>0</v>
      </c>
      <c r="CA34" s="30">
        <f t="shared" si="8"/>
        <v>11939.09</v>
      </c>
    </row>
    <row r="35" spans="1:79" s="30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39"/>
      <c r="M35" s="239"/>
      <c r="O35" s="36"/>
      <c r="P35" s="184"/>
      <c r="Q35" s="184"/>
      <c r="R35" s="184"/>
      <c r="S35" s="184"/>
      <c r="T35" s="184"/>
      <c r="U35" s="184"/>
      <c r="V35" s="184"/>
      <c r="W35" s="184"/>
      <c r="X35" s="36"/>
      <c r="Y35" s="36"/>
      <c r="Z35" s="36"/>
      <c r="AA35" s="80"/>
      <c r="AD35" s="1"/>
      <c r="AE35" s="1"/>
      <c r="AF35" s="1"/>
      <c r="AG35" s="128"/>
      <c r="AH35" s="128"/>
      <c r="AJ35" s="1"/>
      <c r="AK35" s="1"/>
      <c r="AL35" s="1"/>
      <c r="AM35" s="1"/>
      <c r="AN35" s="1"/>
      <c r="AO35" s="92"/>
      <c r="AP35" s="92"/>
      <c r="BA35" s="247"/>
      <c r="BE35" s="247"/>
      <c r="BI35" s="247"/>
      <c r="BQ35" s="319"/>
      <c r="BR35" s="284"/>
      <c r="BU35" s="319"/>
      <c r="BV35" s="284"/>
    </row>
    <row r="36" spans="1:79" s="30" customFormat="1">
      <c r="A36" s="1" t="s">
        <v>26</v>
      </c>
      <c r="B36" s="1">
        <v>40078</v>
      </c>
      <c r="C36" s="1">
        <v>40905</v>
      </c>
      <c r="D36" s="1">
        <v>34115.19</v>
      </c>
      <c r="E36" s="1">
        <v>100180.17</v>
      </c>
      <c r="F36" s="1">
        <v>107262.26</v>
      </c>
      <c r="G36" s="1">
        <v>108597.03</v>
      </c>
      <c r="H36" s="1">
        <v>281228.68</v>
      </c>
      <c r="I36" s="1">
        <v>137168.76999999999</v>
      </c>
      <c r="J36" s="1">
        <v>41825.67</v>
      </c>
      <c r="K36" s="1">
        <v>40584.46</v>
      </c>
      <c r="L36" s="239">
        <f t="shared" si="9"/>
        <v>-2.9675794793006283</v>
      </c>
      <c r="M36" s="239">
        <f t="shared" si="6"/>
        <v>-20.506687731972839</v>
      </c>
      <c r="N36" s="36">
        <v>60663</v>
      </c>
      <c r="O36" s="36">
        <v>62051</v>
      </c>
      <c r="P36" s="184">
        <v>52640</v>
      </c>
      <c r="Q36" s="184">
        <v>99868</v>
      </c>
      <c r="R36" s="184">
        <v>43448</v>
      </c>
      <c r="S36" s="184">
        <v>45408</v>
      </c>
      <c r="T36" s="184">
        <v>54945</v>
      </c>
      <c r="U36" s="184">
        <v>4957</v>
      </c>
      <c r="V36" s="184">
        <v>20950</v>
      </c>
      <c r="W36" s="184">
        <v>38430</v>
      </c>
      <c r="X36" s="36">
        <v>52103</v>
      </c>
      <c r="Y36" s="36">
        <v>34035</v>
      </c>
      <c r="Z36" s="36">
        <v>37797</v>
      </c>
      <c r="AA36" s="80">
        <v>43183</v>
      </c>
      <c r="AB36" s="30">
        <v>92725</v>
      </c>
      <c r="AC36" s="30">
        <v>38242</v>
      </c>
      <c r="AD36" s="1">
        <v>77368</v>
      </c>
      <c r="AE36" s="1">
        <v>79442.240000000005</v>
      </c>
      <c r="AF36" s="1">
        <v>51053.93</v>
      </c>
      <c r="AG36" s="160">
        <v>79442.240000000005</v>
      </c>
      <c r="AH36" s="128">
        <v>0</v>
      </c>
      <c r="AI36" s="30">
        <f>SUM(AG36:AH36)</f>
        <v>79442.240000000005</v>
      </c>
      <c r="AJ36" s="1"/>
      <c r="AK36" s="1">
        <v>51053.93</v>
      </c>
      <c r="AL36" s="1">
        <v>0</v>
      </c>
      <c r="AM36" s="1">
        <f t="shared" si="7"/>
        <v>51053.93</v>
      </c>
      <c r="AN36" s="1"/>
      <c r="AO36" s="158">
        <v>36063.17</v>
      </c>
      <c r="AP36" s="92">
        <v>4015</v>
      </c>
      <c r="AQ36" s="30">
        <f>SUM(AO36:AP36)</f>
        <v>40078.17</v>
      </c>
      <c r="AS36" s="30">
        <v>40905.01</v>
      </c>
      <c r="AT36" s="30">
        <v>0</v>
      </c>
      <c r="AU36" s="30">
        <f>SUM(AS36:AT36)</f>
        <v>40905.01</v>
      </c>
      <c r="AW36" s="30">
        <v>34115.19</v>
      </c>
      <c r="AX36" s="30">
        <v>0</v>
      </c>
      <c r="AY36" s="30">
        <f>SUM(AW36:AX36)</f>
        <v>34115.19</v>
      </c>
      <c r="BA36" s="92">
        <v>100180.17</v>
      </c>
      <c r="BB36" s="30">
        <v>0</v>
      </c>
      <c r="BC36" s="30">
        <f>SUM(BA36:BB36)</f>
        <v>100180.17</v>
      </c>
      <c r="BE36" s="92">
        <v>107262.26</v>
      </c>
      <c r="BF36" s="30">
        <v>0</v>
      </c>
      <c r="BG36" s="30">
        <f>SUM(BE36:BF36)</f>
        <v>107262.26</v>
      </c>
      <c r="BI36" s="92">
        <v>108597.03</v>
      </c>
      <c r="BJ36" s="30">
        <v>0</v>
      </c>
      <c r="BK36" s="30">
        <f>SUM(BI36:BJ36)</f>
        <v>108597.03</v>
      </c>
      <c r="BM36" s="30">
        <v>281228.68</v>
      </c>
      <c r="BN36" s="30">
        <v>0</v>
      </c>
      <c r="BO36" s="30">
        <f>SUM(BM36:BN36)</f>
        <v>281228.68</v>
      </c>
      <c r="BQ36" s="128">
        <v>137168.76999999999</v>
      </c>
      <c r="BR36" s="281">
        <v>0</v>
      </c>
      <c r="BS36" s="30">
        <f>SUM(BQ36:BR36)</f>
        <v>137168.76999999999</v>
      </c>
      <c r="BU36" s="128">
        <v>41825.67</v>
      </c>
      <c r="BV36" s="281">
        <v>0</v>
      </c>
      <c r="BW36" s="30">
        <f>SUM(BU36:BV36)</f>
        <v>41825.67</v>
      </c>
      <c r="BY36" s="30">
        <v>40584.46</v>
      </c>
      <c r="BZ36" s="30">
        <v>0</v>
      </c>
      <c r="CA36" s="30">
        <f t="shared" si="8"/>
        <v>40584.46</v>
      </c>
    </row>
    <row r="37" spans="1:79" s="30" customFormat="1">
      <c r="A37" s="1" t="s">
        <v>27</v>
      </c>
      <c r="B37" s="1">
        <v>410297</v>
      </c>
      <c r="C37" s="1">
        <v>418305</v>
      </c>
      <c r="D37" s="1">
        <v>406809.66</v>
      </c>
      <c r="E37" s="1">
        <v>417577</v>
      </c>
      <c r="F37" s="1">
        <v>898</v>
      </c>
      <c r="G37" s="1">
        <v>8879.58</v>
      </c>
      <c r="H37" s="1">
        <v>7967.65</v>
      </c>
      <c r="I37" s="1">
        <v>5484</v>
      </c>
      <c r="J37" s="1">
        <v>5162.16</v>
      </c>
      <c r="K37" s="1">
        <v>8931.15</v>
      </c>
      <c r="L37" s="239">
        <f t="shared" si="9"/>
        <v>73.011878748430888</v>
      </c>
      <c r="M37" s="239">
        <f t="shared" si="6"/>
        <v>-97.433474335174409</v>
      </c>
      <c r="N37" s="36">
        <v>154546</v>
      </c>
      <c r="O37" s="36">
        <v>150943</v>
      </c>
      <c r="P37" s="184">
        <v>199366</v>
      </c>
      <c r="Q37" s="184">
        <v>207246</v>
      </c>
      <c r="R37" s="184">
        <v>223549</v>
      </c>
      <c r="S37" s="184">
        <v>267279</v>
      </c>
      <c r="T37" s="184">
        <v>245866</v>
      </c>
      <c r="U37" s="184">
        <v>173419</v>
      </c>
      <c r="V37" s="184">
        <v>201023</v>
      </c>
      <c r="W37" s="184">
        <v>240233</v>
      </c>
      <c r="X37" s="36">
        <f>294216+884</f>
        <v>295100</v>
      </c>
      <c r="Y37" s="36">
        <f>249785+815</f>
        <v>250600</v>
      </c>
      <c r="Z37" s="36">
        <v>250241</v>
      </c>
      <c r="AA37" s="80">
        <v>279258</v>
      </c>
      <c r="AB37" s="30">
        <v>349303</v>
      </c>
      <c r="AC37" s="30">
        <v>408119</v>
      </c>
      <c r="AD37" s="1">
        <v>371637</v>
      </c>
      <c r="AE37" s="1">
        <v>348372</v>
      </c>
      <c r="AF37" s="1">
        <v>347986</v>
      </c>
      <c r="AG37" s="160">
        <v>347364</v>
      </c>
      <c r="AH37" s="160">
        <v>1008</v>
      </c>
      <c r="AI37" s="30">
        <f>SUM(AG37:AH37)</f>
        <v>348372</v>
      </c>
      <c r="AJ37" s="1"/>
      <c r="AK37" s="1">
        <v>346841</v>
      </c>
      <c r="AL37" s="1">
        <v>1145</v>
      </c>
      <c r="AM37" s="1">
        <f t="shared" si="7"/>
        <v>347986</v>
      </c>
      <c r="AN37" s="1"/>
      <c r="AO37" s="158">
        <v>409329</v>
      </c>
      <c r="AP37" s="158">
        <v>968</v>
      </c>
      <c r="AQ37" s="30">
        <f>SUM(AO37:AP37)</f>
        <v>410297</v>
      </c>
      <c r="AS37" s="30">
        <v>417913</v>
      </c>
      <c r="AT37" s="30">
        <v>392</v>
      </c>
      <c r="AU37" s="30">
        <f>SUM(AS37:AT37)</f>
        <v>418305</v>
      </c>
      <c r="AW37" s="30">
        <v>405909.61</v>
      </c>
      <c r="AX37" s="30">
        <v>900.05</v>
      </c>
      <c r="AY37" s="30">
        <f>SUM(AW37:AX37)</f>
        <v>406809.66</v>
      </c>
      <c r="BA37" s="158">
        <v>416682</v>
      </c>
      <c r="BB37" s="30">
        <v>895</v>
      </c>
      <c r="BC37" s="30">
        <f>SUM(BA37:BB37)</f>
        <v>417577</v>
      </c>
      <c r="BE37" s="158">
        <v>0</v>
      </c>
      <c r="BF37" s="30">
        <v>898</v>
      </c>
      <c r="BG37" s="30">
        <f>SUM(BE37:BF37)</f>
        <v>898</v>
      </c>
      <c r="BI37" s="158">
        <v>7988.86</v>
      </c>
      <c r="BJ37" s="30">
        <v>890.72</v>
      </c>
      <c r="BK37" s="30">
        <f>SUM(BI37:BJ37)</f>
        <v>8879.58</v>
      </c>
      <c r="BM37" s="30">
        <v>7128.46</v>
      </c>
      <c r="BN37" s="30">
        <v>839.19</v>
      </c>
      <c r="BO37" s="30">
        <f>SUM(BM37:BN37)</f>
        <v>7967.65</v>
      </c>
      <c r="BQ37" s="160">
        <v>4573.3500000000004</v>
      </c>
      <c r="BR37" s="160">
        <v>910.65</v>
      </c>
      <c r="BS37" s="30">
        <f>SUM(BQ37:BR37)</f>
        <v>5484</v>
      </c>
      <c r="BU37" s="160">
        <v>4353.62</v>
      </c>
      <c r="BV37" s="160">
        <v>808.54</v>
      </c>
      <c r="BW37" s="30">
        <f>SUM(BU37:BV37)</f>
        <v>5162.16</v>
      </c>
      <c r="BY37" s="30">
        <v>7917.99</v>
      </c>
      <c r="BZ37" s="30">
        <v>1013.16</v>
      </c>
      <c r="CA37" s="30">
        <f t="shared" si="8"/>
        <v>8931.15</v>
      </c>
    </row>
    <row r="38" spans="1:79" s="30" customFormat="1">
      <c r="A38" s="1" t="s">
        <v>28</v>
      </c>
      <c r="B38" s="1">
        <v>227842</v>
      </c>
      <c r="C38" s="1">
        <v>235605</v>
      </c>
      <c r="D38" s="1">
        <v>236401.9</v>
      </c>
      <c r="E38" s="1">
        <v>236086.11</v>
      </c>
      <c r="F38" s="1">
        <v>263273.23</v>
      </c>
      <c r="G38" s="1">
        <v>255690.93</v>
      </c>
      <c r="H38" s="1">
        <v>250106.01</v>
      </c>
      <c r="I38" s="1">
        <v>232918.52</v>
      </c>
      <c r="J38" s="1">
        <v>225422.95</v>
      </c>
      <c r="K38" s="1">
        <v>208499.87</v>
      </c>
      <c r="L38" s="239">
        <f t="shared" si="9"/>
        <v>-7.5072569141695711</v>
      </c>
      <c r="M38" s="239">
        <f t="shared" si="6"/>
        <v>-9.2553427854361985</v>
      </c>
      <c r="N38" s="36">
        <v>142447</v>
      </c>
      <c r="O38" s="36">
        <v>141851</v>
      </c>
      <c r="P38" s="184">
        <v>168467</v>
      </c>
      <c r="Q38" s="184">
        <v>183889</v>
      </c>
      <c r="R38" s="184">
        <v>208756</v>
      </c>
      <c r="S38" s="184">
        <v>222621</v>
      </c>
      <c r="T38" s="184">
        <v>356605</v>
      </c>
      <c r="U38" s="184">
        <v>55760</v>
      </c>
      <c r="V38" s="184">
        <f>207881+1796</f>
        <v>209677</v>
      </c>
      <c r="W38" s="184">
        <f>124302+1631</f>
        <v>125933</v>
      </c>
      <c r="X38" s="36">
        <f>116343+1777</f>
        <v>118120</v>
      </c>
      <c r="Y38" s="36">
        <f>77870+1661</f>
        <v>79531</v>
      </c>
      <c r="Z38" s="36">
        <v>74190</v>
      </c>
      <c r="AA38" s="80">
        <v>126472</v>
      </c>
      <c r="AB38" s="30">
        <v>225399</v>
      </c>
      <c r="AC38" s="30">
        <v>243876</v>
      </c>
      <c r="AD38" s="1">
        <v>229167</v>
      </c>
      <c r="AE38" s="1">
        <v>235172.35</v>
      </c>
      <c r="AF38" s="1">
        <v>229765.45</v>
      </c>
      <c r="AG38" s="160">
        <v>235172.35</v>
      </c>
      <c r="AH38" s="128">
        <v>0</v>
      </c>
      <c r="AI38" s="30">
        <f>SUM(AG38:AH38)</f>
        <v>235172.35</v>
      </c>
      <c r="AJ38" s="1"/>
      <c r="AK38" s="1">
        <v>229765.45</v>
      </c>
      <c r="AL38" s="1">
        <v>0</v>
      </c>
      <c r="AM38" s="1">
        <f t="shared" si="7"/>
        <v>229765.45</v>
      </c>
      <c r="AN38" s="1"/>
      <c r="AO38" s="158">
        <v>227842.18</v>
      </c>
      <c r="AP38" s="92">
        <v>0</v>
      </c>
      <c r="AQ38" s="30">
        <f>SUM(AO38:AP38)</f>
        <v>227842.18</v>
      </c>
      <c r="AS38" s="30">
        <v>235604.94</v>
      </c>
      <c r="AT38" s="30">
        <v>0</v>
      </c>
      <c r="AU38" s="30">
        <f>SUM(AS38:AT38)</f>
        <v>235604.94</v>
      </c>
      <c r="AW38" s="30">
        <v>236401.9</v>
      </c>
      <c r="AX38" s="30">
        <v>0</v>
      </c>
      <c r="AY38" s="30">
        <f>SUM(AW38:AX38)</f>
        <v>236401.9</v>
      </c>
      <c r="BA38" s="158">
        <v>236086.11</v>
      </c>
      <c r="BB38" s="30">
        <v>0</v>
      </c>
      <c r="BC38" s="30">
        <f>SUM(BA38:BB38)</f>
        <v>236086.11</v>
      </c>
      <c r="BE38" s="158">
        <v>263273.23</v>
      </c>
      <c r="BF38" s="30">
        <v>0</v>
      </c>
      <c r="BG38" s="30">
        <f>SUM(BE38:BF38)</f>
        <v>263273.23</v>
      </c>
      <c r="BI38" s="158">
        <v>255690.93</v>
      </c>
      <c r="BJ38" s="30">
        <v>0</v>
      </c>
      <c r="BK38" s="30">
        <f>SUM(BI38:BJ38)</f>
        <v>255690.93</v>
      </c>
      <c r="BM38" s="30">
        <v>250106.01</v>
      </c>
      <c r="BN38" s="30">
        <v>0</v>
      </c>
      <c r="BO38" s="30">
        <f>SUM(BM38:BN38)</f>
        <v>250106.01</v>
      </c>
      <c r="BQ38" s="160">
        <v>232918.52</v>
      </c>
      <c r="BR38" s="281">
        <v>0</v>
      </c>
      <c r="BS38" s="30">
        <f>SUM(BQ38:BR38)</f>
        <v>232918.52</v>
      </c>
      <c r="BU38" s="160">
        <v>225422.95</v>
      </c>
      <c r="BV38" s="281">
        <v>0</v>
      </c>
      <c r="BW38" s="30">
        <f>SUM(BU38:BV38)</f>
        <v>225422.95</v>
      </c>
      <c r="BY38" s="30">
        <v>208499.87</v>
      </c>
      <c r="BZ38" s="30">
        <v>0</v>
      </c>
      <c r="CA38" s="30">
        <f t="shared" si="8"/>
        <v>208499.87</v>
      </c>
    </row>
    <row r="39" spans="1:79" s="30" customFormat="1">
      <c r="A39" s="17" t="s">
        <v>29</v>
      </c>
      <c r="B39" s="1">
        <v>157938</v>
      </c>
      <c r="C39" s="1">
        <v>107458</v>
      </c>
      <c r="D39" s="1">
        <v>121798</v>
      </c>
      <c r="E39" s="1">
        <v>188304.85</v>
      </c>
      <c r="F39" s="1">
        <v>88357.82</v>
      </c>
      <c r="G39" s="1">
        <v>71465.02</v>
      </c>
      <c r="H39" s="1">
        <v>39489.83</v>
      </c>
      <c r="I39" s="1">
        <v>70453.86</v>
      </c>
      <c r="J39" s="1">
        <v>73532.070000000007</v>
      </c>
      <c r="K39" s="1">
        <v>53407.689999999995</v>
      </c>
      <c r="L39" s="239">
        <f t="shared" si="9"/>
        <v>-27.368167386012676</v>
      </c>
      <c r="M39" s="239">
        <f t="shared" si="6"/>
        <v>-71.778294302715381</v>
      </c>
      <c r="N39" s="36">
        <v>55679</v>
      </c>
      <c r="O39" s="36">
        <v>53338</v>
      </c>
      <c r="P39" s="184">
        <v>63925</v>
      </c>
      <c r="Q39" s="184">
        <v>100095</v>
      </c>
      <c r="R39" s="184">
        <v>101693</v>
      </c>
      <c r="S39" s="184">
        <v>96204</v>
      </c>
      <c r="T39" s="184">
        <v>103865</v>
      </c>
      <c r="U39" s="184">
        <v>96171</v>
      </c>
      <c r="V39" s="184">
        <f>125083+279</f>
        <v>125362</v>
      </c>
      <c r="W39" s="184">
        <f>116387+886</f>
        <v>117273</v>
      </c>
      <c r="X39" s="36">
        <f>120573+1020</f>
        <v>121593</v>
      </c>
      <c r="Y39" s="36">
        <f>97650+2622</f>
        <v>100272</v>
      </c>
      <c r="Z39" s="36">
        <v>105277</v>
      </c>
      <c r="AA39" s="80">
        <v>105858</v>
      </c>
      <c r="AB39" s="30">
        <v>161280</v>
      </c>
      <c r="AC39" s="30">
        <v>164366</v>
      </c>
      <c r="AD39" s="1">
        <v>154431</v>
      </c>
      <c r="AE39" s="1">
        <v>159031.93000000002</v>
      </c>
      <c r="AF39" s="1">
        <v>189243.31</v>
      </c>
      <c r="AG39" s="320">
        <v>157727.54</v>
      </c>
      <c r="AH39" s="129">
        <v>1304.3900000000001</v>
      </c>
      <c r="AI39" s="30">
        <f>SUM(AG39:AH39)</f>
        <v>159031.93000000002</v>
      </c>
      <c r="AJ39" s="1"/>
      <c r="AK39" s="1">
        <v>188180.37</v>
      </c>
      <c r="AL39" s="1">
        <v>1062.94</v>
      </c>
      <c r="AM39" s="1">
        <f t="shared" si="7"/>
        <v>189243.31</v>
      </c>
      <c r="AN39" s="1"/>
      <c r="AO39" s="161">
        <v>157742.35999999999</v>
      </c>
      <c r="AP39" s="107">
        <v>196.12</v>
      </c>
      <c r="AQ39" s="30">
        <f>SUM(AO39:AP39)</f>
        <v>157938.47999999998</v>
      </c>
      <c r="AS39" s="30">
        <v>107457.9</v>
      </c>
      <c r="AT39" s="30">
        <v>0</v>
      </c>
      <c r="AU39" s="30">
        <f>SUM(AS39:AT39)</f>
        <v>107457.9</v>
      </c>
      <c r="AW39" s="30">
        <v>121798</v>
      </c>
      <c r="AX39" s="30">
        <v>0</v>
      </c>
      <c r="AY39" s="30">
        <f>SUM(AW39:AX39)</f>
        <v>121798</v>
      </c>
      <c r="BA39" s="161">
        <v>188304.85</v>
      </c>
      <c r="BB39" s="30">
        <v>0</v>
      </c>
      <c r="BC39" s="30">
        <f>SUM(BA39:BB39)</f>
        <v>188304.85</v>
      </c>
      <c r="BE39" s="161">
        <v>88357.82</v>
      </c>
      <c r="BF39" s="30">
        <v>0</v>
      </c>
      <c r="BG39" s="30">
        <f>SUM(BE39:BF39)</f>
        <v>88357.82</v>
      </c>
      <c r="BI39" s="161">
        <v>71465.02</v>
      </c>
      <c r="BJ39" s="30">
        <v>0</v>
      </c>
      <c r="BK39" s="30">
        <f>SUM(BI39:BJ39)</f>
        <v>71465.02</v>
      </c>
      <c r="BM39" s="30">
        <v>39489.83</v>
      </c>
      <c r="BN39" s="30">
        <v>0</v>
      </c>
      <c r="BO39" s="30">
        <f>SUM(BM39:BN39)</f>
        <v>39489.83</v>
      </c>
      <c r="BQ39" s="320">
        <v>70453.86</v>
      </c>
      <c r="BR39" s="282">
        <v>0</v>
      </c>
      <c r="BS39" s="30">
        <f>SUM(BQ39:BR39)</f>
        <v>70453.86</v>
      </c>
      <c r="BU39" s="320">
        <v>73532.070000000007</v>
      </c>
      <c r="BV39" s="282">
        <v>0</v>
      </c>
      <c r="BW39" s="30">
        <f>SUM(BU39:BV39)</f>
        <v>73532.070000000007</v>
      </c>
      <c r="BY39" s="30">
        <v>52628.59</v>
      </c>
      <c r="BZ39" s="30">
        <v>779.1</v>
      </c>
      <c r="CA39" s="30">
        <f t="shared" si="8"/>
        <v>53407.689999999995</v>
      </c>
    </row>
    <row r="40" spans="1:79" s="30" customFormat="1">
      <c r="A40" s="1" t="s">
        <v>323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37"/>
      <c r="O40" s="37"/>
      <c r="P40" s="37"/>
      <c r="Q40" s="37"/>
      <c r="V40" s="37"/>
      <c r="W40" s="33"/>
      <c r="X40" s="33"/>
      <c r="Y40" s="37"/>
      <c r="AP40" s="92"/>
    </row>
    <row r="41" spans="1:79" s="30" customFormat="1">
      <c r="A41" s="296" t="s">
        <v>233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AP41" s="92"/>
    </row>
    <row r="42" spans="1:79" s="30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36"/>
      <c r="P42" s="36"/>
      <c r="Q42" s="36"/>
    </row>
    <row r="43" spans="1:79">
      <c r="O43" s="14"/>
      <c r="P43" s="14"/>
      <c r="Q43" s="14"/>
    </row>
    <row r="44" spans="1:79">
      <c r="O44" s="14"/>
      <c r="P44" s="14"/>
      <c r="Q44" s="14"/>
    </row>
    <row r="45" spans="1:79">
      <c r="O45" s="14"/>
      <c r="P45" s="14"/>
      <c r="Q45" s="14"/>
    </row>
    <row r="46" spans="1:79">
      <c r="O46" s="14"/>
      <c r="P46" s="14"/>
      <c r="Q46" s="14"/>
    </row>
  </sheetData>
  <sheetProtection password="CAF5" sheet="1" objects="1" scenarios="1"/>
  <mergeCells count="14">
    <mergeCell ref="A1:M1"/>
    <mergeCell ref="A3:M3"/>
    <mergeCell ref="A4:M4"/>
    <mergeCell ref="BA5:BC5"/>
    <mergeCell ref="BI5:BK5"/>
    <mergeCell ref="BY5:CA5"/>
    <mergeCell ref="L7:M7"/>
    <mergeCell ref="AS5:AU5"/>
    <mergeCell ref="AW5:AY5"/>
    <mergeCell ref="BE5:BG5"/>
    <mergeCell ref="AG5:AI5"/>
    <mergeCell ref="BU5:BW5"/>
    <mergeCell ref="BQ5:BS5"/>
    <mergeCell ref="BM5:BO5"/>
  </mergeCells>
  <phoneticPr fontId="2" type="noConversion"/>
  <pageMargins left="0.49" right="0.47" top="1" bottom="0.9" header="0.5" footer="0.5"/>
  <pageSetup scale="80" orientation="landscape" horizontalDpi="4294967292" verticalDpi="4294967292" r:id="rId1"/>
  <headerFooter scaleWithDoc="0" alignWithMargins="0">
    <oddFooter>&amp;L&amp;"Arial,Italic"&amp;10MSDE - LFRO 12 / 2014&amp;C&amp;"Arial,Regular"&amp;10- 14 -&amp;R&amp;"Arial,Italic"&amp;10Selected Financial Data - Part 4</oddFooter>
  </headerFooter>
  <rowBreaks count="1" manualBreakCount="1">
    <brk id="4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BT75"/>
  <sheetViews>
    <sheetView zoomScaleNormal="100" workbookViewId="0">
      <selection activeCell="A2" sqref="A2"/>
    </sheetView>
  </sheetViews>
  <sheetFormatPr defaultColWidth="10" defaultRowHeight="12.75"/>
  <cols>
    <col min="1" max="1" width="13.625" style="30" customWidth="1"/>
    <col min="2" max="8" width="12.625" style="30" customWidth="1"/>
    <col min="9" max="12" width="11.375" style="30" customWidth="1"/>
    <col min="13" max="13" width="8.375" style="30" customWidth="1"/>
    <col min="14" max="14" width="8.625" style="30" bestFit="1" customWidth="1"/>
    <col min="15" max="15" width="9.625" style="30" customWidth="1"/>
    <col min="16" max="16" width="8.625" style="30" bestFit="1" customWidth="1"/>
    <col min="17" max="22" width="10.125" style="30" customWidth="1"/>
    <col min="23" max="23" width="12.5" style="30" customWidth="1"/>
    <col min="24" max="24" width="12.875" style="30" customWidth="1"/>
    <col min="25" max="26" width="12.625" style="30" customWidth="1"/>
    <col min="27" max="27" width="10.875" style="30" bestFit="1" customWidth="1"/>
    <col min="28" max="29" width="10.875" style="30" customWidth="1"/>
    <col min="30" max="30" width="8.375" style="30" bestFit="1" customWidth="1"/>
    <col min="31" max="32" width="8.375" style="30" customWidth="1"/>
    <col min="33" max="33" width="10.875" style="30" customWidth="1"/>
    <col min="34" max="36" width="8.375" style="30" customWidth="1"/>
    <col min="37" max="37" width="9" style="30" bestFit="1" customWidth="1"/>
    <col min="38" max="39" width="8.375" style="30" customWidth="1"/>
    <col min="40" max="40" width="7.75" style="30" customWidth="1"/>
    <col min="41" max="41" width="20.625" style="30" customWidth="1"/>
    <col min="42" max="42" width="10.125" style="30" customWidth="1"/>
    <col min="43" max="43" width="6.25" style="30" customWidth="1"/>
    <col min="44" max="48" width="10.125" style="30" customWidth="1"/>
    <col min="49" max="49" width="11.5" style="30" customWidth="1"/>
    <col min="50" max="50" width="15.5" style="30" customWidth="1"/>
    <col min="51" max="53" width="10.125" style="30" customWidth="1"/>
    <col min="54" max="54" width="13.625" style="30" customWidth="1"/>
    <col min="55" max="55" width="6" style="30" customWidth="1"/>
    <col min="56" max="56" width="15.75" style="30" customWidth="1"/>
    <col min="57" max="57" width="9.375" style="30" customWidth="1"/>
    <col min="58" max="58" width="5.25" style="30" customWidth="1"/>
    <col min="59" max="63" width="10" style="30"/>
    <col min="64" max="64" width="4.125" style="30" customWidth="1"/>
    <col min="65" max="65" width="10" style="30"/>
    <col min="66" max="66" width="12.875" style="30" customWidth="1"/>
    <col min="67" max="68" width="10" style="30"/>
    <col min="69" max="69" width="14" style="30" customWidth="1"/>
    <col min="70" max="16384" width="10" style="30"/>
  </cols>
  <sheetData>
    <row r="1" spans="1:72" ht="15.75" customHeight="1">
      <c r="A1" s="405" t="s">
        <v>98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181"/>
      <c r="O1" s="181"/>
      <c r="P1" s="29"/>
      <c r="R1" s="31"/>
      <c r="S1" s="31"/>
      <c r="T1" s="31"/>
      <c r="W1" s="116"/>
      <c r="X1" s="116"/>
      <c r="Y1" s="116"/>
      <c r="Z1" s="116"/>
    </row>
    <row r="2" spans="1:72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  <c r="O2" s="181"/>
      <c r="P2" s="31"/>
      <c r="R2" s="31"/>
      <c r="S2" s="31"/>
      <c r="T2" s="31"/>
      <c r="W2" s="116"/>
      <c r="X2" s="116"/>
      <c r="Y2" s="116"/>
      <c r="Z2" s="116"/>
    </row>
    <row r="3" spans="1:72">
      <c r="A3" s="405" t="s">
        <v>281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116"/>
      <c r="O3" s="181"/>
      <c r="P3" s="29"/>
      <c r="R3" s="31"/>
      <c r="S3" s="31"/>
      <c r="T3" s="31"/>
      <c r="W3" s="116"/>
      <c r="X3" s="116"/>
      <c r="Y3" s="116"/>
      <c r="Z3" s="116"/>
    </row>
    <row r="4" spans="1:72" s="3" customFormat="1">
      <c r="A4" s="405" t="s">
        <v>367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199"/>
      <c r="O4" s="115"/>
      <c r="P4" s="199"/>
      <c r="Q4" s="199"/>
      <c r="R4" s="10"/>
      <c r="S4" s="1"/>
      <c r="T4" s="1"/>
      <c r="U4" s="1"/>
      <c r="V4" s="1"/>
      <c r="W4" s="1"/>
      <c r="X4" s="1"/>
      <c r="Y4" s="2"/>
      <c r="Z4" s="2"/>
      <c r="AA4" s="10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1"/>
    </row>
    <row r="5" spans="1:72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T5" s="182"/>
      <c r="AG5" s="433" t="s">
        <v>341</v>
      </c>
      <c r="AH5" s="434"/>
      <c r="AI5" s="434"/>
      <c r="AJ5" s="393"/>
      <c r="AK5" s="433" t="s">
        <v>358</v>
      </c>
      <c r="AL5" s="434"/>
      <c r="AM5" s="434"/>
      <c r="AN5" s="364"/>
      <c r="AO5" s="355" t="s">
        <v>185</v>
      </c>
      <c r="AP5" s="355"/>
      <c r="AQ5" s="355"/>
      <c r="AS5" s="434" t="s">
        <v>205</v>
      </c>
      <c r="AT5" s="434"/>
      <c r="AU5" s="434"/>
      <c r="AW5" s="30" t="s">
        <v>220</v>
      </c>
      <c r="BA5" s="30" t="s">
        <v>252</v>
      </c>
      <c r="BD5" s="30" t="s">
        <v>268</v>
      </c>
      <c r="BG5" s="1" t="s">
        <v>279</v>
      </c>
      <c r="BJ5" s="1" t="s">
        <v>292</v>
      </c>
      <c r="BM5" s="1" t="s">
        <v>318</v>
      </c>
      <c r="BP5" s="1" t="s">
        <v>350</v>
      </c>
      <c r="BS5" s="1" t="s">
        <v>365</v>
      </c>
    </row>
    <row r="6" spans="1:72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5"/>
      <c r="AE6" s="7"/>
      <c r="AF6" s="7"/>
      <c r="AG6" s="435" t="s">
        <v>132</v>
      </c>
      <c r="AH6" s="435"/>
      <c r="AI6" s="435"/>
      <c r="AJ6" s="394"/>
      <c r="AK6" s="435" t="s">
        <v>132</v>
      </c>
      <c r="AL6" s="435"/>
      <c r="AM6" s="435"/>
      <c r="AN6" s="7"/>
      <c r="AO6" s="356" t="s">
        <v>132</v>
      </c>
      <c r="AP6" s="356"/>
      <c r="AQ6" s="356"/>
      <c r="AS6" s="435" t="s">
        <v>132</v>
      </c>
      <c r="AT6" s="435"/>
      <c r="AU6" s="435"/>
      <c r="AW6" s="116" t="s">
        <v>132</v>
      </c>
      <c r="AX6" s="116"/>
      <c r="BA6" s="116" t="s">
        <v>132</v>
      </c>
      <c r="BB6" s="116"/>
      <c r="BD6" s="116" t="s">
        <v>132</v>
      </c>
      <c r="BE6" s="116"/>
      <c r="BG6" s="116" t="s">
        <v>132</v>
      </c>
      <c r="BH6" s="116"/>
      <c r="BJ6" s="116" t="s">
        <v>132</v>
      </c>
      <c r="BK6" s="116"/>
      <c r="BM6" s="30" t="s">
        <v>132</v>
      </c>
      <c r="BP6" s="30" t="s">
        <v>132</v>
      </c>
      <c r="BS6" s="30" t="s">
        <v>132</v>
      </c>
    </row>
    <row r="7" spans="1:72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6" t="s">
        <v>34</v>
      </c>
      <c r="M7" s="6"/>
      <c r="O7" s="33"/>
      <c r="P7" s="33"/>
      <c r="Q7" s="33"/>
      <c r="R7" s="33"/>
      <c r="T7" s="33"/>
      <c r="U7" s="33"/>
      <c r="V7" s="33"/>
      <c r="W7" s="33"/>
      <c r="X7" s="33"/>
      <c r="Y7" s="33"/>
      <c r="AD7" s="1"/>
      <c r="AE7" s="1"/>
      <c r="AF7" s="1"/>
      <c r="AG7" s="435" t="s">
        <v>133</v>
      </c>
      <c r="AH7" s="435"/>
      <c r="AI7" s="435"/>
      <c r="AJ7" s="394"/>
      <c r="AK7" s="435" t="s">
        <v>133</v>
      </c>
      <c r="AL7" s="435"/>
      <c r="AM7" s="435"/>
      <c r="AN7" s="1"/>
      <c r="AO7" s="356" t="s">
        <v>133</v>
      </c>
      <c r="AP7" s="356"/>
      <c r="AQ7" s="356"/>
      <c r="AS7" s="435" t="s">
        <v>133</v>
      </c>
      <c r="AT7" s="435"/>
      <c r="AU7" s="435"/>
      <c r="AW7" s="116" t="s">
        <v>133</v>
      </c>
      <c r="AX7" s="116"/>
      <c r="BA7" s="116" t="s">
        <v>133</v>
      </c>
      <c r="BB7" s="116"/>
      <c r="BD7" s="116" t="s">
        <v>133</v>
      </c>
      <c r="BE7" s="116"/>
      <c r="BG7" s="116" t="s">
        <v>133</v>
      </c>
      <c r="BH7" s="116"/>
      <c r="BJ7" s="116" t="s">
        <v>133</v>
      </c>
      <c r="BK7" s="116"/>
      <c r="BM7" s="30" t="s">
        <v>133</v>
      </c>
      <c r="BP7" s="30" t="s">
        <v>133</v>
      </c>
      <c r="BS7" s="30" t="s">
        <v>133</v>
      </c>
    </row>
    <row r="8" spans="1:7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O8" s="33"/>
      <c r="P8" s="33"/>
      <c r="Q8" s="33"/>
      <c r="R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7"/>
      <c r="AE8" s="7"/>
      <c r="AF8" s="7"/>
      <c r="AG8" s="426" t="s">
        <v>106</v>
      </c>
      <c r="AH8" s="426"/>
      <c r="AI8" s="426"/>
      <c r="AJ8" s="394"/>
      <c r="AK8" s="426" t="s">
        <v>106</v>
      </c>
      <c r="AL8" s="426"/>
      <c r="AM8" s="426"/>
      <c r="AN8" s="7"/>
      <c r="AO8" s="354" t="s">
        <v>106</v>
      </c>
      <c r="AP8" s="354"/>
      <c r="AQ8" s="354"/>
      <c r="AS8" s="426" t="s">
        <v>106</v>
      </c>
      <c r="AT8" s="426"/>
      <c r="AU8" s="426"/>
      <c r="AW8" s="116" t="s">
        <v>106</v>
      </c>
      <c r="AX8" s="116"/>
      <c r="BA8" s="116" t="s">
        <v>106</v>
      </c>
      <c r="BB8" s="116"/>
      <c r="BD8" s="116" t="s">
        <v>106</v>
      </c>
      <c r="BE8" s="116"/>
      <c r="BG8" s="116" t="s">
        <v>106</v>
      </c>
      <c r="BH8" s="116"/>
      <c r="BJ8" s="116" t="s">
        <v>106</v>
      </c>
      <c r="BK8" s="116"/>
      <c r="BM8" s="30" t="s">
        <v>106</v>
      </c>
      <c r="BP8" s="30" t="s">
        <v>106</v>
      </c>
      <c r="BS8" s="30" t="s">
        <v>106</v>
      </c>
    </row>
    <row r="9" spans="1:72" ht="13.5" thickBot="1">
      <c r="A9" s="8" t="s">
        <v>1</v>
      </c>
      <c r="B9" s="397" t="s">
        <v>184</v>
      </c>
      <c r="C9" s="397" t="s">
        <v>194</v>
      </c>
      <c r="D9" s="397" t="s">
        <v>208</v>
      </c>
      <c r="E9" s="397" t="s">
        <v>243</v>
      </c>
      <c r="F9" s="397" t="s">
        <v>256</v>
      </c>
      <c r="G9" s="397" t="s">
        <v>269</v>
      </c>
      <c r="H9" s="397" t="s">
        <v>283</v>
      </c>
      <c r="I9" s="397" t="s">
        <v>303</v>
      </c>
      <c r="J9" s="397" t="s">
        <v>330</v>
      </c>
      <c r="K9" s="397" t="s">
        <v>360</v>
      </c>
      <c r="L9" s="9" t="s">
        <v>84</v>
      </c>
      <c r="M9" s="9" t="s">
        <v>84</v>
      </c>
      <c r="N9" s="29" t="s">
        <v>43</v>
      </c>
      <c r="O9" s="40" t="s">
        <v>57</v>
      </c>
      <c r="P9" s="40" t="s">
        <v>58</v>
      </c>
      <c r="Q9" s="40" t="s">
        <v>59</v>
      </c>
      <c r="R9" s="40" t="s">
        <v>60</v>
      </c>
      <c r="S9" s="40" t="s">
        <v>39</v>
      </c>
      <c r="T9" s="40" t="s">
        <v>40</v>
      </c>
      <c r="U9" s="40" t="s">
        <v>46</v>
      </c>
      <c r="V9" s="40" t="s">
        <v>78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08" t="s">
        <v>105</v>
      </c>
      <c r="AE9" s="352" t="s">
        <v>161</v>
      </c>
      <c r="AF9" s="387" t="s">
        <v>168</v>
      </c>
      <c r="AG9" s="353" t="s">
        <v>134</v>
      </c>
      <c r="AH9" s="425" t="s">
        <v>135</v>
      </c>
      <c r="AI9" s="425"/>
      <c r="AJ9" s="388"/>
      <c r="AK9" s="388" t="s">
        <v>134</v>
      </c>
      <c r="AL9" s="425" t="s">
        <v>135</v>
      </c>
      <c r="AM9" s="425"/>
      <c r="AN9" s="308"/>
      <c r="AO9" s="353" t="s">
        <v>134</v>
      </c>
      <c r="AP9" s="353" t="s">
        <v>135</v>
      </c>
      <c r="AQ9" s="353"/>
      <c r="AS9" s="40" t="s">
        <v>134</v>
      </c>
      <c r="AT9" s="425" t="s">
        <v>135</v>
      </c>
      <c r="AU9" s="425"/>
      <c r="AW9" s="236" t="s">
        <v>134</v>
      </c>
      <c r="AX9" s="30" t="s">
        <v>253</v>
      </c>
    </row>
    <row r="10" spans="1:72" ht="16.5" thickTop="1">
      <c r="A10" s="7" t="s">
        <v>5</v>
      </c>
      <c r="B10" s="286">
        <v>9079.98</v>
      </c>
      <c r="C10" s="286">
        <v>9627.9599999999991</v>
      </c>
      <c r="D10" s="286">
        <v>10388.974286996414</v>
      </c>
      <c r="E10" s="286">
        <v>11388.066498210857</v>
      </c>
      <c r="F10" s="286">
        <v>12531.463320201101</v>
      </c>
      <c r="G10" s="286">
        <v>13013.071210012646</v>
      </c>
      <c r="H10" s="286">
        <v>13297.17376838247</v>
      </c>
      <c r="I10" s="286">
        <v>13454.67257270608</v>
      </c>
      <c r="J10" s="286">
        <v>13370.771480584053</v>
      </c>
      <c r="K10" s="400">
        <v>13572.470156436028</v>
      </c>
      <c r="L10" s="240">
        <f>(K10-J10)*100/J10</f>
        <v>1.5085043981558182</v>
      </c>
      <c r="M10" s="240">
        <f>((K10-AF10)*100)/AF10</f>
        <v>54.87969169527193</v>
      </c>
      <c r="N10" s="54">
        <v>3672.77</v>
      </c>
      <c r="O10" s="50">
        <v>3990.31</v>
      </c>
      <c r="P10" s="50">
        <v>4300.1899999999996</v>
      </c>
      <c r="Q10" s="50">
        <v>4650.7299999999996</v>
      </c>
      <c r="R10" s="50">
        <v>5054.34</v>
      </c>
      <c r="S10" s="50">
        <v>5460.65</v>
      </c>
      <c r="T10" s="50">
        <v>5814.75</v>
      </c>
      <c r="U10" s="50">
        <v>5823.27</v>
      </c>
      <c r="V10" s="50">
        <v>5978.27</v>
      </c>
      <c r="W10" s="50">
        <v>6106.38</v>
      </c>
      <c r="X10" s="51">
        <v>6337.74</v>
      </c>
      <c r="Y10" s="52">
        <v>6445.42</v>
      </c>
      <c r="Z10" s="53">
        <v>6584.22</v>
      </c>
      <c r="AA10" s="82">
        <v>6821.41</v>
      </c>
      <c r="AB10" s="82">
        <v>7125.3</v>
      </c>
      <c r="AC10" s="286">
        <f>7466.58</f>
        <v>7466.58</v>
      </c>
      <c r="AD10" s="286">
        <v>7970.84</v>
      </c>
      <c r="AE10" s="286">
        <v>8351.4169852016821</v>
      </c>
      <c r="AF10" s="286">
        <v>8763.2342290169727</v>
      </c>
      <c r="AG10" s="286">
        <v>8351.4169852016821</v>
      </c>
      <c r="AH10" s="87"/>
      <c r="AI10" s="179"/>
      <c r="AJ10" s="179"/>
      <c r="AK10" s="179">
        <v>8763.2342290169727</v>
      </c>
      <c r="AL10" s="179"/>
      <c r="AM10" s="179"/>
      <c r="AN10" s="286"/>
      <c r="AO10" s="82">
        <v>9079.98</v>
      </c>
      <c r="AP10" s="179"/>
      <c r="AQ10" s="179"/>
      <c r="AS10" s="212">
        <v>9627.9599999999991</v>
      </c>
      <c r="AV10" s="57"/>
      <c r="AW10" s="248">
        <v>10370.966724272062</v>
      </c>
      <c r="AX10" s="57">
        <v>10388.974286996414</v>
      </c>
      <c r="AY10" s="30">
        <f>AW10-AX10</f>
        <v>-18.007562724351374</v>
      </c>
      <c r="BA10" s="30">
        <v>11388.066498210857</v>
      </c>
      <c r="BB10" s="30" t="s">
        <v>265</v>
      </c>
      <c r="BD10" s="55">
        <v>12531.463320201101</v>
      </c>
      <c r="BG10" s="55">
        <v>13013.071210012646</v>
      </c>
      <c r="BJ10" s="55">
        <v>13297.17376838247</v>
      </c>
      <c r="BM10" s="55">
        <v>13454.67257270608</v>
      </c>
      <c r="BN10" s="55"/>
      <c r="BP10" s="55">
        <v>13374.10974282467</v>
      </c>
      <c r="BQ10" s="55"/>
      <c r="BS10" s="55">
        <v>13572.470156436028</v>
      </c>
    </row>
    <row r="11" spans="1:72" ht="15.75">
      <c r="A11" s="1"/>
      <c r="B11" s="45"/>
      <c r="C11" s="45"/>
      <c r="D11" s="45"/>
      <c r="E11" s="45"/>
      <c r="F11" s="45"/>
      <c r="G11" s="45"/>
      <c r="H11" s="45"/>
      <c r="I11" s="45"/>
      <c r="J11" s="1"/>
      <c r="K11" s="1"/>
      <c r="L11" s="89"/>
      <c r="N11" s="36"/>
      <c r="Q11" s="36"/>
      <c r="R11" s="36"/>
      <c r="T11" s="123">
        <f>(U10-T10)/T10</f>
        <v>1.4652392622211507E-3</v>
      </c>
      <c r="U11" s="124"/>
      <c r="V11" s="124"/>
      <c r="W11" s="124"/>
      <c r="X11" s="178"/>
      <c r="Y11" s="178"/>
      <c r="Z11" s="178"/>
      <c r="AA11" s="178"/>
      <c r="AB11" s="287"/>
      <c r="AC11" s="287"/>
      <c r="AD11" s="287"/>
      <c r="AE11" s="365"/>
      <c r="AF11" s="287"/>
      <c r="AG11" s="365"/>
      <c r="AH11" s="366"/>
      <c r="AN11" s="50"/>
      <c r="AR11" s="95"/>
      <c r="AU11" s="57"/>
      <c r="AV11" s="249"/>
      <c r="AW11" s="57"/>
      <c r="BC11" s="55"/>
      <c r="BF11" s="55"/>
      <c r="BI11" s="55"/>
      <c r="BL11" s="55"/>
      <c r="BM11" s="55"/>
      <c r="BP11" s="55"/>
    </row>
    <row r="12" spans="1:72" ht="15.75">
      <c r="A12" s="1" t="s">
        <v>6</v>
      </c>
      <c r="B12" s="288">
        <v>8788.9699999999993</v>
      </c>
      <c r="C12" s="288">
        <v>9194.07</v>
      </c>
      <c r="D12" s="288">
        <v>10063.231109374834</v>
      </c>
      <c r="E12" s="288">
        <v>10929.992183626859</v>
      </c>
      <c r="F12" s="288">
        <v>12126.856466119456</v>
      </c>
      <c r="G12" s="288">
        <v>13250.513655469209</v>
      </c>
      <c r="H12" s="288">
        <v>13369.447984498302</v>
      </c>
      <c r="I12" s="288">
        <v>13769.562168964134</v>
      </c>
      <c r="J12" s="288">
        <v>13315.065835252724</v>
      </c>
      <c r="K12" s="288">
        <v>13750.667783684652</v>
      </c>
      <c r="L12" s="240">
        <f>(K12-J12)*100/J12</f>
        <v>3.2714967678089577</v>
      </c>
      <c r="M12" s="240">
        <f>((K12-AF12)*100)/AF12</f>
        <v>70.790046368691037</v>
      </c>
      <c r="N12" s="56">
        <v>3143.03</v>
      </c>
      <c r="O12" s="56">
        <v>3361.84</v>
      </c>
      <c r="P12" s="56">
        <v>3591.75</v>
      </c>
      <c r="Q12" s="56">
        <v>3911.9</v>
      </c>
      <c r="R12" s="56">
        <v>4241.6000000000004</v>
      </c>
      <c r="S12" s="56">
        <v>4489.6499999999996</v>
      </c>
      <c r="T12" s="56">
        <v>4781.72</v>
      </c>
      <c r="U12" s="56">
        <v>4957.29</v>
      </c>
      <c r="V12" s="56">
        <v>5034.47</v>
      </c>
      <c r="W12" s="56">
        <v>5346.5</v>
      </c>
      <c r="X12" s="81">
        <v>5623.59</v>
      </c>
      <c r="Y12" s="55">
        <v>5843.24</v>
      </c>
      <c r="Z12" s="57">
        <v>5888.74</v>
      </c>
      <c r="AA12" s="81">
        <v>6130.88</v>
      </c>
      <c r="AB12" s="81">
        <v>6476.04</v>
      </c>
      <c r="AC12" s="288">
        <v>6967.45</v>
      </c>
      <c r="AD12" s="48">
        <v>7209.84</v>
      </c>
      <c r="AE12" s="367">
        <v>7848.3707857720274</v>
      </c>
      <c r="AF12" s="48">
        <v>8051.211458775857</v>
      </c>
      <c r="AG12" s="367">
        <v>7848.3707857720274</v>
      </c>
      <c r="AH12" s="366">
        <v>15</v>
      </c>
      <c r="AK12" s="90">
        <v>8051.211458775857</v>
      </c>
      <c r="AN12" s="48"/>
      <c r="AO12" s="81">
        <v>8788.9699999999993</v>
      </c>
      <c r="AP12" s="30">
        <v>11</v>
      </c>
      <c r="AS12" s="213">
        <v>9194.07</v>
      </c>
      <c r="AT12" s="30">
        <v>12</v>
      </c>
      <c r="AV12" s="57"/>
      <c r="AW12" s="249">
        <v>10063.231109374834</v>
      </c>
      <c r="AX12" s="57">
        <v>10063.231109374834</v>
      </c>
      <c r="AY12" s="30">
        <f>AW12-AX12</f>
        <v>0</v>
      </c>
      <c r="BA12" s="30">
        <v>10929.992183626859</v>
      </c>
      <c r="BB12" s="30">
        <v>10</v>
      </c>
      <c r="BD12" s="55">
        <v>12126.856466119456</v>
      </c>
      <c r="BE12" s="30">
        <v>9</v>
      </c>
      <c r="BG12" s="55">
        <v>13250.513655469209</v>
      </c>
      <c r="BH12" s="30">
        <v>7</v>
      </c>
      <c r="BJ12" s="55">
        <v>13369.447984498302</v>
      </c>
      <c r="BK12" s="30">
        <v>8</v>
      </c>
      <c r="BM12" s="55">
        <v>13769.562168964134</v>
      </c>
      <c r="BN12" s="61">
        <v>7</v>
      </c>
      <c r="BP12" s="55">
        <v>13665.056383754443</v>
      </c>
      <c r="BQ12" s="366">
        <v>8</v>
      </c>
      <c r="BS12" s="55">
        <v>13750.667783684652</v>
      </c>
      <c r="BT12" s="30">
        <v>8</v>
      </c>
    </row>
    <row r="13" spans="1:72" ht="15.75">
      <c r="A13" s="1" t="s">
        <v>7</v>
      </c>
      <c r="B13" s="288">
        <v>8796.5</v>
      </c>
      <c r="C13" s="288">
        <v>9274.9699999999993</v>
      </c>
      <c r="D13" s="288">
        <v>9902.0971084304401</v>
      </c>
      <c r="E13" s="288">
        <v>10846.45489126139</v>
      </c>
      <c r="F13" s="288">
        <v>11545.228181483579</v>
      </c>
      <c r="G13" s="288">
        <v>12178.397961017714</v>
      </c>
      <c r="H13" s="288">
        <v>12330.023678654741</v>
      </c>
      <c r="I13" s="288">
        <v>12635.294973075717</v>
      </c>
      <c r="J13" s="288">
        <v>12522.280597363593</v>
      </c>
      <c r="K13" s="288">
        <v>12687.120991528614</v>
      </c>
      <c r="L13" s="240">
        <f>(K13-J13)*100/J13</f>
        <v>1.316376780438272</v>
      </c>
      <c r="M13" s="240">
        <f t="shared" ref="M13:M39" si="0">((K13-AF13)*100)/AF13</f>
        <v>48.866810631786485</v>
      </c>
      <c r="N13" s="56">
        <v>3515.09</v>
      </c>
      <c r="O13" s="56">
        <v>3813.25</v>
      </c>
      <c r="P13" s="56">
        <v>4128.2299999999996</v>
      </c>
      <c r="Q13" s="56">
        <v>4467.1099999999997</v>
      </c>
      <c r="R13" s="56">
        <v>4889.18</v>
      </c>
      <c r="S13" s="56">
        <v>5385.05</v>
      </c>
      <c r="T13" s="56">
        <v>5836.6</v>
      </c>
      <c r="U13" s="56">
        <v>5713.41</v>
      </c>
      <c r="V13" s="56">
        <v>5984.26</v>
      </c>
      <c r="W13" s="56">
        <v>6144.22</v>
      </c>
      <c r="X13" s="81">
        <v>6451.81</v>
      </c>
      <c r="Y13" s="55">
        <v>6455.32</v>
      </c>
      <c r="Z13" s="57">
        <v>6463.42</v>
      </c>
      <c r="AA13" s="81">
        <v>6628.59</v>
      </c>
      <c r="AB13" s="81">
        <v>6811.6</v>
      </c>
      <c r="AC13" s="288">
        <v>7190.8</v>
      </c>
      <c r="AD13" s="48">
        <v>7782.27</v>
      </c>
      <c r="AE13" s="367">
        <v>8103.5011599790914</v>
      </c>
      <c r="AF13" s="48">
        <v>8522.4644349434475</v>
      </c>
      <c r="AG13" s="367">
        <v>8103.5011599790914</v>
      </c>
      <c r="AH13" s="366">
        <v>9</v>
      </c>
      <c r="AK13" s="90">
        <v>8522.4644349434475</v>
      </c>
      <c r="AN13" s="48"/>
      <c r="AO13" s="81">
        <v>8796.5</v>
      </c>
      <c r="AP13" s="30">
        <v>10</v>
      </c>
      <c r="AS13" s="213">
        <v>9274.9699999999993</v>
      </c>
      <c r="AT13" s="30">
        <v>9</v>
      </c>
      <c r="AV13" s="57"/>
      <c r="AW13" s="249">
        <v>9814.3745609567359</v>
      </c>
      <c r="AX13" s="57">
        <v>9902.0971084304401</v>
      </c>
      <c r="AY13" s="30">
        <f>AW13-AX13</f>
        <v>-87.722547473704253</v>
      </c>
      <c r="BA13" s="30">
        <v>10846.45489126139</v>
      </c>
      <c r="BB13" s="30">
        <v>11</v>
      </c>
      <c r="BD13" s="55">
        <v>11545.228181483579</v>
      </c>
      <c r="BE13" s="30">
        <v>13</v>
      </c>
      <c r="BG13" s="55">
        <v>12178.397961017714</v>
      </c>
      <c r="BH13" s="30">
        <v>11</v>
      </c>
      <c r="BJ13" s="55">
        <v>12330.023678654741</v>
      </c>
      <c r="BK13" s="30">
        <v>13</v>
      </c>
      <c r="BM13" s="55">
        <v>12635.294973075717</v>
      </c>
      <c r="BN13" s="61">
        <v>12</v>
      </c>
      <c r="BP13" s="55">
        <v>12519.487508541217</v>
      </c>
      <c r="BQ13" s="366">
        <v>14</v>
      </c>
      <c r="BS13" s="55">
        <v>12687.120991528614</v>
      </c>
      <c r="BT13" s="30">
        <v>15</v>
      </c>
    </row>
    <row r="14" spans="1:72" ht="15.75">
      <c r="A14" s="1" t="s">
        <v>8</v>
      </c>
      <c r="B14" s="288">
        <v>9325.6</v>
      </c>
      <c r="C14" s="288">
        <v>9603.43</v>
      </c>
      <c r="D14" s="288">
        <v>10974.038122379166</v>
      </c>
      <c r="E14" s="288">
        <v>12541.973083028202</v>
      </c>
      <c r="F14" s="288">
        <v>13987.99419285033</v>
      </c>
      <c r="G14" s="288">
        <v>14332.031822584702</v>
      </c>
      <c r="H14" s="288">
        <v>14182.82184205181</v>
      </c>
      <c r="I14" s="288">
        <v>15156.318340209649</v>
      </c>
      <c r="J14" s="288">
        <v>14900.750711694025</v>
      </c>
      <c r="K14" s="288">
        <v>14631.289801470044</v>
      </c>
      <c r="L14" s="240">
        <f>(K14-J14)*100/J14</f>
        <v>-1.8083713729437112</v>
      </c>
      <c r="M14" s="240">
        <f t="shared" si="0"/>
        <v>52.639994175377744</v>
      </c>
      <c r="N14" s="56">
        <v>3098.6</v>
      </c>
      <c r="O14" s="56">
        <v>3443.97</v>
      </c>
      <c r="P14" s="56">
        <v>3639.97</v>
      </c>
      <c r="Q14" s="56">
        <v>3965.85</v>
      </c>
      <c r="R14" s="56">
        <v>4255.1400000000003</v>
      </c>
      <c r="S14" s="56">
        <v>4613.84</v>
      </c>
      <c r="T14" s="56">
        <v>4947.03</v>
      </c>
      <c r="U14" s="56">
        <v>5181.83</v>
      </c>
      <c r="V14" s="56">
        <v>5391.47</v>
      </c>
      <c r="W14" s="56">
        <v>5565.52</v>
      </c>
      <c r="X14" s="81">
        <v>5872.83</v>
      </c>
      <c r="Y14" s="55">
        <v>6151.88</v>
      </c>
      <c r="Z14" s="57">
        <v>6407.68</v>
      </c>
      <c r="AA14" s="81">
        <v>6924.13</v>
      </c>
      <c r="AB14" s="81">
        <v>7415.36</v>
      </c>
      <c r="AC14" s="288">
        <v>7963.33</v>
      </c>
      <c r="AD14" s="48">
        <v>8789.6200000000008</v>
      </c>
      <c r="AE14" s="367">
        <v>9086.3077481485379</v>
      </c>
      <c r="AF14" s="48">
        <v>9585.488967366724</v>
      </c>
      <c r="AG14" s="367">
        <v>9086.3077481485379</v>
      </c>
      <c r="AH14" s="366">
        <v>4</v>
      </c>
      <c r="AK14" s="90">
        <v>9585.488967366724</v>
      </c>
      <c r="AN14" s="48"/>
      <c r="AO14" s="81">
        <v>9325.6</v>
      </c>
      <c r="AP14" s="30">
        <v>6</v>
      </c>
      <c r="AS14" s="213">
        <v>9603.43</v>
      </c>
      <c r="AT14" s="30">
        <v>6</v>
      </c>
      <c r="AV14" s="57"/>
      <c r="AW14" s="249">
        <v>10974.038122379166</v>
      </c>
      <c r="AX14" s="57">
        <v>10974.038122379166</v>
      </c>
      <c r="AY14" s="30">
        <f>AW14-AX14</f>
        <v>0</v>
      </c>
      <c r="BA14" s="30">
        <v>12541.973083028202</v>
      </c>
      <c r="BB14" s="30">
        <v>3</v>
      </c>
      <c r="BD14" s="55">
        <v>13987.99419285033</v>
      </c>
      <c r="BE14" s="30">
        <v>3</v>
      </c>
      <c r="BG14" s="55">
        <v>14332.031822584702</v>
      </c>
      <c r="BH14" s="30">
        <v>4</v>
      </c>
      <c r="BJ14" s="55">
        <v>14182.82184205181</v>
      </c>
      <c r="BK14" s="30">
        <v>6</v>
      </c>
      <c r="BM14" s="55">
        <v>15156.318340209649</v>
      </c>
      <c r="BN14" s="61">
        <v>2</v>
      </c>
      <c r="BP14" s="55">
        <v>14900.750711694025</v>
      </c>
      <c r="BQ14" s="366">
        <v>2</v>
      </c>
      <c r="BS14" s="55">
        <v>14631.289801470044</v>
      </c>
      <c r="BT14" s="30">
        <v>4</v>
      </c>
    </row>
    <row r="15" spans="1:72" ht="15.75">
      <c r="A15" s="1" t="s">
        <v>9</v>
      </c>
      <c r="B15" s="288">
        <v>8899.4599999999991</v>
      </c>
      <c r="C15" s="288">
        <v>9439.14</v>
      </c>
      <c r="D15" s="288">
        <v>10079.276446843342</v>
      </c>
      <c r="E15" s="288">
        <v>11038.050635235679</v>
      </c>
      <c r="F15" s="288">
        <v>11618.75282394326</v>
      </c>
      <c r="G15" s="288">
        <v>12235.856135221911</v>
      </c>
      <c r="H15" s="288">
        <v>12966.557274113862</v>
      </c>
      <c r="I15" s="288">
        <v>12939.040526229624</v>
      </c>
      <c r="J15" s="288">
        <v>12752.881520221486</v>
      </c>
      <c r="K15" s="288">
        <v>13011.74003941887</v>
      </c>
      <c r="L15" s="240">
        <f>(K15-J15)*100/J15</f>
        <v>2.0298041567070695</v>
      </c>
      <c r="M15" s="240">
        <f t="shared" si="0"/>
        <v>51.963888999256262</v>
      </c>
      <c r="N15" s="56">
        <v>4315.1499999999996</v>
      </c>
      <c r="O15" s="56">
        <v>3465.46</v>
      </c>
      <c r="P15" s="56">
        <v>4943.29</v>
      </c>
      <c r="Q15" s="56">
        <v>5162.3100000000004</v>
      </c>
      <c r="R15" s="56">
        <v>5722.35</v>
      </c>
      <c r="S15" s="56">
        <v>6006.49</v>
      </c>
      <c r="T15" s="56">
        <v>6219.88</v>
      </c>
      <c r="U15" s="56">
        <v>6199.86</v>
      </c>
      <c r="V15" s="56">
        <v>6202.94</v>
      </c>
      <c r="W15" s="56">
        <v>6191.3</v>
      </c>
      <c r="X15" s="81">
        <v>6337.14</v>
      </c>
      <c r="Y15" s="55">
        <v>6380.34</v>
      </c>
      <c r="Z15" s="57">
        <v>6600.55</v>
      </c>
      <c r="AA15" s="81">
        <v>6917.99</v>
      </c>
      <c r="AB15" s="81">
        <v>7006.98</v>
      </c>
      <c r="AC15" s="288">
        <v>7320.69</v>
      </c>
      <c r="AD15" s="48">
        <v>7907.94</v>
      </c>
      <c r="AE15" s="367">
        <v>8240.9351375914212</v>
      </c>
      <c r="AF15" s="48">
        <v>8562.3894762804812</v>
      </c>
      <c r="AG15" s="367">
        <v>8240.9351375914212</v>
      </c>
      <c r="AH15" s="366">
        <v>8</v>
      </c>
      <c r="AK15" s="90">
        <v>8562.3894762804812</v>
      </c>
      <c r="AN15" s="48"/>
      <c r="AO15" s="81">
        <v>8899.4599999999991</v>
      </c>
      <c r="AP15" s="30">
        <v>9</v>
      </c>
      <c r="AS15" s="213">
        <v>9439.14</v>
      </c>
      <c r="AT15" s="30">
        <v>7</v>
      </c>
      <c r="AV15" s="57"/>
      <c r="AW15" s="249">
        <v>10079.276446843342</v>
      </c>
      <c r="AX15" s="57">
        <v>10079.276446843342</v>
      </c>
      <c r="AY15" s="30">
        <f>AW15-AX15</f>
        <v>0</v>
      </c>
      <c r="BA15" s="30">
        <v>11038.050635235679</v>
      </c>
      <c r="BB15" s="30">
        <v>8</v>
      </c>
      <c r="BD15" s="55">
        <v>11618.75282394326</v>
      </c>
      <c r="BE15" s="30">
        <v>12</v>
      </c>
      <c r="BG15" s="55">
        <v>12235.856135221911</v>
      </c>
      <c r="BH15" s="30">
        <v>10</v>
      </c>
      <c r="BJ15" s="55">
        <v>12966.557274113862</v>
      </c>
      <c r="BK15" s="30">
        <v>9</v>
      </c>
      <c r="BM15" s="55">
        <v>12939.040526229624</v>
      </c>
      <c r="BN15" s="61">
        <v>10</v>
      </c>
      <c r="BP15" s="55">
        <v>12752.881520221486</v>
      </c>
      <c r="BQ15" s="366">
        <v>11</v>
      </c>
      <c r="BS15" s="55">
        <v>13011.74003941887</v>
      </c>
      <c r="BT15" s="30">
        <v>12</v>
      </c>
    </row>
    <row r="16" spans="1:72" ht="15.75">
      <c r="A16" s="1" t="s">
        <v>10</v>
      </c>
      <c r="B16" s="288">
        <v>8731.2000000000007</v>
      </c>
      <c r="C16" s="288">
        <v>9223.7099999999991</v>
      </c>
      <c r="D16" s="288">
        <v>9744.9548291959491</v>
      </c>
      <c r="E16" s="288">
        <v>9700.8148688833262</v>
      </c>
      <c r="F16" s="288">
        <v>11194.858022639763</v>
      </c>
      <c r="G16" s="288">
        <v>11789.349669282643</v>
      </c>
      <c r="H16" s="288">
        <v>12226.424326991837</v>
      </c>
      <c r="I16" s="288">
        <v>12696.910261391418</v>
      </c>
      <c r="J16" s="288">
        <v>13017.767565957767</v>
      </c>
      <c r="K16" s="288">
        <v>13074.066131431191</v>
      </c>
      <c r="L16" s="240">
        <f>(K16-J16)*100/J16</f>
        <v>0.43247480943389988</v>
      </c>
      <c r="M16" s="240">
        <f t="shared" si="0"/>
        <v>58.961596123638692</v>
      </c>
      <c r="N16" s="56">
        <v>3575.04</v>
      </c>
      <c r="O16" s="56">
        <v>3854.38</v>
      </c>
      <c r="P16" s="56">
        <v>3985.16</v>
      </c>
      <c r="Q16" s="56">
        <v>4154.9399999999996</v>
      </c>
      <c r="R16" s="56">
        <v>4510.55</v>
      </c>
      <c r="S16" s="56">
        <v>4821.59</v>
      </c>
      <c r="T16" s="56">
        <v>5165.0200000000004</v>
      </c>
      <c r="U16" s="56">
        <v>5423.39</v>
      </c>
      <c r="V16" s="56">
        <v>5609.6</v>
      </c>
      <c r="W16" s="56">
        <v>5686.91</v>
      </c>
      <c r="X16" s="81">
        <v>5872.26</v>
      </c>
      <c r="Y16" s="55">
        <v>5996.86</v>
      </c>
      <c r="Z16" s="57">
        <v>6038.52</v>
      </c>
      <c r="AA16" s="81">
        <v>6227.32</v>
      </c>
      <c r="AB16" s="81">
        <v>6520.8</v>
      </c>
      <c r="AC16" s="288">
        <v>6706.31</v>
      </c>
      <c r="AD16" s="48">
        <v>7043.38</v>
      </c>
      <c r="AE16" s="367">
        <v>7642.8673295880126</v>
      </c>
      <c r="AF16" s="48">
        <v>8224.6696373521045</v>
      </c>
      <c r="AG16" s="367">
        <v>7642.8673295880126</v>
      </c>
      <c r="AH16" s="366">
        <v>17</v>
      </c>
      <c r="AK16" s="90">
        <v>8224.6696373521045</v>
      </c>
      <c r="AN16" s="48"/>
      <c r="AO16" s="81">
        <v>8731.2000000000007</v>
      </c>
      <c r="AP16" s="30">
        <v>13</v>
      </c>
      <c r="AS16" s="213">
        <v>9223.7099999999991</v>
      </c>
      <c r="AT16" s="30">
        <v>10</v>
      </c>
      <c r="AV16" s="57"/>
      <c r="AW16" s="249">
        <v>9744.9548291959491</v>
      </c>
      <c r="AX16" s="57">
        <v>9744.9548291959491</v>
      </c>
      <c r="AY16" s="30">
        <f>AW16-AX16</f>
        <v>0</v>
      </c>
      <c r="BA16" s="30">
        <v>9700.8148688833262</v>
      </c>
      <c r="BB16" s="30">
        <v>22</v>
      </c>
      <c r="BD16" s="55">
        <v>11194.858022639763</v>
      </c>
      <c r="BE16" s="30">
        <v>16</v>
      </c>
      <c r="BG16" s="55">
        <v>11789.349669282643</v>
      </c>
      <c r="BH16" s="30">
        <v>14</v>
      </c>
      <c r="BJ16" s="55">
        <v>12226.424326991837</v>
      </c>
      <c r="BK16" s="30">
        <v>15</v>
      </c>
      <c r="BM16" s="55">
        <v>12696.910261391418</v>
      </c>
      <c r="BN16" s="61">
        <v>11</v>
      </c>
      <c r="BP16" s="55">
        <v>13017.767565957767</v>
      </c>
      <c r="BQ16" s="366">
        <v>10</v>
      </c>
      <c r="BS16" s="55">
        <v>13074.066131431191</v>
      </c>
      <c r="BT16" s="30">
        <v>11</v>
      </c>
    </row>
    <row r="17" spans="1:72" ht="15.75">
      <c r="A17" s="1"/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40"/>
      <c r="M17" s="240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81"/>
      <c r="Y17" s="55"/>
      <c r="Z17" s="57"/>
      <c r="AA17" s="81"/>
      <c r="AB17" s="81"/>
      <c r="AC17" s="288"/>
      <c r="AD17" s="48"/>
      <c r="AE17" s="367"/>
      <c r="AF17" s="48"/>
      <c r="AG17" s="367"/>
      <c r="AH17" s="366"/>
      <c r="AK17" s="90"/>
      <c r="AN17" s="48"/>
      <c r="AO17" s="81"/>
      <c r="AS17" s="213"/>
      <c r="AV17" s="57"/>
      <c r="AW17" s="249"/>
      <c r="AX17" s="57"/>
      <c r="BD17" s="55"/>
      <c r="BG17" s="55"/>
      <c r="BJ17" s="55"/>
      <c r="BM17" s="55"/>
      <c r="BN17" s="61"/>
      <c r="BP17" s="55"/>
      <c r="BQ17" s="366"/>
      <c r="BS17" s="55"/>
    </row>
    <row r="18" spans="1:72" ht="15.75">
      <c r="A18" s="1" t="s">
        <v>11</v>
      </c>
      <c r="B18" s="288">
        <v>8343.25</v>
      </c>
      <c r="C18" s="288">
        <v>8568.0499999999993</v>
      </c>
      <c r="D18" s="288">
        <v>9022.6568854165707</v>
      </c>
      <c r="E18" s="288">
        <v>9863.8666887648924</v>
      </c>
      <c r="F18" s="288">
        <v>10740.279248705849</v>
      </c>
      <c r="G18" s="288">
        <v>11154.108381276152</v>
      </c>
      <c r="H18" s="288">
        <v>11353.705421569082</v>
      </c>
      <c r="I18" s="288">
        <v>11822.770559187324</v>
      </c>
      <c r="J18" s="288">
        <v>11921.423219175513</v>
      </c>
      <c r="K18" s="288">
        <v>11791.901811161679</v>
      </c>
      <c r="L18" s="240">
        <f>(K18-J18)*100/J18</f>
        <v>-1.0864592727947096</v>
      </c>
      <c r="M18" s="240">
        <f t="shared" si="0"/>
        <v>53.99762474952702</v>
      </c>
      <c r="N18" s="56">
        <v>2879.04</v>
      </c>
      <c r="O18" s="56">
        <v>3076.12</v>
      </c>
      <c r="P18" s="56">
        <v>3396.75</v>
      </c>
      <c r="Q18" s="56">
        <v>3760.86</v>
      </c>
      <c r="R18" s="56">
        <v>4048.73</v>
      </c>
      <c r="S18" s="56">
        <v>4283.82</v>
      </c>
      <c r="T18" s="56">
        <v>4557.7</v>
      </c>
      <c r="U18" s="56">
        <v>4705.9799999999996</v>
      </c>
      <c r="V18" s="56">
        <v>4898.29</v>
      </c>
      <c r="W18" s="56">
        <v>5063</v>
      </c>
      <c r="X18" s="81">
        <v>5262.09</v>
      </c>
      <c r="Y18" s="55">
        <v>5354.61</v>
      </c>
      <c r="Z18" s="57">
        <v>5631.2</v>
      </c>
      <c r="AA18" s="81">
        <v>5984.79</v>
      </c>
      <c r="AB18" s="81">
        <v>6281.77</v>
      </c>
      <c r="AC18" s="288">
        <v>6419.54</v>
      </c>
      <c r="AD18" s="48">
        <v>6681.47</v>
      </c>
      <c r="AE18" s="367">
        <v>7090.4316157110425</v>
      </c>
      <c r="AF18" s="48">
        <v>7657.1972005028574</v>
      </c>
      <c r="AG18" s="367">
        <v>7090.4316157110425</v>
      </c>
      <c r="AH18" s="366">
        <v>24</v>
      </c>
      <c r="AK18" s="90">
        <v>7657.1972005028574</v>
      </c>
      <c r="AN18" s="48"/>
      <c r="AO18" s="81">
        <v>8343.25</v>
      </c>
      <c r="AP18" s="30">
        <v>18</v>
      </c>
      <c r="AS18" s="213">
        <v>8568.0499999999993</v>
      </c>
      <c r="AT18" s="30">
        <v>21</v>
      </c>
      <c r="AV18" s="57"/>
      <c r="AW18" s="249">
        <v>9034.6430344013206</v>
      </c>
      <c r="AX18" s="57">
        <v>9022.6568854165707</v>
      </c>
      <c r="AY18" s="30">
        <f>AW18-AX18</f>
        <v>11.986148984749889</v>
      </c>
      <c r="BA18" s="30">
        <v>9863.8666887648924</v>
      </c>
      <c r="BB18" s="30">
        <v>20</v>
      </c>
      <c r="BD18" s="55">
        <v>10740.279248705849</v>
      </c>
      <c r="BE18" s="30">
        <v>22</v>
      </c>
      <c r="BG18" s="55">
        <v>11154.108381276152</v>
      </c>
      <c r="BH18" s="30">
        <v>24</v>
      </c>
      <c r="BJ18" s="55">
        <v>11353.705421569082</v>
      </c>
      <c r="BK18" s="30">
        <v>24</v>
      </c>
      <c r="BM18" s="55">
        <v>11822.770559187324</v>
      </c>
      <c r="BN18" s="61">
        <v>22</v>
      </c>
      <c r="BP18" s="55">
        <v>11921.423219175513</v>
      </c>
      <c r="BQ18" s="366">
        <v>20</v>
      </c>
      <c r="BS18" s="55">
        <v>11791.901811161679</v>
      </c>
      <c r="BT18" s="30">
        <v>23</v>
      </c>
    </row>
    <row r="19" spans="1:72" ht="15.75">
      <c r="A19" s="1" t="s">
        <v>12</v>
      </c>
      <c r="B19" s="288">
        <v>8223.11</v>
      </c>
      <c r="C19" s="288">
        <v>8708.4699999999993</v>
      </c>
      <c r="D19" s="288">
        <v>9240.7472927400577</v>
      </c>
      <c r="E19" s="288">
        <v>10104.738120967239</v>
      </c>
      <c r="F19" s="288">
        <v>11031.379863593813</v>
      </c>
      <c r="G19" s="288">
        <v>11670.758133639183</v>
      </c>
      <c r="H19" s="288">
        <v>12138.884885097976</v>
      </c>
      <c r="I19" s="288">
        <v>12208.391819810426</v>
      </c>
      <c r="J19" s="288">
        <v>12401.752960251177</v>
      </c>
      <c r="K19" s="288">
        <v>12763.19739888221</v>
      </c>
      <c r="L19" s="240">
        <f>(K19-J19)*100/J19</f>
        <v>2.9144624940482036</v>
      </c>
      <c r="M19" s="240">
        <f t="shared" si="0"/>
        <v>65.244437429162943</v>
      </c>
      <c r="N19" s="56">
        <v>3051.56</v>
      </c>
      <c r="O19" s="56">
        <v>3250.68</v>
      </c>
      <c r="P19" s="56">
        <v>3568.15</v>
      </c>
      <c r="Q19" s="56">
        <v>3892.91</v>
      </c>
      <c r="R19" s="56">
        <v>4320.33</v>
      </c>
      <c r="S19" s="56">
        <v>4736.49</v>
      </c>
      <c r="T19" s="56">
        <v>5076.25</v>
      </c>
      <c r="U19" s="56">
        <v>5188.5600000000004</v>
      </c>
      <c r="V19" s="56">
        <v>5315.48</v>
      </c>
      <c r="W19" s="56">
        <v>5529.32</v>
      </c>
      <c r="X19" s="81">
        <v>5795.44</v>
      </c>
      <c r="Y19" s="55">
        <v>5827.92</v>
      </c>
      <c r="Z19" s="57">
        <v>5873.88</v>
      </c>
      <c r="AA19" s="81">
        <v>6066.49</v>
      </c>
      <c r="AB19" s="81">
        <v>6379.48</v>
      </c>
      <c r="AC19" s="288">
        <v>6621.8</v>
      </c>
      <c r="AD19" s="48">
        <v>7058.83</v>
      </c>
      <c r="AE19" s="367">
        <v>7334.7852009598901</v>
      </c>
      <c r="AF19" s="48">
        <v>7723.8287699418279</v>
      </c>
      <c r="AG19" s="367">
        <v>7334.7852009598901</v>
      </c>
      <c r="AH19" s="366">
        <v>22</v>
      </c>
      <c r="AK19" s="90">
        <v>7723.8287699418279</v>
      </c>
      <c r="AN19" s="48"/>
      <c r="AO19" s="81">
        <v>8223.11</v>
      </c>
      <c r="AP19" s="30">
        <v>19</v>
      </c>
      <c r="AS19" s="213">
        <v>8708.4699999999993</v>
      </c>
      <c r="AT19" s="30">
        <v>18</v>
      </c>
      <c r="AV19" s="57"/>
      <c r="AW19" s="249">
        <v>9277.5986069387291</v>
      </c>
      <c r="AX19" s="57">
        <v>9240.7472927400577</v>
      </c>
      <c r="AY19" s="30">
        <f>AW19-AX19</f>
        <v>36.851314198671389</v>
      </c>
      <c r="BA19" s="30">
        <v>10104.738120967239</v>
      </c>
      <c r="BB19" s="30">
        <v>17</v>
      </c>
      <c r="BD19" s="55">
        <v>11031.379863593813</v>
      </c>
      <c r="BE19" s="30">
        <v>18</v>
      </c>
      <c r="BG19" s="55">
        <v>11670.758133639183</v>
      </c>
      <c r="BH19" s="30">
        <v>17</v>
      </c>
      <c r="BJ19" s="55">
        <v>12138.884885097976</v>
      </c>
      <c r="BK19" s="30">
        <v>16</v>
      </c>
      <c r="BM19" s="55">
        <v>12208.391819810426</v>
      </c>
      <c r="BN19" s="61">
        <v>16</v>
      </c>
      <c r="BP19" s="55">
        <v>12401.752960251177</v>
      </c>
      <c r="BQ19" s="366">
        <v>16</v>
      </c>
      <c r="BS19" s="55">
        <v>12763.19739888221</v>
      </c>
      <c r="BT19" s="30">
        <v>13</v>
      </c>
    </row>
    <row r="20" spans="1:72" ht="15.75">
      <c r="A20" s="1" t="s">
        <v>13</v>
      </c>
      <c r="B20" s="288">
        <v>8211.58</v>
      </c>
      <c r="C20" s="288">
        <v>8700.5300000000007</v>
      </c>
      <c r="D20" s="288">
        <v>9319.9627675675947</v>
      </c>
      <c r="E20" s="288">
        <v>9866.7246426649581</v>
      </c>
      <c r="F20" s="288">
        <v>10914.291779972766</v>
      </c>
      <c r="G20" s="288">
        <v>11431.301255284765</v>
      </c>
      <c r="H20" s="288">
        <v>11748.424282437449</v>
      </c>
      <c r="I20" s="288">
        <v>11938.836749694277</v>
      </c>
      <c r="J20" s="288">
        <v>11803.744238108215</v>
      </c>
      <c r="K20" s="288">
        <v>12327.394941102642</v>
      </c>
      <c r="L20" s="240">
        <f>(K20-J20)*100/J20</f>
        <v>4.4363101438934027</v>
      </c>
      <c r="M20" s="240">
        <f t="shared" si="0"/>
        <v>58.072661274433813</v>
      </c>
      <c r="N20" s="56">
        <v>3071.63</v>
      </c>
      <c r="O20" s="56">
        <v>3341.91</v>
      </c>
      <c r="P20" s="56">
        <v>3592.77</v>
      </c>
      <c r="Q20" s="56">
        <v>3931.81</v>
      </c>
      <c r="R20" s="56">
        <v>4169.63</v>
      </c>
      <c r="S20" s="56">
        <v>4630.2299999999996</v>
      </c>
      <c r="T20" s="56">
        <v>4912.6099999999997</v>
      </c>
      <c r="U20" s="56">
        <v>5075.28</v>
      </c>
      <c r="V20" s="56">
        <v>5131.01</v>
      </c>
      <c r="W20" s="56">
        <v>5477.49</v>
      </c>
      <c r="X20" s="81">
        <v>5687.69</v>
      </c>
      <c r="Y20" s="55">
        <v>5830.79</v>
      </c>
      <c r="Z20" s="57">
        <v>5893.97</v>
      </c>
      <c r="AA20" s="81">
        <v>6122.02</v>
      </c>
      <c r="AB20" s="81">
        <v>6451.34</v>
      </c>
      <c r="AC20" s="288">
        <v>6729.38</v>
      </c>
      <c r="AD20" s="48">
        <v>7185.25</v>
      </c>
      <c r="AE20" s="367">
        <v>7454.2842348561726</v>
      </c>
      <c r="AF20" s="48">
        <v>7798.5622825067458</v>
      </c>
      <c r="AG20" s="367">
        <v>7454.2842348561726</v>
      </c>
      <c r="AH20" s="366">
        <v>19</v>
      </c>
      <c r="AK20" s="90">
        <v>7798.5622825067458</v>
      </c>
      <c r="AN20" s="48"/>
      <c r="AO20" s="81">
        <v>8211.58</v>
      </c>
      <c r="AP20" s="30">
        <v>20</v>
      </c>
      <c r="AS20" s="213">
        <v>8700.5300000000007</v>
      </c>
      <c r="AT20" s="30">
        <v>19</v>
      </c>
      <c r="AV20" s="57"/>
      <c r="AW20" s="249">
        <v>9402.1549528382748</v>
      </c>
      <c r="AX20" s="57">
        <v>9319.9627675675947</v>
      </c>
      <c r="AY20" s="30">
        <f>AW20-AX20</f>
        <v>82.192185270680056</v>
      </c>
      <c r="BA20" s="30">
        <v>9866.7246426649581</v>
      </c>
      <c r="BB20" s="30">
        <v>19</v>
      </c>
      <c r="BD20" s="55">
        <v>10914.291779972766</v>
      </c>
      <c r="BE20" s="30">
        <v>19</v>
      </c>
      <c r="BG20" s="55">
        <v>11431.301255284765</v>
      </c>
      <c r="BH20" s="30">
        <v>19</v>
      </c>
      <c r="BJ20" s="55">
        <v>11748.424282437449</v>
      </c>
      <c r="BK20" s="30">
        <v>19</v>
      </c>
      <c r="BM20" s="55">
        <v>11938.836749694277</v>
      </c>
      <c r="BN20" s="61">
        <v>18</v>
      </c>
      <c r="BP20" s="55">
        <v>11803.744238108215</v>
      </c>
      <c r="BQ20" s="366">
        <v>22</v>
      </c>
      <c r="BS20" s="55">
        <v>12327.394941102642</v>
      </c>
      <c r="BT20" s="30">
        <v>18</v>
      </c>
    </row>
    <row r="21" spans="1:72" ht="15.75">
      <c r="A21" s="1" t="s">
        <v>14</v>
      </c>
      <c r="B21" s="288">
        <v>8015.72</v>
      </c>
      <c r="C21" s="288">
        <v>8534.9699999999993</v>
      </c>
      <c r="D21" s="288">
        <v>9343.4531877344907</v>
      </c>
      <c r="E21" s="288">
        <v>10233.843435031049</v>
      </c>
      <c r="F21" s="288">
        <v>11368.917944036275</v>
      </c>
      <c r="G21" s="288">
        <v>11785.746145791649</v>
      </c>
      <c r="H21" s="288">
        <v>12227.57994937773</v>
      </c>
      <c r="I21" s="288">
        <v>12088.290615351365</v>
      </c>
      <c r="J21" s="288">
        <v>12475.140883609343</v>
      </c>
      <c r="K21" s="288">
        <v>12741.759649881546</v>
      </c>
      <c r="L21" s="240">
        <f>(K21-J21)*100/J21</f>
        <v>2.1372004433433167</v>
      </c>
      <c r="M21" s="240">
        <f t="shared" si="0"/>
        <v>63.642871634521612</v>
      </c>
      <c r="N21" s="56">
        <v>3200.65</v>
      </c>
      <c r="O21" s="56">
        <v>3419.11</v>
      </c>
      <c r="P21" s="56">
        <v>3709.63</v>
      </c>
      <c r="Q21" s="56">
        <v>4012.31</v>
      </c>
      <c r="R21" s="56">
        <v>4396.3599999999997</v>
      </c>
      <c r="S21" s="56">
        <v>4928.76</v>
      </c>
      <c r="T21" s="56">
        <v>5226.6400000000003</v>
      </c>
      <c r="U21" s="56">
        <v>5448.45</v>
      </c>
      <c r="V21" s="56">
        <v>5626.86</v>
      </c>
      <c r="W21" s="56">
        <v>5830.56</v>
      </c>
      <c r="X21" s="81">
        <v>5958.52</v>
      </c>
      <c r="Y21" s="55">
        <v>5969.27</v>
      </c>
      <c r="Z21" s="57">
        <v>6157.69</v>
      </c>
      <c r="AA21" s="81">
        <v>6271.22</v>
      </c>
      <c r="AB21" s="81">
        <v>6422.98</v>
      </c>
      <c r="AC21" s="288">
        <v>6748.79</v>
      </c>
      <c r="AD21" s="48">
        <v>7023.29</v>
      </c>
      <c r="AE21" s="367">
        <v>7363.0099615237241</v>
      </c>
      <c r="AF21" s="48">
        <v>7786.3212265908332</v>
      </c>
      <c r="AG21" s="367">
        <v>7363.0099615237241</v>
      </c>
      <c r="AH21" s="366">
        <v>21</v>
      </c>
      <c r="AK21" s="90">
        <v>7786.3212265908332</v>
      </c>
      <c r="AN21" s="48"/>
      <c r="AO21" s="81">
        <v>8015.72</v>
      </c>
      <c r="AP21" s="30">
        <v>23</v>
      </c>
      <c r="AS21" s="213">
        <v>8534.9699999999993</v>
      </c>
      <c r="AT21" s="30">
        <v>22</v>
      </c>
      <c r="AV21" s="57"/>
      <c r="AW21" s="249">
        <v>9246.2613142600494</v>
      </c>
      <c r="AX21" s="57">
        <v>9343.4531877344907</v>
      </c>
      <c r="AY21" s="30">
        <f>AW21-AX21</f>
        <v>-97.191873474441309</v>
      </c>
      <c r="BA21" s="30">
        <v>10233.843435031049</v>
      </c>
      <c r="BB21" s="30">
        <v>16</v>
      </c>
      <c r="BD21" s="55">
        <v>11368.917944036275</v>
      </c>
      <c r="BE21" s="30">
        <v>14</v>
      </c>
      <c r="BG21" s="55">
        <v>11785.746145791649</v>
      </c>
      <c r="BH21" s="30">
        <v>15</v>
      </c>
      <c r="BJ21" s="55">
        <v>12227.57994937773</v>
      </c>
      <c r="BK21" s="30">
        <v>14</v>
      </c>
      <c r="BM21" s="55">
        <v>12088.290615351365</v>
      </c>
      <c r="BN21" s="61">
        <v>17</v>
      </c>
      <c r="BP21" s="55">
        <v>12475.140883609343</v>
      </c>
      <c r="BQ21" s="366">
        <v>15</v>
      </c>
      <c r="BS21" s="55">
        <v>12741.759649881546</v>
      </c>
      <c r="BT21" s="30">
        <v>14</v>
      </c>
    </row>
    <row r="22" spans="1:72" ht="15.75">
      <c r="A22" s="1" t="s">
        <v>15</v>
      </c>
      <c r="B22" s="288">
        <v>9025.2199999999993</v>
      </c>
      <c r="C22" s="288">
        <v>9358.33</v>
      </c>
      <c r="D22" s="288">
        <v>10340.209187647719</v>
      </c>
      <c r="E22" s="288">
        <v>11015.335742554556</v>
      </c>
      <c r="F22" s="288">
        <v>12351.365764283411</v>
      </c>
      <c r="G22" s="288">
        <v>12563.711808001446</v>
      </c>
      <c r="H22" s="288">
        <v>12336.046592069624</v>
      </c>
      <c r="I22" s="288">
        <v>12522.961831327455</v>
      </c>
      <c r="J22" s="288">
        <v>12708.167830052276</v>
      </c>
      <c r="K22" s="288">
        <v>13105.072028956809</v>
      </c>
      <c r="L22" s="240">
        <f>(K22-J22)*100/J22</f>
        <v>3.1232212559070365</v>
      </c>
      <c r="M22" s="240">
        <f t="shared" si="0"/>
        <v>48.403534552704478</v>
      </c>
      <c r="N22" s="56">
        <v>3359.17</v>
      </c>
      <c r="O22" s="56">
        <v>3698.52</v>
      </c>
      <c r="P22" s="56">
        <v>3862.66</v>
      </c>
      <c r="Q22" s="56">
        <v>4174.21</v>
      </c>
      <c r="R22" s="56">
        <v>4550.95</v>
      </c>
      <c r="S22" s="56">
        <v>5056.99</v>
      </c>
      <c r="T22" s="56">
        <v>5289.09</v>
      </c>
      <c r="U22" s="56">
        <v>5366.62</v>
      </c>
      <c r="V22" s="56">
        <v>5390.79</v>
      </c>
      <c r="W22" s="56">
        <v>5668.1</v>
      </c>
      <c r="X22" s="81">
        <v>6057.77</v>
      </c>
      <c r="Y22" s="55">
        <v>6137.75</v>
      </c>
      <c r="Z22" s="57">
        <v>6428.24</v>
      </c>
      <c r="AA22" s="81">
        <v>6791.72</v>
      </c>
      <c r="AB22" s="81">
        <v>6937.82</v>
      </c>
      <c r="AC22" s="288">
        <v>7435.29</v>
      </c>
      <c r="AD22" s="48">
        <v>8066.98</v>
      </c>
      <c r="AE22" s="367">
        <v>8280.4251217046876</v>
      </c>
      <c r="AF22" s="48">
        <v>8830.7007433860235</v>
      </c>
      <c r="AG22" s="367">
        <v>8280.4251217046876</v>
      </c>
      <c r="AH22" s="366">
        <v>7</v>
      </c>
      <c r="AK22" s="90">
        <v>8830.7007433860235</v>
      </c>
      <c r="AN22" s="48"/>
      <c r="AO22" s="81">
        <v>9025.2199999999993</v>
      </c>
      <c r="AP22" s="30">
        <v>8</v>
      </c>
      <c r="AS22" s="213">
        <v>9358.33</v>
      </c>
      <c r="AT22" s="30">
        <v>8</v>
      </c>
      <c r="AV22" s="57"/>
      <c r="AW22" s="249">
        <v>11004.21563005562</v>
      </c>
      <c r="AX22" s="57">
        <v>10340.209187647719</v>
      </c>
      <c r="AY22" s="30">
        <f>AW22-AX22</f>
        <v>664.00644240790098</v>
      </c>
      <c r="BA22" s="30">
        <v>11015.335742554556</v>
      </c>
      <c r="BB22" s="30">
        <v>9</v>
      </c>
      <c r="BD22" s="55">
        <v>12351.365764283411</v>
      </c>
      <c r="BE22" s="30">
        <v>8</v>
      </c>
      <c r="BG22" s="55">
        <v>12563.711808001446</v>
      </c>
      <c r="BH22" s="30">
        <v>9</v>
      </c>
      <c r="BJ22" s="55">
        <v>12336.046592069624</v>
      </c>
      <c r="BK22" s="30">
        <v>12</v>
      </c>
      <c r="BM22" s="55">
        <v>12522.961831327455</v>
      </c>
      <c r="BN22" s="61">
        <v>14</v>
      </c>
      <c r="BP22" s="55">
        <v>12708.167830052276</v>
      </c>
      <c r="BQ22" s="366">
        <v>12</v>
      </c>
      <c r="BS22" s="55">
        <v>13105.072028956809</v>
      </c>
      <c r="BT22" s="30">
        <v>10</v>
      </c>
    </row>
    <row r="23" spans="1:72" ht="15.75">
      <c r="A23" s="1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40"/>
      <c r="M23" s="240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81"/>
      <c r="Y23" s="55"/>
      <c r="Z23" s="57"/>
      <c r="AA23" s="81"/>
      <c r="AB23" s="81"/>
      <c r="AC23" s="288"/>
      <c r="AD23" s="48"/>
      <c r="AE23" s="367"/>
      <c r="AF23" s="48"/>
      <c r="AG23" s="367"/>
      <c r="AH23" s="366"/>
      <c r="AK23" s="90"/>
      <c r="AN23" s="48"/>
      <c r="AO23" s="81"/>
      <c r="AS23" s="213"/>
      <c r="AV23" s="57"/>
      <c r="AW23" s="249"/>
      <c r="AX23" s="57"/>
      <c r="BD23" s="55"/>
      <c r="BG23" s="55"/>
      <c r="BJ23" s="55"/>
      <c r="BM23" s="55"/>
      <c r="BN23" s="61"/>
      <c r="BP23" s="55"/>
      <c r="BQ23" s="366"/>
      <c r="BS23" s="55"/>
    </row>
    <row r="24" spans="1:72" ht="15.75">
      <c r="A24" s="1" t="s">
        <v>16</v>
      </c>
      <c r="B24" s="288">
        <v>8417.48</v>
      </c>
      <c r="C24" s="288">
        <v>8649.68</v>
      </c>
      <c r="D24" s="288">
        <v>9248.0120490493628</v>
      </c>
      <c r="E24" s="288">
        <v>10031.609692084086</v>
      </c>
      <c r="F24" s="288">
        <v>11368.253159954627</v>
      </c>
      <c r="G24" s="288">
        <v>11719.204364608744</v>
      </c>
      <c r="H24" s="288">
        <v>11745.703567422308</v>
      </c>
      <c r="I24" s="288">
        <v>11887.707581603241</v>
      </c>
      <c r="J24" s="288">
        <v>12242.798688866807</v>
      </c>
      <c r="K24" s="288">
        <v>12267.918656749642</v>
      </c>
      <c r="L24" s="240">
        <f>(K24-J24)*100/J24</f>
        <v>0.20518158079065352</v>
      </c>
      <c r="M24" s="240">
        <f t="shared" si="0"/>
        <v>55.693760971844775</v>
      </c>
      <c r="N24" s="56">
        <v>3270.32</v>
      </c>
      <c r="O24" s="56">
        <v>3410.66</v>
      </c>
      <c r="P24" s="56">
        <v>3655.45</v>
      </c>
      <c r="Q24" s="56">
        <v>3991.87</v>
      </c>
      <c r="R24" s="56">
        <v>4396.78</v>
      </c>
      <c r="S24" s="56">
        <v>4852.38</v>
      </c>
      <c r="T24" s="56">
        <v>5299.73</v>
      </c>
      <c r="U24" s="56">
        <v>5326.5</v>
      </c>
      <c r="V24" s="56">
        <v>5358.17</v>
      </c>
      <c r="W24" s="56">
        <v>5514.07</v>
      </c>
      <c r="X24" s="81">
        <v>5767.39</v>
      </c>
      <c r="Y24" s="55">
        <v>5803.58</v>
      </c>
      <c r="Z24" s="57">
        <v>5858.42</v>
      </c>
      <c r="AA24" s="81">
        <v>6116.11</v>
      </c>
      <c r="AB24" s="81">
        <v>6364.13</v>
      </c>
      <c r="AC24" s="288">
        <v>6573.55</v>
      </c>
      <c r="AD24" s="48">
        <v>6973.44</v>
      </c>
      <c r="AE24" s="367">
        <v>7436.2453859451261</v>
      </c>
      <c r="AF24" s="48">
        <v>7879.5184727846208</v>
      </c>
      <c r="AG24" s="367">
        <v>7436.2453859451261</v>
      </c>
      <c r="AH24" s="366">
        <v>20</v>
      </c>
      <c r="AK24" s="90">
        <v>7879.5184727846208</v>
      </c>
      <c r="AN24" s="48"/>
      <c r="AO24" s="81">
        <v>8417.48</v>
      </c>
      <c r="AP24" s="30">
        <v>16</v>
      </c>
      <c r="AS24" s="213">
        <v>8649.68</v>
      </c>
      <c r="AT24" s="30">
        <v>20</v>
      </c>
      <c r="AV24" s="57"/>
      <c r="AW24" s="249">
        <v>9266.9524061616376</v>
      </c>
      <c r="AX24" s="57">
        <v>9248.0120490493628</v>
      </c>
      <c r="AY24" s="30">
        <f>AW24-AX24</f>
        <v>18.940357112274796</v>
      </c>
      <c r="BA24" s="30">
        <v>10031.609692084086</v>
      </c>
      <c r="BB24" s="30">
        <v>18</v>
      </c>
      <c r="BD24" s="55">
        <v>11368.253159954627</v>
      </c>
      <c r="BE24" s="30">
        <v>15</v>
      </c>
      <c r="BG24" s="55">
        <v>11719.204364608744</v>
      </c>
      <c r="BH24" s="30">
        <v>16</v>
      </c>
      <c r="BJ24" s="55">
        <v>11745.703567422308</v>
      </c>
      <c r="BK24" s="30">
        <v>20</v>
      </c>
      <c r="BM24" s="55">
        <v>11887.707581603241</v>
      </c>
      <c r="BN24" s="61">
        <v>20</v>
      </c>
      <c r="BP24" s="55">
        <v>12242.798688866807</v>
      </c>
      <c r="BQ24" s="366">
        <v>17</v>
      </c>
      <c r="BS24" s="55">
        <v>12267.918656749642</v>
      </c>
      <c r="BT24" s="30">
        <v>20</v>
      </c>
    </row>
    <row r="25" spans="1:72" ht="15.75">
      <c r="A25" s="1" t="s">
        <v>17</v>
      </c>
      <c r="B25" s="288">
        <v>8733.74</v>
      </c>
      <c r="C25" s="288">
        <v>9194.83</v>
      </c>
      <c r="D25" s="288">
        <v>9799.9066531954704</v>
      </c>
      <c r="E25" s="288">
        <v>10678.690010247019</v>
      </c>
      <c r="F25" s="288">
        <v>11695.915872380188</v>
      </c>
      <c r="G25" s="288">
        <v>12092.767930823175</v>
      </c>
      <c r="H25" s="288">
        <v>12850.089953711242</v>
      </c>
      <c r="I25" s="288">
        <v>13165.617118106102</v>
      </c>
      <c r="J25" s="288">
        <v>14166.231563203179</v>
      </c>
      <c r="K25" s="288">
        <v>14251.39619441628</v>
      </c>
      <c r="L25" s="240">
        <f>(K25-J25)*100/J25</f>
        <v>0.60118056685108034</v>
      </c>
      <c r="M25" s="240">
        <f t="shared" si="0"/>
        <v>69.607553425206859</v>
      </c>
      <c r="N25" s="56">
        <v>2794.14</v>
      </c>
      <c r="O25" s="56">
        <v>3264.64</v>
      </c>
      <c r="P25" s="56">
        <v>3558.42</v>
      </c>
      <c r="Q25" s="56">
        <v>3862.36</v>
      </c>
      <c r="R25" s="56">
        <v>4211.3</v>
      </c>
      <c r="S25" s="56">
        <v>4602.6099999999997</v>
      </c>
      <c r="T25" s="56">
        <v>5036.21</v>
      </c>
      <c r="U25" s="56">
        <v>5019.7</v>
      </c>
      <c r="V25" s="56">
        <v>5286.78</v>
      </c>
      <c r="W25" s="56">
        <v>5437.88</v>
      </c>
      <c r="X25" s="81">
        <v>5710.73</v>
      </c>
      <c r="Y25" s="55">
        <v>5865.05</v>
      </c>
      <c r="Z25" s="57">
        <v>6105.15</v>
      </c>
      <c r="AA25" s="81">
        <v>6471.54</v>
      </c>
      <c r="AB25" s="81">
        <v>6701.91</v>
      </c>
      <c r="AC25" s="288">
        <v>6977.85</v>
      </c>
      <c r="AD25" s="48">
        <v>7455.2</v>
      </c>
      <c r="AE25" s="367">
        <v>7927.1171189045044</v>
      </c>
      <c r="AF25" s="48">
        <v>8402.5716464926354</v>
      </c>
      <c r="AG25" s="367">
        <v>7927.1171189045044</v>
      </c>
      <c r="AH25" s="366">
        <v>11</v>
      </c>
      <c r="AK25" s="90">
        <v>8402.5716464926354</v>
      </c>
      <c r="AN25" s="48"/>
      <c r="AO25" s="81">
        <v>8733.74</v>
      </c>
      <c r="AP25" s="30">
        <v>12</v>
      </c>
      <c r="AS25" s="213">
        <v>9194.83</v>
      </c>
      <c r="AT25" s="30">
        <v>11</v>
      </c>
      <c r="AV25" s="57"/>
      <c r="AW25" s="249">
        <v>9799.9066531954704</v>
      </c>
      <c r="AX25" s="57">
        <v>9799.9066531954704</v>
      </c>
      <c r="AY25" s="30">
        <f>AW25-AX25</f>
        <v>0</v>
      </c>
      <c r="BA25" s="30">
        <v>10678.690010247019</v>
      </c>
      <c r="BB25" s="30">
        <v>12</v>
      </c>
      <c r="BD25" s="55">
        <v>11695.915872380188</v>
      </c>
      <c r="BE25" s="30">
        <v>11</v>
      </c>
      <c r="BG25" s="55">
        <v>12092.767930823175</v>
      </c>
      <c r="BH25" s="30">
        <v>12</v>
      </c>
      <c r="BJ25" s="55">
        <v>12850.089953711242</v>
      </c>
      <c r="BK25" s="30">
        <v>10</v>
      </c>
      <c r="BM25" s="55">
        <v>13165.617118106102</v>
      </c>
      <c r="BN25" s="61">
        <v>9</v>
      </c>
      <c r="BP25" s="55">
        <v>14166.231563203179</v>
      </c>
      <c r="BQ25" s="366">
        <v>5</v>
      </c>
      <c r="BS25" s="55">
        <v>14251.39619441628</v>
      </c>
      <c r="BT25" s="30">
        <v>6</v>
      </c>
    </row>
    <row r="26" spans="1:72" ht="15.75">
      <c r="A26" s="1" t="s">
        <v>18</v>
      </c>
      <c r="B26" s="288">
        <v>7646.96</v>
      </c>
      <c r="C26" s="288">
        <v>8237.0400000000009</v>
      </c>
      <c r="D26" s="288">
        <v>9103.7501845080933</v>
      </c>
      <c r="E26" s="288">
        <v>10247.463555605002</v>
      </c>
      <c r="F26" s="288">
        <v>11140.837069707128</v>
      </c>
      <c r="G26" s="288">
        <v>11541.572850838389</v>
      </c>
      <c r="H26" s="288">
        <v>11868.611117824303</v>
      </c>
      <c r="I26" s="288">
        <v>12504.133976713347</v>
      </c>
      <c r="J26" s="288">
        <v>12551.432219329075</v>
      </c>
      <c r="K26" s="288">
        <v>12534.194802602993</v>
      </c>
      <c r="L26" s="240">
        <f>(K26-J26)*100/J26</f>
        <v>-0.13733426134060508</v>
      </c>
      <c r="M26" s="240">
        <f t="shared" si="0"/>
        <v>71.604508335159593</v>
      </c>
      <c r="N26" s="56">
        <v>3175.72</v>
      </c>
      <c r="O26" s="56">
        <v>3416.96</v>
      </c>
      <c r="P26" s="56">
        <v>3645.3</v>
      </c>
      <c r="Q26" s="56">
        <v>3869.8</v>
      </c>
      <c r="R26" s="56">
        <v>4190.9399999999996</v>
      </c>
      <c r="S26" s="56">
        <v>4505.41</v>
      </c>
      <c r="T26" s="56">
        <v>4857.55</v>
      </c>
      <c r="U26" s="56">
        <v>5006.5600000000004</v>
      </c>
      <c r="V26" s="56">
        <v>5223.3900000000003</v>
      </c>
      <c r="W26" s="56">
        <v>5447.48</v>
      </c>
      <c r="X26" s="81">
        <v>5696.95</v>
      </c>
      <c r="Y26" s="55">
        <v>5858.13</v>
      </c>
      <c r="Z26" s="57">
        <v>5945.78</v>
      </c>
      <c r="AA26" s="81">
        <v>6131.75</v>
      </c>
      <c r="AB26" s="81">
        <v>6218.09</v>
      </c>
      <c r="AC26" s="288">
        <v>6532.17</v>
      </c>
      <c r="AD26" s="48">
        <v>6962.42</v>
      </c>
      <c r="AE26" s="367">
        <v>7311.5463365712767</v>
      </c>
      <c r="AF26" s="48">
        <v>7304.1174292009528</v>
      </c>
      <c r="AG26" s="367">
        <v>7311.5463365712767</v>
      </c>
      <c r="AH26" s="366">
        <v>23</v>
      </c>
      <c r="AK26" s="90">
        <v>7304.1174292009528</v>
      </c>
      <c r="AN26" s="48"/>
      <c r="AO26" s="81">
        <v>7646.96</v>
      </c>
      <c r="AP26" s="30">
        <v>24</v>
      </c>
      <c r="AS26" s="213">
        <v>8237.0400000000009</v>
      </c>
      <c r="AT26" s="30">
        <v>24</v>
      </c>
      <c r="AV26" s="57"/>
      <c r="AW26" s="249">
        <v>9103.7501845080915</v>
      </c>
      <c r="AX26" s="57">
        <v>9103.7501845080933</v>
      </c>
      <c r="AY26" s="30">
        <f>AW26-AX26</f>
        <v>0</v>
      </c>
      <c r="BA26" s="30">
        <v>10247.463555605002</v>
      </c>
      <c r="BB26" s="30">
        <v>15</v>
      </c>
      <c r="BD26" s="55">
        <v>11140.837069707128</v>
      </c>
      <c r="BE26" s="30">
        <v>17</v>
      </c>
      <c r="BG26" s="55">
        <v>11541.572850838389</v>
      </c>
      <c r="BH26" s="30">
        <v>18</v>
      </c>
      <c r="BJ26" s="55">
        <v>11868.611117824303</v>
      </c>
      <c r="BK26" s="30">
        <v>18</v>
      </c>
      <c r="BM26" s="55">
        <v>12504.133976713347</v>
      </c>
      <c r="BN26" s="61">
        <v>15</v>
      </c>
      <c r="BP26" s="55">
        <v>12551.432219329075</v>
      </c>
      <c r="BQ26" s="366">
        <v>13</v>
      </c>
      <c r="BS26" s="55">
        <v>12534.194802602993</v>
      </c>
      <c r="BT26" s="30">
        <v>17</v>
      </c>
    </row>
    <row r="27" spans="1:72" ht="15.75">
      <c r="A27" s="1" t="s">
        <v>19</v>
      </c>
      <c r="B27" s="288">
        <v>9928.06</v>
      </c>
      <c r="C27" s="288">
        <v>10585.29</v>
      </c>
      <c r="D27" s="288">
        <v>11232.03159782092</v>
      </c>
      <c r="E27" s="288">
        <v>11940.456161547147</v>
      </c>
      <c r="F27" s="288">
        <v>13174.184738569524</v>
      </c>
      <c r="G27" s="288">
        <v>14166.281963868489</v>
      </c>
      <c r="H27" s="288">
        <v>14188.12693921024</v>
      </c>
      <c r="I27" s="288">
        <v>14691.616393766713</v>
      </c>
      <c r="J27" s="288">
        <v>14570.911969791028</v>
      </c>
      <c r="K27" s="288">
        <v>14694.013720264018</v>
      </c>
      <c r="L27" s="240">
        <f>(K27-J27)*100/J27</f>
        <v>0.84484588698503604</v>
      </c>
      <c r="M27" s="240">
        <f t="shared" si="0"/>
        <v>63.820152517527326</v>
      </c>
      <c r="N27" s="56">
        <v>3959.87</v>
      </c>
      <c r="O27" s="56">
        <v>4313</v>
      </c>
      <c r="P27" s="56">
        <v>4726.7</v>
      </c>
      <c r="Q27" s="56">
        <v>5072.8100000000004</v>
      </c>
      <c r="R27" s="56">
        <v>5549.22</v>
      </c>
      <c r="S27" s="56">
        <v>6028.51</v>
      </c>
      <c r="T27" s="56">
        <v>6694.59</v>
      </c>
      <c r="U27" s="56">
        <v>6488.66</v>
      </c>
      <c r="V27" s="56">
        <v>6456.71</v>
      </c>
      <c r="W27" s="56">
        <v>6570.92</v>
      </c>
      <c r="X27" s="81">
        <v>6793.21</v>
      </c>
      <c r="Y27" s="55">
        <v>5996.98</v>
      </c>
      <c r="Z27" s="57">
        <v>6987.95</v>
      </c>
      <c r="AA27" s="81">
        <v>7189.81</v>
      </c>
      <c r="AB27" s="81">
        <v>7434.36</v>
      </c>
      <c r="AC27" s="288">
        <v>7879.56</v>
      </c>
      <c r="AD27" s="48">
        <v>8431.89</v>
      </c>
      <c r="AE27" s="367">
        <v>8976.8915031134693</v>
      </c>
      <c r="AF27" s="48">
        <v>8969.600805793345</v>
      </c>
      <c r="AG27" s="367">
        <v>8976.8915031134693</v>
      </c>
      <c r="AH27" s="366">
        <v>6</v>
      </c>
      <c r="AK27" s="90">
        <v>8969.600805793345</v>
      </c>
      <c r="AN27" s="48"/>
      <c r="AO27" s="81">
        <v>9928.06</v>
      </c>
      <c r="AP27" s="30">
        <v>5</v>
      </c>
      <c r="AS27" s="213">
        <v>10585.29</v>
      </c>
      <c r="AT27" s="30">
        <v>3</v>
      </c>
      <c r="AV27" s="57"/>
      <c r="AW27" s="249">
        <v>11232.03159782092</v>
      </c>
      <c r="AX27" s="57">
        <v>11232.03159782092</v>
      </c>
      <c r="AY27" s="30">
        <f>AW27-AX27</f>
        <v>0</v>
      </c>
      <c r="BA27" s="30">
        <v>11940.456161547147</v>
      </c>
      <c r="BB27" s="30">
        <v>6</v>
      </c>
      <c r="BD27" s="55">
        <v>13174.184738569524</v>
      </c>
      <c r="BE27" s="30">
        <v>5</v>
      </c>
      <c r="BG27" s="55">
        <v>14166.281963868489</v>
      </c>
      <c r="BH27" s="30">
        <v>6</v>
      </c>
      <c r="BJ27" s="55">
        <v>14188.12693921024</v>
      </c>
      <c r="BK27" s="30">
        <v>5</v>
      </c>
      <c r="BM27" s="55">
        <v>14691.616393766713</v>
      </c>
      <c r="BN27" s="61">
        <v>4</v>
      </c>
      <c r="BP27" s="55">
        <v>14570.911969791028</v>
      </c>
      <c r="BQ27" s="366">
        <v>4</v>
      </c>
      <c r="BS27" s="55">
        <v>14694.013720264018</v>
      </c>
      <c r="BT27" s="30">
        <v>3</v>
      </c>
    </row>
    <row r="28" spans="1:72" ht="15.75">
      <c r="A28" s="1" t="s">
        <v>20</v>
      </c>
      <c r="B28" s="288">
        <v>10007.790000000001</v>
      </c>
      <c r="C28" s="288">
        <v>10422.42</v>
      </c>
      <c r="D28" s="288">
        <v>11104.735923003807</v>
      </c>
      <c r="E28" s="288">
        <v>12267.106358688829</v>
      </c>
      <c r="F28" s="288">
        <v>12677.007037788653</v>
      </c>
      <c r="G28" s="288">
        <v>14489.922108332314</v>
      </c>
      <c r="H28" s="288">
        <v>14652.050001716058</v>
      </c>
      <c r="I28" s="288">
        <v>14570.933611557593</v>
      </c>
      <c r="J28" s="288">
        <v>14038.215211731829</v>
      </c>
      <c r="K28" s="288">
        <v>14270.657651429645</v>
      </c>
      <c r="L28" s="240">
        <f>(K28-J28)*100/J28</f>
        <v>1.6557834182764342</v>
      </c>
      <c r="M28" s="240">
        <f t="shared" si="0"/>
        <v>42.161282650027637</v>
      </c>
      <c r="N28" s="56">
        <v>3453.43</v>
      </c>
      <c r="O28" s="56">
        <v>3962.2</v>
      </c>
      <c r="P28" s="56">
        <v>4315.83</v>
      </c>
      <c r="Q28" s="56">
        <v>4712.62</v>
      </c>
      <c r="R28" s="56">
        <v>5277.09</v>
      </c>
      <c r="S28" s="56">
        <v>5622.85</v>
      </c>
      <c r="T28" s="56">
        <v>5753.16</v>
      </c>
      <c r="U28" s="56">
        <v>6015.61</v>
      </c>
      <c r="V28" s="56">
        <v>6009.46</v>
      </c>
      <c r="W28" s="56">
        <v>6430.17</v>
      </c>
      <c r="X28" s="81">
        <v>6688.63</v>
      </c>
      <c r="Y28" s="55">
        <v>6815.05</v>
      </c>
      <c r="Z28" s="57">
        <v>6944.64</v>
      </c>
      <c r="AA28" s="81">
        <v>7850.25</v>
      </c>
      <c r="AB28" s="81">
        <v>7771.19</v>
      </c>
      <c r="AC28" s="288">
        <v>7964.04</v>
      </c>
      <c r="AD28" s="48">
        <v>8979.82</v>
      </c>
      <c r="AE28" s="367">
        <v>9460.6509528843835</v>
      </c>
      <c r="AF28" s="48">
        <v>10038.357410266986</v>
      </c>
      <c r="AG28" s="367">
        <v>9460.6509528843835</v>
      </c>
      <c r="AH28" s="366">
        <v>2</v>
      </c>
      <c r="AK28" s="90">
        <v>10038.357410266986</v>
      </c>
      <c r="AN28" s="48"/>
      <c r="AO28" s="81">
        <v>10007.790000000001</v>
      </c>
      <c r="AP28" s="30">
        <v>3</v>
      </c>
      <c r="AS28" s="213">
        <v>10422.42</v>
      </c>
      <c r="AT28" s="30">
        <v>4</v>
      </c>
      <c r="AV28" s="57"/>
      <c r="AW28" s="249">
        <v>11104.735923003807</v>
      </c>
      <c r="AX28" s="57">
        <v>11104.735923003807</v>
      </c>
      <c r="AY28" s="30">
        <f>AW28-AX28</f>
        <v>0</v>
      </c>
      <c r="BA28" s="30">
        <v>12267.106358688829</v>
      </c>
      <c r="BB28" s="30">
        <v>4</v>
      </c>
      <c r="BD28" s="55">
        <v>12677.007037788653</v>
      </c>
      <c r="BE28" s="30">
        <v>7</v>
      </c>
      <c r="BG28" s="55">
        <v>14489.922108332314</v>
      </c>
      <c r="BH28" s="30">
        <v>3</v>
      </c>
      <c r="BJ28" s="55">
        <v>14652.050001716058</v>
      </c>
      <c r="BK28" s="30">
        <v>3</v>
      </c>
      <c r="BM28" s="55">
        <v>14570.933611557593</v>
      </c>
      <c r="BN28" s="61">
        <v>5</v>
      </c>
      <c r="BP28" s="55">
        <v>14038.215211731829</v>
      </c>
      <c r="BQ28" s="366">
        <v>6</v>
      </c>
      <c r="BS28" s="55">
        <v>14270.657651429645</v>
      </c>
      <c r="BT28" s="30">
        <v>5</v>
      </c>
    </row>
    <row r="29" spans="1:72" ht="15.75">
      <c r="A29" s="1"/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40"/>
      <c r="M29" s="240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81"/>
      <c r="Y29" s="55"/>
      <c r="Z29" s="57"/>
      <c r="AA29" s="81"/>
      <c r="AB29" s="81"/>
      <c r="AC29" s="288"/>
      <c r="AD29" s="48"/>
      <c r="AE29" s="367"/>
      <c r="AF29" s="48"/>
      <c r="AG29" s="367"/>
      <c r="AH29" s="366"/>
      <c r="AK29" s="90"/>
      <c r="AN29" s="48"/>
      <c r="AO29" s="81"/>
      <c r="AS29" s="213"/>
      <c r="AV29" s="57"/>
      <c r="AW29" s="249"/>
      <c r="AX29" s="57"/>
      <c r="BD29" s="55"/>
      <c r="BG29" s="55"/>
      <c r="BJ29" s="55"/>
      <c r="BM29" s="55"/>
      <c r="BN29" s="61"/>
      <c r="BP29" s="55"/>
      <c r="BQ29" s="366"/>
      <c r="BS29" s="55"/>
    </row>
    <row r="30" spans="1:72" ht="15.75">
      <c r="A30" s="1" t="s">
        <v>21</v>
      </c>
      <c r="B30" s="288">
        <v>10973.72</v>
      </c>
      <c r="C30" s="288">
        <v>11740.4</v>
      </c>
      <c r="D30" s="288">
        <v>12556.332088095431</v>
      </c>
      <c r="E30" s="288">
        <v>13536.029446550056</v>
      </c>
      <c r="F30" s="288">
        <v>14543.269983463701</v>
      </c>
      <c r="G30" s="288">
        <v>14968.880847731429</v>
      </c>
      <c r="H30" s="288">
        <v>15180.335976532137</v>
      </c>
      <c r="I30" s="288">
        <v>15021.208013605725</v>
      </c>
      <c r="J30" s="288">
        <v>14662.335811722347</v>
      </c>
      <c r="K30" s="288">
        <v>14891.246462863784</v>
      </c>
      <c r="L30" s="240">
        <f>(K30-J30)*100/J30</f>
        <v>1.5612154439842143</v>
      </c>
      <c r="M30" s="240">
        <f t="shared" si="0"/>
        <v>42.977389173006628</v>
      </c>
      <c r="N30" s="56">
        <v>4901.45</v>
      </c>
      <c r="O30" s="56">
        <v>5295.02</v>
      </c>
      <c r="P30" s="56">
        <v>5643.57</v>
      </c>
      <c r="Q30" s="56">
        <v>6111.85</v>
      </c>
      <c r="R30" s="56">
        <v>6629.5</v>
      </c>
      <c r="S30" s="56">
        <v>7213.13</v>
      </c>
      <c r="T30" s="56">
        <v>7590.72</v>
      </c>
      <c r="U30" s="56">
        <v>7376.56</v>
      </c>
      <c r="V30" s="56">
        <v>7543.66</v>
      </c>
      <c r="W30" s="56">
        <v>7538.69</v>
      </c>
      <c r="X30" s="81">
        <v>7697.39</v>
      </c>
      <c r="Y30" s="55">
        <v>7886.82</v>
      </c>
      <c r="Z30" s="57">
        <v>8034.88</v>
      </c>
      <c r="AA30" s="81">
        <v>8287</v>
      </c>
      <c r="AB30" s="81">
        <v>8574.3799999999992</v>
      </c>
      <c r="AC30" s="288">
        <v>8888.19</v>
      </c>
      <c r="AD30" s="48">
        <v>9488.2999999999993</v>
      </c>
      <c r="AE30" s="367">
        <v>9876.2746984889691</v>
      </c>
      <c r="AF30" s="48">
        <v>10415.105877227175</v>
      </c>
      <c r="AG30" s="367">
        <v>9876.2746984889691</v>
      </c>
      <c r="AH30" s="366">
        <v>1</v>
      </c>
      <c r="AK30" s="90">
        <v>10415.105877227175</v>
      </c>
      <c r="AN30" s="48"/>
      <c r="AO30" s="81">
        <v>10973.72</v>
      </c>
      <c r="AP30" s="30">
        <v>1</v>
      </c>
      <c r="AS30" s="213">
        <v>11740.4</v>
      </c>
      <c r="AT30" s="30">
        <v>1</v>
      </c>
      <c r="AV30" s="57"/>
      <c r="AW30" s="249">
        <v>12646.759382706716</v>
      </c>
      <c r="AX30" s="57">
        <v>12556.332088095431</v>
      </c>
      <c r="AY30" s="30">
        <f>AW30-AX30</f>
        <v>90.427294611285106</v>
      </c>
      <c r="BA30" s="30">
        <v>13536.029446550056</v>
      </c>
      <c r="BB30" s="30">
        <v>1</v>
      </c>
      <c r="BD30" s="55">
        <v>14543.269983463701</v>
      </c>
      <c r="BE30" s="30">
        <v>1</v>
      </c>
      <c r="BG30" s="55">
        <v>14968.880847731429</v>
      </c>
      <c r="BH30" s="30">
        <v>2</v>
      </c>
      <c r="BJ30" s="55">
        <v>15180.335976532137</v>
      </c>
      <c r="BK30" s="30">
        <v>2</v>
      </c>
      <c r="BM30" s="55">
        <v>15021.208013605725</v>
      </c>
      <c r="BN30" s="61">
        <v>3</v>
      </c>
      <c r="BP30" s="55">
        <v>14662.335811722347</v>
      </c>
      <c r="BQ30" s="366">
        <v>3</v>
      </c>
      <c r="BS30" s="55">
        <v>14891.246462863784</v>
      </c>
      <c r="BT30" s="30">
        <v>2</v>
      </c>
    </row>
    <row r="31" spans="1:72" ht="15.75">
      <c r="A31" s="1" t="s">
        <v>22</v>
      </c>
      <c r="B31" s="288">
        <v>8401.35</v>
      </c>
      <c r="C31" s="288">
        <v>9102.66</v>
      </c>
      <c r="D31" s="288">
        <v>9856.2629776049744</v>
      </c>
      <c r="E31" s="288">
        <v>11188.895604281497</v>
      </c>
      <c r="F31" s="288">
        <v>13023.849884685236</v>
      </c>
      <c r="G31" s="288">
        <v>13183.174566977083</v>
      </c>
      <c r="H31" s="288">
        <v>13490.802920892587</v>
      </c>
      <c r="I31" s="288">
        <v>13276.18335568196</v>
      </c>
      <c r="J31" s="288">
        <v>13265.937013999417</v>
      </c>
      <c r="K31" s="288">
        <v>13784.445697029005</v>
      </c>
      <c r="L31" s="240">
        <f>(K31-J31)*100/J31</f>
        <v>3.908571874586849</v>
      </c>
      <c r="M31" s="240">
        <f t="shared" si="0"/>
        <v>66.846257216362588</v>
      </c>
      <c r="N31" s="56">
        <v>3577.89</v>
      </c>
      <c r="O31" s="56">
        <v>3931.28</v>
      </c>
      <c r="P31" s="56">
        <v>4326.4399999999996</v>
      </c>
      <c r="Q31" s="56">
        <v>4805.3599999999997</v>
      </c>
      <c r="R31" s="56">
        <v>5157.42</v>
      </c>
      <c r="S31" s="56">
        <v>5470.57</v>
      </c>
      <c r="T31" s="56">
        <v>5802.68</v>
      </c>
      <c r="U31" s="56">
        <v>5636.98</v>
      </c>
      <c r="V31" s="56">
        <v>5897.43</v>
      </c>
      <c r="W31" s="56">
        <v>6018.46</v>
      </c>
      <c r="X31" s="81">
        <v>6272.26</v>
      </c>
      <c r="Y31" s="55">
        <v>6282.47</v>
      </c>
      <c r="Z31" s="57">
        <v>6370.12</v>
      </c>
      <c r="AA31" s="81">
        <v>6584.5</v>
      </c>
      <c r="AB31" s="81">
        <v>6853.48</v>
      </c>
      <c r="AC31" s="288">
        <v>7116.13</v>
      </c>
      <c r="AD31" s="48">
        <v>7313.09</v>
      </c>
      <c r="AE31" s="367">
        <v>7698.8694294968091</v>
      </c>
      <c r="AF31" s="48">
        <v>8261.7650087011752</v>
      </c>
      <c r="AG31" s="367">
        <v>7698.8694294968091</v>
      </c>
      <c r="AH31" s="366">
        <v>16</v>
      </c>
      <c r="AK31" s="90">
        <v>8261.7650087011752</v>
      </c>
      <c r="AN31" s="48"/>
      <c r="AO31" s="81">
        <v>8401.35</v>
      </c>
      <c r="AP31" s="30">
        <v>17</v>
      </c>
      <c r="AS31" s="213">
        <v>9102.66</v>
      </c>
      <c r="AT31" s="30">
        <v>13</v>
      </c>
      <c r="AV31" s="57"/>
      <c r="AW31" s="249">
        <v>9698.5448766850041</v>
      </c>
      <c r="AX31" s="57">
        <v>9856.2629776049744</v>
      </c>
      <c r="AY31" s="30">
        <f>AW31-AX31</f>
        <v>-157.71810091997031</v>
      </c>
      <c r="BA31" s="30">
        <v>11188.895604281497</v>
      </c>
      <c r="BB31" s="30">
        <v>7</v>
      </c>
      <c r="BD31" s="55">
        <v>13023.849884685236</v>
      </c>
      <c r="BE31" s="30">
        <v>6</v>
      </c>
      <c r="BG31" s="55">
        <v>13183.174566977083</v>
      </c>
      <c r="BH31" s="30">
        <v>8</v>
      </c>
      <c r="BJ31" s="55">
        <v>13490.802920892587</v>
      </c>
      <c r="BK31" s="30">
        <v>7</v>
      </c>
      <c r="BM31" s="55">
        <v>13276.18335568196</v>
      </c>
      <c r="BN31" s="61">
        <v>8</v>
      </c>
      <c r="BP31" s="55">
        <v>13265.937013999417</v>
      </c>
      <c r="BQ31" s="366">
        <v>9</v>
      </c>
      <c r="BS31" s="55">
        <v>13784.445697029005</v>
      </c>
      <c r="BT31" s="30">
        <v>7</v>
      </c>
    </row>
    <row r="32" spans="1:72" ht="15.75">
      <c r="A32" s="1" t="s">
        <v>23</v>
      </c>
      <c r="B32" s="288">
        <v>8536.52</v>
      </c>
      <c r="C32" s="288">
        <v>8719.6200000000008</v>
      </c>
      <c r="D32" s="288">
        <v>9212.6435622102945</v>
      </c>
      <c r="E32" s="288">
        <v>9660.4704799404772</v>
      </c>
      <c r="F32" s="288">
        <v>10633.586313538195</v>
      </c>
      <c r="G32" s="288">
        <v>11272.520922459893</v>
      </c>
      <c r="H32" s="288">
        <v>11670.799204362709</v>
      </c>
      <c r="I32" s="288">
        <v>11842.017623508138</v>
      </c>
      <c r="J32" s="288">
        <v>11245.945795244708</v>
      </c>
      <c r="K32" s="288">
        <v>11593.06867202479</v>
      </c>
      <c r="L32" s="240">
        <f>(K32-J32)*100/J32</f>
        <v>3.0866490297940197</v>
      </c>
      <c r="M32" s="240">
        <f t="shared" si="0"/>
        <v>43.159719481588141</v>
      </c>
      <c r="N32" s="56">
        <v>3367.29</v>
      </c>
      <c r="O32" s="56">
        <v>3852.69</v>
      </c>
      <c r="P32" s="56">
        <v>4262.2299999999996</v>
      </c>
      <c r="Q32" s="56">
        <v>4443.58</v>
      </c>
      <c r="R32" s="56">
        <v>4726.82</v>
      </c>
      <c r="S32" s="56">
        <v>5132.51</v>
      </c>
      <c r="T32" s="56">
        <v>5357.94</v>
      </c>
      <c r="U32" s="56">
        <v>5591.5</v>
      </c>
      <c r="V32" s="56">
        <v>5635.29</v>
      </c>
      <c r="W32" s="56">
        <v>5932.42</v>
      </c>
      <c r="X32" s="81">
        <v>6095.58</v>
      </c>
      <c r="Y32" s="55">
        <v>6059.12</v>
      </c>
      <c r="Z32" s="57">
        <v>6281.33</v>
      </c>
      <c r="AA32" s="81">
        <v>6382.87</v>
      </c>
      <c r="AB32" s="81">
        <v>6741.51</v>
      </c>
      <c r="AC32" s="288">
        <v>6966.58</v>
      </c>
      <c r="AD32" s="48">
        <v>7395.2</v>
      </c>
      <c r="AE32" s="367">
        <v>7919.12815141388</v>
      </c>
      <c r="AF32" s="48">
        <v>8097.9962198904577</v>
      </c>
      <c r="AG32" s="367">
        <v>7919.12815141388</v>
      </c>
      <c r="AH32" s="366">
        <v>12</v>
      </c>
      <c r="AK32" s="90">
        <v>8097.9962198904577</v>
      </c>
      <c r="AN32" s="48"/>
      <c r="AO32" s="81">
        <v>8536.52</v>
      </c>
      <c r="AP32" s="30">
        <v>15</v>
      </c>
      <c r="AS32" s="213">
        <v>8719.6200000000008</v>
      </c>
      <c r="AT32" s="30">
        <v>17</v>
      </c>
      <c r="AV32" s="57"/>
      <c r="AW32" s="249">
        <v>9212.6435622102927</v>
      </c>
      <c r="AX32" s="57">
        <v>9212.6435622102945</v>
      </c>
      <c r="AY32" s="30">
        <f>AW32-AX32</f>
        <v>0</v>
      </c>
      <c r="BA32" s="30">
        <v>9660.4704799404772</v>
      </c>
      <c r="BB32" s="30">
        <v>23</v>
      </c>
      <c r="BD32" s="55">
        <v>10633.586313538195</v>
      </c>
      <c r="BE32" s="30">
        <v>24</v>
      </c>
      <c r="BG32" s="55">
        <v>11272.520922459893</v>
      </c>
      <c r="BH32" s="30">
        <v>22</v>
      </c>
      <c r="BJ32" s="55">
        <v>11670.799204362709</v>
      </c>
      <c r="BK32" s="30">
        <v>22</v>
      </c>
      <c r="BM32" s="55">
        <v>11842.017623508138</v>
      </c>
      <c r="BN32" s="61">
        <v>21</v>
      </c>
      <c r="BP32" s="55">
        <v>11245.945795244708</v>
      </c>
      <c r="BQ32" s="366">
        <v>24</v>
      </c>
      <c r="BS32" s="55">
        <v>11593.06867202479</v>
      </c>
      <c r="BT32" s="30">
        <v>24</v>
      </c>
    </row>
    <row r="33" spans="1:72" ht="15.75">
      <c r="A33" s="1" t="s">
        <v>24</v>
      </c>
      <c r="B33" s="288">
        <v>8167.93</v>
      </c>
      <c r="C33" s="288">
        <v>8903.02</v>
      </c>
      <c r="D33" s="288">
        <v>9262.8818585955905</v>
      </c>
      <c r="E33" s="288">
        <v>9769.001769982553</v>
      </c>
      <c r="F33" s="288">
        <v>10828.813262913305</v>
      </c>
      <c r="G33" s="288">
        <v>11386.413475546304</v>
      </c>
      <c r="H33" s="288">
        <v>12081.611026920618</v>
      </c>
      <c r="I33" s="288">
        <v>11774.197153112</v>
      </c>
      <c r="J33" s="288">
        <v>11812.134808142495</v>
      </c>
      <c r="K33" s="288">
        <v>12312.50232108658</v>
      </c>
      <c r="L33" s="240">
        <f>(K33-J33)*100/J33</f>
        <v>4.2360464138892615</v>
      </c>
      <c r="M33" s="240">
        <f t="shared" si="0"/>
        <v>54.518155138080573</v>
      </c>
      <c r="N33" s="56">
        <v>3186.08</v>
      </c>
      <c r="O33" s="56">
        <v>3634.98</v>
      </c>
      <c r="P33" s="56">
        <v>3898.11</v>
      </c>
      <c r="Q33" s="56">
        <v>4185.04</v>
      </c>
      <c r="R33" s="56">
        <v>4436.57</v>
      </c>
      <c r="S33" s="56">
        <v>4833.87</v>
      </c>
      <c r="T33" s="56">
        <v>5179.09</v>
      </c>
      <c r="U33" s="56">
        <v>5668.47</v>
      </c>
      <c r="V33" s="56">
        <v>5865.71</v>
      </c>
      <c r="W33" s="56">
        <v>6020.72</v>
      </c>
      <c r="X33" s="81">
        <v>6234.93</v>
      </c>
      <c r="Y33" s="55">
        <v>5993.81</v>
      </c>
      <c r="Z33" s="57">
        <v>6270.88</v>
      </c>
      <c r="AA33" s="81">
        <v>6421.45</v>
      </c>
      <c r="AB33" s="81">
        <v>6708.32</v>
      </c>
      <c r="AC33" s="288">
        <v>6953.05</v>
      </c>
      <c r="AD33" s="48">
        <v>7425.96</v>
      </c>
      <c r="AE33" s="367">
        <v>7852.4114293954735</v>
      </c>
      <c r="AF33" s="48">
        <v>7968.3208164657917</v>
      </c>
      <c r="AG33" s="367">
        <v>7852.4114293954735</v>
      </c>
      <c r="AH33" s="366">
        <v>14</v>
      </c>
      <c r="AK33" s="90">
        <v>7968.3208164657917</v>
      </c>
      <c r="AN33" s="48"/>
      <c r="AO33" s="81">
        <v>8167.93</v>
      </c>
      <c r="AP33" s="30">
        <v>21</v>
      </c>
      <c r="AS33" s="213">
        <v>8903.02</v>
      </c>
      <c r="AT33" s="30">
        <v>16</v>
      </c>
      <c r="AV33" s="57"/>
      <c r="AW33" s="249">
        <v>9262.8818585955887</v>
      </c>
      <c r="AX33" s="57">
        <v>9262.8818585955905</v>
      </c>
      <c r="AY33" s="30">
        <f>AW33-AX33</f>
        <v>0</v>
      </c>
      <c r="BA33" s="30">
        <v>9769.001769982553</v>
      </c>
      <c r="BB33" s="30">
        <v>21</v>
      </c>
      <c r="BD33" s="55">
        <v>10828.813262913305</v>
      </c>
      <c r="BE33" s="30">
        <v>21</v>
      </c>
      <c r="BG33" s="55">
        <v>11386.413475546304</v>
      </c>
      <c r="BH33" s="30">
        <v>20</v>
      </c>
      <c r="BJ33" s="55">
        <v>12081.611026920618</v>
      </c>
      <c r="BK33" s="30">
        <v>17</v>
      </c>
      <c r="BM33" s="55">
        <v>11774.197153112</v>
      </c>
      <c r="BN33" s="61">
        <v>23</v>
      </c>
      <c r="BP33" s="55">
        <v>11812.134808142495</v>
      </c>
      <c r="BQ33" s="366">
        <v>21</v>
      </c>
      <c r="BS33" s="55">
        <v>12312.50232108658</v>
      </c>
      <c r="BT33" s="30">
        <v>19</v>
      </c>
    </row>
    <row r="34" spans="1:72" ht="15.75">
      <c r="A34" s="1" t="s">
        <v>25</v>
      </c>
      <c r="B34" s="288">
        <v>9951.1200000000008</v>
      </c>
      <c r="C34" s="288">
        <v>10390.450000000001</v>
      </c>
      <c r="D34" s="288">
        <v>11307.863284738287</v>
      </c>
      <c r="E34" s="288">
        <v>12114.58116771507</v>
      </c>
      <c r="F34" s="288">
        <v>13950.271293123127</v>
      </c>
      <c r="G34" s="288">
        <v>14239.571623327443</v>
      </c>
      <c r="H34" s="288">
        <v>14342.037335585423</v>
      </c>
      <c r="I34" s="288">
        <v>13904.013754042413</v>
      </c>
      <c r="J34" s="288">
        <v>14025.211029793451</v>
      </c>
      <c r="K34" s="288">
        <v>13637.093674537877</v>
      </c>
      <c r="L34" s="240">
        <f>(K34-J34)*100/J34</f>
        <v>-2.7672835327119465</v>
      </c>
      <c r="M34" s="240">
        <f t="shared" si="0"/>
        <v>43.189437493522476</v>
      </c>
      <c r="N34" s="56">
        <v>3018.29</v>
      </c>
      <c r="O34" s="56">
        <v>3277.55</v>
      </c>
      <c r="P34" s="56">
        <v>3559.04</v>
      </c>
      <c r="Q34" s="56">
        <v>3829.65</v>
      </c>
      <c r="R34" s="56">
        <v>4251</v>
      </c>
      <c r="S34" s="56">
        <v>4638.96</v>
      </c>
      <c r="T34" s="56">
        <v>5109.5600000000004</v>
      </c>
      <c r="U34" s="56">
        <v>4938.42</v>
      </c>
      <c r="V34" s="56">
        <v>5106.7299999999996</v>
      </c>
      <c r="W34" s="56">
        <v>5622.46</v>
      </c>
      <c r="X34" s="81">
        <v>5956.8</v>
      </c>
      <c r="Y34" s="55">
        <v>6586.33</v>
      </c>
      <c r="Z34" s="57">
        <v>6624.11</v>
      </c>
      <c r="AA34" s="81">
        <v>7313.89</v>
      </c>
      <c r="AB34" s="81">
        <v>7637.66</v>
      </c>
      <c r="AC34" s="288">
        <v>8033.8</v>
      </c>
      <c r="AD34" s="48">
        <v>8465.2199999999993</v>
      </c>
      <c r="AE34" s="367">
        <v>8978.0841066187822</v>
      </c>
      <c r="AF34" s="48">
        <v>9523.8125892873795</v>
      </c>
      <c r="AG34" s="367">
        <v>8978.0841066187822</v>
      </c>
      <c r="AH34" s="366">
        <v>5</v>
      </c>
      <c r="AK34" s="90">
        <v>9523.8125892873795</v>
      </c>
      <c r="AN34" s="48"/>
      <c r="AO34" s="81">
        <v>9951.1200000000008</v>
      </c>
      <c r="AP34" s="30">
        <v>4</v>
      </c>
      <c r="AS34" s="213">
        <v>10390.450000000001</v>
      </c>
      <c r="AT34" s="30">
        <v>5</v>
      </c>
      <c r="AV34" s="57"/>
      <c r="AW34" s="249">
        <v>11307.863284738287</v>
      </c>
      <c r="AX34" s="57">
        <v>11307.863284738287</v>
      </c>
      <c r="AY34" s="30">
        <f>AW34-AX34</f>
        <v>0</v>
      </c>
      <c r="BA34" s="30">
        <v>12114.58116771507</v>
      </c>
      <c r="BB34" s="30">
        <v>5</v>
      </c>
      <c r="BD34" s="55">
        <v>13950.271293123127</v>
      </c>
      <c r="BE34" s="30">
        <v>4</v>
      </c>
      <c r="BG34" s="55">
        <v>14239.571623327443</v>
      </c>
      <c r="BH34" s="30">
        <v>5</v>
      </c>
      <c r="BJ34" s="55">
        <v>14342.037335585423</v>
      </c>
      <c r="BK34" s="30">
        <v>4</v>
      </c>
      <c r="BM34" s="55">
        <v>13904.013754042413</v>
      </c>
      <c r="BN34" s="61">
        <v>6</v>
      </c>
      <c r="BP34" s="55">
        <v>14025.211029793451</v>
      </c>
      <c r="BQ34" s="366">
        <v>7</v>
      </c>
      <c r="BS34" s="55">
        <v>13637.093674537877</v>
      </c>
      <c r="BT34" s="30">
        <v>9</v>
      </c>
    </row>
    <row r="35" spans="1:72" ht="15.75">
      <c r="A35" s="1"/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40"/>
      <c r="M35" s="240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81"/>
      <c r="Y35" s="55"/>
      <c r="Z35" s="57"/>
      <c r="AA35" s="81"/>
      <c r="AB35" s="81"/>
      <c r="AC35" s="288"/>
      <c r="AD35" s="48"/>
      <c r="AE35" s="367"/>
      <c r="AF35" s="48"/>
      <c r="AG35" s="367"/>
      <c r="AH35" s="366"/>
      <c r="AK35" s="90"/>
      <c r="AN35" s="48"/>
      <c r="AO35" s="81"/>
      <c r="AS35" s="213"/>
      <c r="AV35" s="57"/>
      <c r="AW35" s="249"/>
      <c r="AX35" s="57"/>
      <c r="BD35" s="55"/>
      <c r="BG35" s="55"/>
      <c r="BJ35" s="55"/>
      <c r="BM35" s="55"/>
      <c r="BN35" s="61"/>
      <c r="BP35" s="55"/>
      <c r="BQ35" s="366"/>
      <c r="BS35" s="55"/>
    </row>
    <row r="36" spans="1:72" ht="15.75">
      <c r="A36" s="1" t="s">
        <v>26</v>
      </c>
      <c r="B36" s="288">
        <v>9073.1200000000008</v>
      </c>
      <c r="C36" s="288">
        <v>9023.7199999999993</v>
      </c>
      <c r="D36" s="288">
        <v>9697.0007084857261</v>
      </c>
      <c r="E36" s="288">
        <v>10363.763069147821</v>
      </c>
      <c r="F36" s="288">
        <v>10702.240362906503</v>
      </c>
      <c r="G36" s="288">
        <v>11159.501535690366</v>
      </c>
      <c r="H36" s="288">
        <v>11522.814564981436</v>
      </c>
      <c r="I36" s="288">
        <v>11715.627979215311</v>
      </c>
      <c r="J36" s="288">
        <v>11282.646070682295</v>
      </c>
      <c r="K36" s="288">
        <v>11854.761826862157</v>
      </c>
      <c r="L36" s="240">
        <f>(K36-J36)*100/J36</f>
        <v>5.0707586907870201</v>
      </c>
      <c r="M36" s="240">
        <f t="shared" si="0"/>
        <v>39.742545066000872</v>
      </c>
      <c r="N36" s="56">
        <v>3490.67</v>
      </c>
      <c r="O36" s="56">
        <v>3767.92</v>
      </c>
      <c r="P36" s="56">
        <v>3859.43</v>
      </c>
      <c r="Q36" s="56">
        <v>4342.83</v>
      </c>
      <c r="R36" s="56">
        <v>4722.49</v>
      </c>
      <c r="S36" s="56">
        <v>5304.5</v>
      </c>
      <c r="T36" s="56">
        <v>5325.86</v>
      </c>
      <c r="U36" s="56">
        <v>5306.71</v>
      </c>
      <c r="V36" s="56">
        <v>5398.95</v>
      </c>
      <c r="W36" s="56">
        <v>5699.62</v>
      </c>
      <c r="X36" s="81">
        <v>5879.46</v>
      </c>
      <c r="Y36" s="55">
        <v>6023.79</v>
      </c>
      <c r="Z36" s="57">
        <v>6163.83</v>
      </c>
      <c r="AA36" s="81">
        <v>6201.98</v>
      </c>
      <c r="AB36" s="81">
        <v>6608.51</v>
      </c>
      <c r="AC36" s="288">
        <v>6819.4</v>
      </c>
      <c r="AD36" s="48">
        <v>7337.71</v>
      </c>
      <c r="AE36" s="367">
        <v>7911.515638992345</v>
      </c>
      <c r="AF36" s="48">
        <v>8483.2874778852165</v>
      </c>
      <c r="AG36" s="367">
        <v>7911.515638992345</v>
      </c>
      <c r="AH36" s="366">
        <v>13</v>
      </c>
      <c r="AK36" s="90">
        <v>8483.2874778852165</v>
      </c>
      <c r="AN36" s="48"/>
      <c r="AO36" s="81">
        <v>9073.1200000000008</v>
      </c>
      <c r="AP36" s="30">
        <v>7</v>
      </c>
      <c r="AS36" s="213">
        <v>9023.7199999999993</v>
      </c>
      <c r="AT36" s="30">
        <v>14</v>
      </c>
      <c r="AV36" s="57"/>
      <c r="AW36" s="249">
        <v>9697.0007084857261</v>
      </c>
      <c r="AX36" s="57">
        <v>9697.0007084857261</v>
      </c>
      <c r="AY36" s="30">
        <f>AW36-AX36</f>
        <v>0</v>
      </c>
      <c r="BA36" s="30">
        <v>10363.763069147821</v>
      </c>
      <c r="BB36" s="30">
        <v>14</v>
      </c>
      <c r="BD36" s="55">
        <v>10702.240362906503</v>
      </c>
      <c r="BE36" s="30">
        <v>23</v>
      </c>
      <c r="BG36" s="55">
        <v>11159.501535690366</v>
      </c>
      <c r="BH36" s="30">
        <v>23</v>
      </c>
      <c r="BJ36" s="55">
        <v>11522.814564981436</v>
      </c>
      <c r="BK36" s="30">
        <v>23</v>
      </c>
      <c r="BM36" s="55">
        <v>11715.627979215311</v>
      </c>
      <c r="BN36" s="61">
        <v>24</v>
      </c>
      <c r="BP36" s="55">
        <v>11282.646070682295</v>
      </c>
      <c r="BQ36" s="366">
        <v>23</v>
      </c>
      <c r="BS36" s="55">
        <v>11854.761826862157</v>
      </c>
      <c r="BT36" s="30">
        <v>22</v>
      </c>
    </row>
    <row r="37" spans="1:72" ht="15.75">
      <c r="A37" s="1" t="s">
        <v>27</v>
      </c>
      <c r="B37" s="288">
        <v>8167.32</v>
      </c>
      <c r="C37" s="288">
        <v>8522.43</v>
      </c>
      <c r="D37" s="288">
        <v>9127.4945283085526</v>
      </c>
      <c r="E37" s="288">
        <v>9631.5995657121512</v>
      </c>
      <c r="F37" s="288">
        <v>10891.361136059544</v>
      </c>
      <c r="G37" s="288">
        <v>11276.205135611362</v>
      </c>
      <c r="H37" s="288">
        <v>11705.403208968559</v>
      </c>
      <c r="I37" s="288">
        <v>11901.276739854811</v>
      </c>
      <c r="J37" s="288">
        <v>12191.101163926014</v>
      </c>
      <c r="K37" s="288">
        <v>12157.337914856098</v>
      </c>
      <c r="L37" s="240">
        <f>(K37-J37)*100/J37</f>
        <v>-0.27694995403551415</v>
      </c>
      <c r="M37" s="240">
        <f t="shared" si="0"/>
        <v>53.693943415270461</v>
      </c>
      <c r="N37" s="56">
        <v>3359.32</v>
      </c>
      <c r="O37" s="56">
        <v>3701.96</v>
      </c>
      <c r="P37" s="56">
        <v>3934.99</v>
      </c>
      <c r="Q37" s="56">
        <v>4181.3599999999997</v>
      </c>
      <c r="R37" s="56">
        <v>4567.5200000000004</v>
      </c>
      <c r="S37" s="56">
        <v>4867.91</v>
      </c>
      <c r="T37" s="56">
        <v>5183.4799999999996</v>
      </c>
      <c r="U37" s="56">
        <v>5306.75</v>
      </c>
      <c r="V37" s="56">
        <v>5328.12</v>
      </c>
      <c r="W37" s="56">
        <v>5504.58</v>
      </c>
      <c r="X37" s="81">
        <v>5723.08</v>
      </c>
      <c r="Y37" s="55">
        <v>5695.8</v>
      </c>
      <c r="Z37" s="57">
        <v>5869.49</v>
      </c>
      <c r="AA37" s="81">
        <v>6047.48</v>
      </c>
      <c r="AB37" s="81">
        <v>6412.16</v>
      </c>
      <c r="AC37" s="288">
        <v>6792.21</v>
      </c>
      <c r="AD37" s="48">
        <v>7085.97</v>
      </c>
      <c r="AE37" s="367">
        <v>7593.6599181786733</v>
      </c>
      <c r="AF37" s="48">
        <v>7910.0956385820664</v>
      </c>
      <c r="AG37" s="367">
        <v>7593.6599181786733</v>
      </c>
      <c r="AH37" s="366">
        <v>18</v>
      </c>
      <c r="AK37" s="90">
        <v>7910.0956385820664</v>
      </c>
      <c r="AN37" s="48"/>
      <c r="AO37" s="81">
        <v>8167.32</v>
      </c>
      <c r="AP37" s="30">
        <v>22</v>
      </c>
      <c r="AS37" s="213">
        <v>8522.43</v>
      </c>
      <c r="AT37" s="30">
        <v>23</v>
      </c>
      <c r="AV37" s="57"/>
      <c r="AW37" s="249">
        <v>9127.4945283085526</v>
      </c>
      <c r="AX37" s="57">
        <v>9127.4945283085526</v>
      </c>
      <c r="AY37" s="30">
        <f>AW37-AX37</f>
        <v>0</v>
      </c>
      <c r="BA37" s="30">
        <v>9631.5995657121512</v>
      </c>
      <c r="BB37" s="30">
        <v>24</v>
      </c>
      <c r="BD37" s="55">
        <v>10891.361136059544</v>
      </c>
      <c r="BE37" s="30">
        <v>20</v>
      </c>
      <c r="BG37" s="55">
        <v>11276.205135611362</v>
      </c>
      <c r="BH37" s="30">
        <v>21</v>
      </c>
      <c r="BJ37" s="55">
        <v>11705.403208968559</v>
      </c>
      <c r="BK37" s="30">
        <v>21</v>
      </c>
      <c r="BM37" s="55">
        <v>11901.276739854811</v>
      </c>
      <c r="BN37" s="61">
        <v>19</v>
      </c>
      <c r="BP37" s="55">
        <v>12191.101163926014</v>
      </c>
      <c r="BQ37" s="366">
        <v>19</v>
      </c>
      <c r="BS37" s="55">
        <v>12157.337914856098</v>
      </c>
      <c r="BT37" s="30">
        <v>21</v>
      </c>
    </row>
    <row r="38" spans="1:72" ht="15.75">
      <c r="A38" s="1" t="s">
        <v>28</v>
      </c>
      <c r="B38" s="288">
        <v>8642.93</v>
      </c>
      <c r="C38" s="288">
        <v>8998.11</v>
      </c>
      <c r="D38" s="288">
        <v>9692.417456888159</v>
      </c>
      <c r="E38" s="288">
        <v>10609.211792991189</v>
      </c>
      <c r="F38" s="288">
        <v>11754.41760423501</v>
      </c>
      <c r="G38" s="288">
        <v>12053.764281300068</v>
      </c>
      <c r="H38" s="288">
        <v>12456.817127276443</v>
      </c>
      <c r="I38" s="288">
        <v>12577.308295637491</v>
      </c>
      <c r="J38" s="288">
        <v>12239.479140073645</v>
      </c>
      <c r="K38" s="288">
        <v>12609.803063472784</v>
      </c>
      <c r="L38" s="240">
        <f>(K38-J38)*100/J38</f>
        <v>3.0256510032902488</v>
      </c>
      <c r="M38" s="240">
        <f t="shared" si="0"/>
        <v>51.945080900290023</v>
      </c>
      <c r="N38" s="56">
        <v>3161.46</v>
      </c>
      <c r="O38" s="56">
        <v>3361.15</v>
      </c>
      <c r="P38" s="56">
        <v>3623.26</v>
      </c>
      <c r="Q38" s="56">
        <v>3882.99</v>
      </c>
      <c r="R38" s="56">
        <v>4159.17</v>
      </c>
      <c r="S38" s="56">
        <v>4537.09</v>
      </c>
      <c r="T38" s="56">
        <v>4923.3500000000004</v>
      </c>
      <c r="U38" s="56">
        <v>5039.2299999999996</v>
      </c>
      <c r="V38" s="56">
        <v>5126.6899999999996</v>
      </c>
      <c r="W38" s="56">
        <v>5305.65</v>
      </c>
      <c r="X38" s="81">
        <v>5526.54</v>
      </c>
      <c r="Y38" s="55">
        <v>5567.09</v>
      </c>
      <c r="Z38" s="57">
        <v>5882.29</v>
      </c>
      <c r="AA38" s="81">
        <v>6216.07</v>
      </c>
      <c r="AB38" s="81">
        <v>6580.28</v>
      </c>
      <c r="AC38" s="288">
        <v>7011.51</v>
      </c>
      <c r="AD38" s="48">
        <v>7686.17</v>
      </c>
      <c r="AE38" s="367">
        <v>7948.3992406295838</v>
      </c>
      <c r="AF38" s="48">
        <v>8298.9215503117448</v>
      </c>
      <c r="AG38" s="367">
        <v>7948.3992406295838</v>
      </c>
      <c r="AH38" s="366">
        <v>10</v>
      </c>
      <c r="AK38" s="90">
        <v>8298.9215503117448</v>
      </c>
      <c r="AN38" s="48"/>
      <c r="AO38" s="81">
        <v>8642.93</v>
      </c>
      <c r="AP38" s="30">
        <v>14</v>
      </c>
      <c r="AS38" s="213">
        <v>8998.11</v>
      </c>
      <c r="AT38" s="30">
        <v>15</v>
      </c>
      <c r="AV38" s="57"/>
      <c r="AW38" s="249">
        <v>9692.417456888159</v>
      </c>
      <c r="AX38" s="57">
        <v>9692.417456888159</v>
      </c>
      <c r="AY38" s="30">
        <f>AW38-AX38</f>
        <v>0</v>
      </c>
      <c r="BA38" s="30">
        <v>10609.211792991189</v>
      </c>
      <c r="BB38" s="30">
        <v>13</v>
      </c>
      <c r="BD38" s="55">
        <v>11754.41760423501</v>
      </c>
      <c r="BE38" s="30">
        <v>10</v>
      </c>
      <c r="BG38" s="55">
        <v>12053.764281300068</v>
      </c>
      <c r="BH38" s="30">
        <v>13</v>
      </c>
      <c r="BJ38" s="55">
        <v>12456.817127276443</v>
      </c>
      <c r="BK38" s="30">
        <v>11</v>
      </c>
      <c r="BM38" s="55">
        <v>12577.308295637491</v>
      </c>
      <c r="BN38" s="61">
        <v>13</v>
      </c>
      <c r="BP38" s="55">
        <v>12239.479140073645</v>
      </c>
      <c r="BQ38" s="366">
        <v>18</v>
      </c>
      <c r="BS38" s="55">
        <v>12609.803063472784</v>
      </c>
      <c r="BT38" s="30">
        <v>16</v>
      </c>
    </row>
    <row r="39" spans="1:72" ht="15.75">
      <c r="A39" s="7" t="s">
        <v>29</v>
      </c>
      <c r="B39" s="288">
        <v>10672.96</v>
      </c>
      <c r="C39" s="288">
        <v>11227.57</v>
      </c>
      <c r="D39" s="288">
        <v>11907.462481882545</v>
      </c>
      <c r="E39" s="288">
        <v>12962.303789524605</v>
      </c>
      <c r="F39" s="288">
        <v>14459.288958502473</v>
      </c>
      <c r="G39" s="288">
        <v>15497.588828859423</v>
      </c>
      <c r="H39" s="288">
        <v>15728.940858239328</v>
      </c>
      <c r="I39" s="288">
        <v>16043.660842959873</v>
      </c>
      <c r="J39" s="288">
        <v>16276.964703419251</v>
      </c>
      <c r="K39" s="288">
        <v>16219.82542594408</v>
      </c>
      <c r="L39" s="240">
        <f>(K39-J39)*100/J39</f>
        <v>-0.35104381262907153</v>
      </c>
      <c r="M39" s="240">
        <f t="shared" si="0"/>
        <v>50.886154348470043</v>
      </c>
      <c r="N39" s="322">
        <v>3895.8</v>
      </c>
      <c r="O39" s="322">
        <v>4189.0200000000004</v>
      </c>
      <c r="P39" s="56">
        <v>4730.3500000000004</v>
      </c>
      <c r="Q39" s="56">
        <v>5032.04</v>
      </c>
      <c r="R39" s="56">
        <v>5267.84</v>
      </c>
      <c r="S39" s="322">
        <v>5649.71</v>
      </c>
      <c r="T39" s="56">
        <v>5922.01</v>
      </c>
      <c r="U39" s="56">
        <v>6104.16</v>
      </c>
      <c r="V39" s="56">
        <v>6118.32</v>
      </c>
      <c r="W39" s="56">
        <v>6337.8</v>
      </c>
      <c r="X39" s="81">
        <v>6304.4</v>
      </c>
      <c r="Y39" s="55">
        <v>6399.96</v>
      </c>
      <c r="Z39" s="81">
        <v>6649.65</v>
      </c>
      <c r="AA39" s="81">
        <v>7027.51</v>
      </c>
      <c r="AB39" s="81">
        <v>7409.32</v>
      </c>
      <c r="AC39" s="288">
        <v>7769.11</v>
      </c>
      <c r="AD39" s="323">
        <v>8506.9500000000007</v>
      </c>
      <c r="AE39" s="368">
        <v>9417.9473507457933</v>
      </c>
      <c r="AF39" s="323">
        <v>10749.710930059598</v>
      </c>
      <c r="AG39" s="368">
        <v>9417.9473507457933</v>
      </c>
      <c r="AH39" s="369">
        <v>3</v>
      </c>
      <c r="AI39" s="33"/>
      <c r="AJ39" s="33"/>
      <c r="AK39" s="90">
        <v>10749.710930059598</v>
      </c>
      <c r="AL39" s="33"/>
      <c r="AM39" s="33"/>
      <c r="AN39" s="323"/>
      <c r="AO39" s="81">
        <v>10672.96</v>
      </c>
      <c r="AP39" s="33">
        <v>2</v>
      </c>
      <c r="AQ39" s="33"/>
      <c r="AS39" s="213">
        <v>11227.57</v>
      </c>
      <c r="AT39" s="30">
        <v>2</v>
      </c>
      <c r="AV39" s="57"/>
      <c r="AW39" s="249">
        <v>11907.462481882545</v>
      </c>
      <c r="AX39" s="57">
        <v>11907.462481882545</v>
      </c>
      <c r="AY39" s="30">
        <f>AW39-AX39</f>
        <v>0</v>
      </c>
      <c r="BA39" s="30">
        <v>12962.303789524605</v>
      </c>
      <c r="BB39" s="30">
        <v>2</v>
      </c>
      <c r="BD39" s="55">
        <v>14459.288958502473</v>
      </c>
      <c r="BE39" s="30">
        <v>2</v>
      </c>
      <c r="BG39" s="55">
        <v>15497.588828859423</v>
      </c>
      <c r="BH39" s="30">
        <v>1</v>
      </c>
      <c r="BJ39" s="55">
        <v>15728.940858239328</v>
      </c>
      <c r="BK39" s="30">
        <v>1</v>
      </c>
      <c r="BM39" s="55">
        <v>16043.660842959873</v>
      </c>
      <c r="BN39" s="61">
        <v>1</v>
      </c>
      <c r="BP39" s="55">
        <v>16276.964703419251</v>
      </c>
      <c r="BQ39" s="369">
        <v>1</v>
      </c>
      <c r="BS39" s="55">
        <v>16219.82542594408</v>
      </c>
      <c r="BT39" s="30">
        <v>1</v>
      </c>
    </row>
    <row r="40" spans="1:72">
      <c r="A40" s="18" t="s">
        <v>296</v>
      </c>
      <c r="B40" s="18"/>
      <c r="C40" s="18"/>
      <c r="D40" s="18"/>
      <c r="E40" s="321"/>
      <c r="F40" s="321"/>
      <c r="G40" s="321"/>
      <c r="H40" s="321"/>
      <c r="I40" s="321"/>
      <c r="J40" s="321"/>
      <c r="K40" s="321"/>
      <c r="L40" s="321"/>
      <c r="M40" s="321"/>
      <c r="N40" s="261"/>
      <c r="O40" s="261"/>
      <c r="P40" s="37"/>
      <c r="Q40" s="37"/>
      <c r="R40" s="37"/>
      <c r="S40" s="37"/>
      <c r="T40" s="37"/>
      <c r="U40" s="37"/>
      <c r="V40" s="37"/>
      <c r="W40" s="37"/>
      <c r="X40" s="37"/>
      <c r="Y40" s="43"/>
      <c r="Z40" s="43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</row>
    <row r="41" spans="1:72">
      <c r="A41" s="1" t="s">
        <v>234</v>
      </c>
      <c r="B41" s="1"/>
      <c r="C41" s="1"/>
      <c r="D41" s="1"/>
      <c r="E41" s="210"/>
      <c r="F41" s="210"/>
      <c r="G41" s="210"/>
      <c r="H41" s="210"/>
      <c r="I41" s="210"/>
      <c r="J41" s="210"/>
      <c r="K41" s="210"/>
      <c r="L41" s="210"/>
      <c r="M41" s="210"/>
      <c r="N41" s="57"/>
      <c r="O41" s="57"/>
      <c r="R41" s="36"/>
      <c r="S41" s="36"/>
      <c r="T41" s="36"/>
      <c r="X41" s="36"/>
      <c r="Y41" s="36"/>
      <c r="Z41" s="36"/>
    </row>
    <row r="42" spans="1:72">
      <c r="A42" s="1"/>
      <c r="B42" s="1"/>
      <c r="C42" s="1"/>
      <c r="D42" s="1"/>
      <c r="E42" s="210"/>
      <c r="F42" s="210"/>
      <c r="G42" s="210"/>
      <c r="H42" s="210"/>
      <c r="I42" s="210"/>
      <c r="J42" s="210"/>
      <c r="K42" s="210"/>
      <c r="L42" s="210"/>
      <c r="M42" s="210"/>
      <c r="N42" s="57"/>
      <c r="O42" s="57"/>
      <c r="R42" s="36"/>
      <c r="S42" s="36"/>
      <c r="T42" s="36"/>
      <c r="X42" s="36"/>
      <c r="Y42" s="36"/>
      <c r="Z42" s="36"/>
    </row>
    <row r="43" spans="1:72"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R43" s="36"/>
      <c r="S43" s="36"/>
      <c r="T43" s="36"/>
      <c r="X43" s="36"/>
      <c r="Y43" s="36"/>
      <c r="Z43" s="36"/>
    </row>
    <row r="44" spans="1:72"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R44" s="36"/>
      <c r="S44" s="36"/>
      <c r="T44" s="36"/>
      <c r="X44" s="36"/>
      <c r="Y44" s="36"/>
      <c r="Z44" s="36"/>
    </row>
    <row r="45" spans="1:72"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R45" s="36"/>
      <c r="S45" s="36"/>
      <c r="T45" s="36"/>
      <c r="X45" s="36"/>
      <c r="Y45" s="36"/>
      <c r="Z45" s="36"/>
    </row>
    <row r="46" spans="1:72"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R46" s="36"/>
      <c r="S46" s="36"/>
      <c r="T46" s="36"/>
      <c r="X46" s="36"/>
      <c r="Y46" s="36"/>
      <c r="Z46" s="36"/>
    </row>
    <row r="47" spans="1:72"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X47" s="36"/>
      <c r="Y47" s="36"/>
      <c r="Z47" s="36"/>
    </row>
    <row r="48" spans="1:72"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X48" s="36"/>
      <c r="Y48" s="36"/>
      <c r="Z48" s="36"/>
    </row>
    <row r="49" spans="5:26"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X49" s="36"/>
      <c r="Y49" s="36"/>
      <c r="Z49" s="36"/>
    </row>
    <row r="50" spans="5:26"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X50" s="36"/>
      <c r="Y50" s="36"/>
      <c r="Z50" s="36"/>
    </row>
    <row r="51" spans="5:26"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X51" s="36"/>
      <c r="Y51" s="36"/>
      <c r="Z51" s="36"/>
    </row>
    <row r="52" spans="5:26"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Y52" s="36"/>
      <c r="Z52" s="36"/>
    </row>
    <row r="53" spans="5:26"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Y53" s="36"/>
      <c r="Z53" s="36"/>
    </row>
    <row r="54" spans="5:26"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</row>
    <row r="55" spans="5:26"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</row>
    <row r="56" spans="5:26"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</row>
    <row r="57" spans="5:26"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</row>
    <row r="58" spans="5:26"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</row>
    <row r="59" spans="5:26"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</row>
    <row r="60" spans="5:26"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</row>
    <row r="61" spans="5:26"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</row>
    <row r="62" spans="5:26"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</row>
    <row r="63" spans="5:26"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</row>
    <row r="64" spans="5:26"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</row>
    <row r="65" spans="5:15"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</row>
    <row r="66" spans="5:15"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</row>
    <row r="67" spans="5:15"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</row>
    <row r="68" spans="5:15"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</row>
    <row r="69" spans="5:15"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</row>
    <row r="70" spans="5:15"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</row>
    <row r="71" spans="5:15"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</row>
    <row r="72" spans="5:15"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</row>
    <row r="73" spans="5:15"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</row>
    <row r="74" spans="5:15"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</row>
    <row r="75" spans="5:15"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</row>
  </sheetData>
  <sheetProtection password="CAF5" sheet="1" objects="1" scenarios="1"/>
  <mergeCells count="18">
    <mergeCell ref="AT9:AU9"/>
    <mergeCell ref="AS5:AU5"/>
    <mergeCell ref="AS6:AU6"/>
    <mergeCell ref="AS7:AU7"/>
    <mergeCell ref="AS8:AU8"/>
    <mergeCell ref="AK8:AM8"/>
    <mergeCell ref="AL9:AM9"/>
    <mergeCell ref="AG8:AI8"/>
    <mergeCell ref="AH9:AI9"/>
    <mergeCell ref="A1:M1"/>
    <mergeCell ref="A3:M3"/>
    <mergeCell ref="A4:M4"/>
    <mergeCell ref="AG5:AI5"/>
    <mergeCell ref="AG6:AI6"/>
    <mergeCell ref="AG7:AI7"/>
    <mergeCell ref="AK5:AM5"/>
    <mergeCell ref="AK6:AM6"/>
    <mergeCell ref="AK7:AM7"/>
  </mergeCells>
  <phoneticPr fontId="2" type="noConversion"/>
  <pageMargins left="0.61" right="0.64" top="1" bottom="1" header="0.5" footer="0.5"/>
  <pageSetup scale="74" orientation="landscape" horizontalDpi="4294967292" verticalDpi="4294967292" r:id="rId1"/>
  <headerFooter scaleWithDoc="0" alignWithMargins="0">
    <oddFooter>&amp;L&amp;"Arial,Italic"&amp;10MSDE - LFRO  12/ 2014&amp;C&amp;"Arial,Regular"&amp;10-15 -&amp;R&amp;"Arial,Italic"&amp;10Selected Financial Data - Part 4</oddFooter>
  </headerFooter>
  <rowBreaks count="1" manualBreakCount="1">
    <brk id="4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DI46"/>
  <sheetViews>
    <sheetView zoomScaleNormal="100" workbookViewId="0"/>
  </sheetViews>
  <sheetFormatPr defaultColWidth="10" defaultRowHeight="12.75"/>
  <cols>
    <col min="1" max="1" width="15.5" style="1" customWidth="1"/>
    <col min="2" max="11" width="12.625" style="1" customWidth="1"/>
    <col min="12" max="12" width="10" style="1" customWidth="1"/>
    <col min="13" max="13" width="8.5" style="1" customWidth="1"/>
    <col min="14" max="14" width="8.75" style="1" customWidth="1"/>
    <col min="15" max="20" width="10.125" style="1" customWidth="1"/>
    <col min="21" max="24" width="10.125" style="3" customWidth="1"/>
    <col min="25" max="25" width="11" style="1" bestFit="1" customWidth="1"/>
    <col min="26" max="27" width="11" style="3" bestFit="1" customWidth="1"/>
    <col min="28" max="29" width="10.875" style="3" customWidth="1"/>
    <col min="30" max="30" width="8.125" style="3" customWidth="1"/>
    <col min="31" max="34" width="8.75" style="3" customWidth="1"/>
    <col min="35" max="35" width="9.375" style="3" customWidth="1"/>
    <col min="36" max="36" width="12" style="3" customWidth="1"/>
    <col min="37" max="37" width="11.75" style="3" customWidth="1"/>
    <col min="38" max="38" width="11.875" style="3" customWidth="1"/>
    <col min="39" max="39" width="8.125" style="3" customWidth="1"/>
    <col min="40" max="40" width="9" style="3" customWidth="1"/>
    <col min="41" max="41" width="6" style="3" customWidth="1"/>
    <col min="42" max="42" width="12" style="3" customWidth="1"/>
    <col min="43" max="43" width="10.875" style="3" customWidth="1"/>
    <col min="44" max="44" width="11.375" style="3" customWidth="1"/>
    <col min="45" max="46" width="8.125" style="3" customWidth="1"/>
    <col min="47" max="47" width="9.375" style="3" customWidth="1"/>
    <col min="48" max="48" width="14.125" style="3" customWidth="1"/>
    <col min="49" max="49" width="11.75" style="3" customWidth="1"/>
    <col min="50" max="50" width="10.125" style="163" customWidth="1"/>
    <col min="51" max="51" width="10.125" style="101" customWidth="1"/>
    <col min="52" max="52" width="10.125" style="3" customWidth="1"/>
    <col min="53" max="59" width="10" style="3" customWidth="1"/>
    <col min="60" max="60" width="11.5" style="3" customWidth="1"/>
    <col min="61" max="61" width="13" style="3" customWidth="1"/>
    <col min="62" max="62" width="11" style="3" customWidth="1"/>
    <col min="63" max="64" width="10" style="3" customWidth="1"/>
    <col min="65" max="65" width="4.125" style="3" customWidth="1"/>
    <col min="66" max="66" width="10" style="3" customWidth="1"/>
    <col min="67" max="67" width="12.25" style="3" customWidth="1"/>
    <col min="68" max="68" width="10.125" style="3" bestFit="1" customWidth="1"/>
    <col min="69" max="69" width="8.5" style="3" bestFit="1" customWidth="1"/>
    <col min="70" max="70" width="7.375" style="3" bestFit="1" customWidth="1"/>
    <col min="71" max="71" width="7.375" style="3" customWidth="1"/>
    <col min="72" max="72" width="3.375" style="3" customWidth="1"/>
    <col min="73" max="73" width="11.625" style="3" customWidth="1"/>
    <col min="74" max="74" width="12.375" style="3" customWidth="1"/>
    <col min="75" max="77" width="10" style="3" customWidth="1"/>
    <col min="78" max="78" width="4.625" style="3" customWidth="1"/>
    <col min="79" max="79" width="11.5" style="3" customWidth="1"/>
    <col min="80" max="80" width="11.625" style="3" customWidth="1"/>
    <col min="81" max="83" width="10.125" style="3" bestFit="1" customWidth="1"/>
    <col min="84" max="84" width="10" style="3"/>
    <col min="85" max="89" width="10.125" style="3" bestFit="1" customWidth="1"/>
    <col min="90" max="90" width="10" style="3"/>
    <col min="91" max="95" width="10.25" style="3" bestFit="1" customWidth="1"/>
    <col min="96" max="103" width="10" style="3"/>
    <col min="104" max="104" width="11.25" style="3" customWidth="1"/>
    <col min="105" max="109" width="10" style="3"/>
    <col min="110" max="110" width="11.875" style="3" customWidth="1"/>
    <col min="111" max="16384" width="10" style="3"/>
  </cols>
  <sheetData>
    <row r="1" spans="1:113" ht="15.75" customHeight="1">
      <c r="A1" s="115" t="s">
        <v>80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0"/>
      <c r="O1" s="2"/>
      <c r="P1" s="2"/>
      <c r="Q1" s="2"/>
      <c r="Y1" s="115"/>
    </row>
    <row r="2" spans="1:113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Q2" s="2"/>
      <c r="Y2" s="115"/>
    </row>
    <row r="3" spans="1:113">
      <c r="A3" s="115" t="s">
        <v>280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0"/>
      <c r="O3" s="10"/>
      <c r="P3" s="10"/>
      <c r="Q3" s="10"/>
      <c r="Y3" s="115"/>
    </row>
    <row r="4" spans="1:113">
      <c r="A4" s="405" t="s">
        <v>367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115"/>
      <c r="O4" s="199"/>
      <c r="P4" s="199"/>
      <c r="Q4" s="10"/>
      <c r="U4" s="1"/>
      <c r="V4" s="1"/>
      <c r="W4" s="1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1"/>
    </row>
    <row r="5" spans="1:113" ht="13.5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94"/>
      <c r="S5" s="3"/>
      <c r="Y5" s="115"/>
      <c r="AJ5" s="3" t="s">
        <v>342</v>
      </c>
      <c r="AL5" s="163"/>
      <c r="AM5" s="101"/>
      <c r="AP5" s="3" t="s">
        <v>359</v>
      </c>
      <c r="AR5" s="163"/>
      <c r="AS5" s="101"/>
      <c r="AT5" s="101"/>
      <c r="AV5" s="3" t="s">
        <v>192</v>
      </c>
      <c r="BB5" s="3" t="s">
        <v>206</v>
      </c>
      <c r="BD5" s="163"/>
      <c r="BE5" s="101"/>
      <c r="BH5" s="3" t="s">
        <v>221</v>
      </c>
      <c r="BJ5" s="163"/>
      <c r="BK5" s="101"/>
      <c r="BN5" s="3" t="s">
        <v>221</v>
      </c>
      <c r="BP5" s="163"/>
      <c r="BQ5" s="101"/>
      <c r="BU5" s="3" t="s">
        <v>254</v>
      </c>
      <c r="BW5" s="163"/>
      <c r="BX5" s="101"/>
      <c r="CA5" s="3" t="s">
        <v>266</v>
      </c>
      <c r="CC5" s="163"/>
      <c r="CD5" s="101"/>
      <c r="CG5" s="3" t="s">
        <v>282</v>
      </c>
      <c r="CI5" s="163"/>
      <c r="CJ5" s="101"/>
      <c r="CM5" s="3" t="s">
        <v>291</v>
      </c>
      <c r="CO5" s="163"/>
      <c r="CP5" s="101"/>
      <c r="CS5" s="3" t="s">
        <v>319</v>
      </c>
      <c r="CU5" s="163"/>
      <c r="CV5" s="101"/>
      <c r="CY5" s="3" t="s">
        <v>351</v>
      </c>
      <c r="DA5" s="163"/>
      <c r="DB5" s="101"/>
      <c r="DE5" s="3" t="s">
        <v>366</v>
      </c>
      <c r="DG5" s="163"/>
      <c r="DH5" s="101"/>
    </row>
    <row r="6" spans="1:113" ht="14.25" thickTop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7"/>
      <c r="AG6" s="7"/>
      <c r="AH6" s="7"/>
      <c r="AI6" s="7"/>
      <c r="AL6" s="163"/>
      <c r="AM6" s="101"/>
      <c r="AR6" s="163"/>
      <c r="AS6" s="101"/>
      <c r="AT6" s="101"/>
      <c r="AU6" s="7"/>
      <c r="BD6" s="163"/>
      <c r="BE6" s="101"/>
      <c r="BJ6" s="163"/>
      <c r="BK6" s="101"/>
      <c r="BP6" s="163"/>
      <c r="BQ6" s="101"/>
      <c r="BW6" s="163"/>
      <c r="BX6" s="101"/>
      <c r="CC6" s="163"/>
      <c r="CD6" s="101"/>
      <c r="CI6" s="163"/>
      <c r="CJ6" s="101"/>
      <c r="CO6" s="163"/>
      <c r="CP6" s="101"/>
      <c r="CU6" s="163"/>
      <c r="CV6" s="101"/>
      <c r="DA6" s="163"/>
      <c r="DB6" s="101"/>
      <c r="DG6" s="163"/>
      <c r="DH6" s="101"/>
    </row>
    <row r="7" spans="1:113" ht="16.5" thickTop="1">
      <c r="A7" s="7"/>
      <c r="L7" s="6" t="s">
        <v>34</v>
      </c>
      <c r="M7" s="6"/>
      <c r="O7" s="7"/>
      <c r="P7" s="7"/>
      <c r="Q7" s="7"/>
      <c r="T7" s="7"/>
      <c r="U7" s="7"/>
      <c r="V7" s="7"/>
      <c r="W7" s="7"/>
      <c r="X7" s="7"/>
      <c r="Y7" s="7"/>
      <c r="Z7" s="7"/>
      <c r="AA7" s="7"/>
      <c r="AB7" s="1"/>
      <c r="AC7" s="30"/>
      <c r="AD7" s="1"/>
      <c r="AE7" s="1"/>
      <c r="AF7" s="1"/>
      <c r="AG7" s="1"/>
      <c r="AH7" s="1"/>
      <c r="AI7" s="1"/>
      <c r="AJ7" s="98" t="s">
        <v>123</v>
      </c>
      <c r="AK7" s="98" t="s">
        <v>126</v>
      </c>
      <c r="AL7" s="188" t="s">
        <v>128</v>
      </c>
      <c r="AM7" s="5"/>
      <c r="AP7" s="98" t="s">
        <v>123</v>
      </c>
      <c r="AQ7" s="98" t="s">
        <v>126</v>
      </c>
      <c r="AR7" s="188" t="s">
        <v>128</v>
      </c>
      <c r="AS7" s="5"/>
      <c r="AT7" s="7"/>
      <c r="AU7" s="1"/>
      <c r="AV7" s="98" t="s">
        <v>123</v>
      </c>
      <c r="AW7" s="98" t="s">
        <v>126</v>
      </c>
      <c r="AX7" s="188" t="s">
        <v>128</v>
      </c>
      <c r="AY7" s="5"/>
      <c r="BB7" s="98" t="s">
        <v>123</v>
      </c>
      <c r="BC7" s="98" t="s">
        <v>126</v>
      </c>
      <c r="BD7" s="188" t="s">
        <v>128</v>
      </c>
      <c r="BE7" s="5"/>
      <c r="BH7" s="98" t="s">
        <v>123</v>
      </c>
      <c r="BI7" s="98" t="s">
        <v>126</v>
      </c>
      <c r="BJ7" s="188" t="s">
        <v>128</v>
      </c>
      <c r="BK7" s="5"/>
      <c r="BN7" s="98" t="s">
        <v>123</v>
      </c>
      <c r="BO7" s="98" t="s">
        <v>126</v>
      </c>
      <c r="BP7" s="188" t="s">
        <v>128</v>
      </c>
      <c r="BQ7" s="5"/>
      <c r="BU7" s="98" t="s">
        <v>123</v>
      </c>
      <c r="BV7" s="98" t="s">
        <v>126</v>
      </c>
      <c r="BW7" s="188" t="s">
        <v>128</v>
      </c>
      <c r="BX7" s="5"/>
      <c r="CA7" s="98" t="s">
        <v>123</v>
      </c>
      <c r="CB7" s="98" t="s">
        <v>126</v>
      </c>
      <c r="CC7" s="188" t="s">
        <v>128</v>
      </c>
      <c r="CD7" s="5"/>
      <c r="CG7" s="98" t="s">
        <v>123</v>
      </c>
      <c r="CH7" s="98" t="s">
        <v>126</v>
      </c>
      <c r="CI7" s="188" t="s">
        <v>128</v>
      </c>
      <c r="CJ7" s="5"/>
      <c r="CM7" s="98" t="s">
        <v>123</v>
      </c>
      <c r="CN7" s="98" t="s">
        <v>126</v>
      </c>
      <c r="CO7" s="188" t="s">
        <v>128</v>
      </c>
      <c r="CP7" s="5"/>
      <c r="CS7" s="98" t="s">
        <v>123</v>
      </c>
      <c r="CT7" s="98" t="s">
        <v>126</v>
      </c>
      <c r="CU7" s="188" t="s">
        <v>128</v>
      </c>
      <c r="CV7" s="5"/>
      <c r="CY7" s="98" t="s">
        <v>123</v>
      </c>
      <c r="CZ7" s="98" t="s">
        <v>126</v>
      </c>
      <c r="DA7" s="188" t="s">
        <v>128</v>
      </c>
      <c r="DB7" s="5"/>
      <c r="DE7" s="98" t="s">
        <v>123</v>
      </c>
      <c r="DF7" s="98" t="s">
        <v>126</v>
      </c>
      <c r="DG7" s="188" t="s">
        <v>128</v>
      </c>
      <c r="DH7" s="5"/>
    </row>
    <row r="8" spans="1:113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O8" s="7"/>
      <c r="P8" s="7"/>
      <c r="Q8" s="7"/>
      <c r="T8" s="7"/>
      <c r="U8" s="7"/>
      <c r="V8" s="7"/>
      <c r="W8" s="7"/>
      <c r="X8" s="7"/>
      <c r="Y8" s="7"/>
      <c r="Z8" s="7"/>
      <c r="AA8" s="7"/>
      <c r="AB8" s="7"/>
      <c r="AC8" s="33"/>
      <c r="AD8" s="7"/>
      <c r="AE8" s="7"/>
      <c r="AF8" s="7"/>
      <c r="AG8" s="7"/>
      <c r="AH8" s="7"/>
      <c r="AI8" s="7"/>
      <c r="AJ8" s="99" t="s">
        <v>124</v>
      </c>
      <c r="AK8" s="99" t="s">
        <v>123</v>
      </c>
      <c r="AL8" s="189" t="s">
        <v>123</v>
      </c>
      <c r="AM8" s="99" t="s">
        <v>130</v>
      </c>
      <c r="AP8" s="99" t="s">
        <v>124</v>
      </c>
      <c r="AQ8" s="99" t="s">
        <v>123</v>
      </c>
      <c r="AR8" s="189" t="s">
        <v>123</v>
      </c>
      <c r="AS8" s="99" t="s">
        <v>130</v>
      </c>
      <c r="AT8" s="99"/>
      <c r="AU8" s="7"/>
      <c r="AV8" s="99" t="s">
        <v>124</v>
      </c>
      <c r="AW8" s="99" t="s">
        <v>123</v>
      </c>
      <c r="AX8" s="189" t="s">
        <v>123</v>
      </c>
      <c r="AY8" s="99" t="s">
        <v>130</v>
      </c>
      <c r="BB8" s="99" t="s">
        <v>124</v>
      </c>
      <c r="BC8" s="99" t="s">
        <v>123</v>
      </c>
      <c r="BD8" s="189" t="s">
        <v>123</v>
      </c>
      <c r="BE8" s="99" t="s">
        <v>130</v>
      </c>
      <c r="BH8" s="99" t="s">
        <v>124</v>
      </c>
      <c r="BI8" s="99" t="s">
        <v>123</v>
      </c>
      <c r="BJ8" s="189" t="s">
        <v>123</v>
      </c>
      <c r="BK8" s="99" t="s">
        <v>130</v>
      </c>
      <c r="BN8" s="99" t="s">
        <v>124</v>
      </c>
      <c r="BO8" s="99" t="s">
        <v>123</v>
      </c>
      <c r="BP8" s="189" t="s">
        <v>123</v>
      </c>
      <c r="BQ8" s="99" t="s">
        <v>130</v>
      </c>
      <c r="BU8" s="99" t="s">
        <v>124</v>
      </c>
      <c r="BV8" s="99" t="s">
        <v>123</v>
      </c>
      <c r="BW8" s="189" t="s">
        <v>123</v>
      </c>
      <c r="BX8" s="99" t="s">
        <v>130</v>
      </c>
      <c r="CA8" s="99" t="s">
        <v>124</v>
      </c>
      <c r="CB8" s="99" t="s">
        <v>123</v>
      </c>
      <c r="CC8" s="189" t="s">
        <v>123</v>
      </c>
      <c r="CD8" s="99" t="s">
        <v>130</v>
      </c>
      <c r="CG8" s="99" t="s">
        <v>124</v>
      </c>
      <c r="CH8" s="99" t="s">
        <v>123</v>
      </c>
      <c r="CI8" s="189" t="s">
        <v>123</v>
      </c>
      <c r="CJ8" s="99" t="s">
        <v>130</v>
      </c>
      <c r="CM8" s="99" t="s">
        <v>124</v>
      </c>
      <c r="CN8" s="99" t="s">
        <v>123</v>
      </c>
      <c r="CO8" s="189" t="s">
        <v>123</v>
      </c>
      <c r="CP8" s="99" t="s">
        <v>130</v>
      </c>
      <c r="CS8" s="99" t="s">
        <v>124</v>
      </c>
      <c r="CT8" s="99" t="s">
        <v>123</v>
      </c>
      <c r="CU8" s="189" t="s">
        <v>123</v>
      </c>
      <c r="CV8" s="99" t="s">
        <v>130</v>
      </c>
      <c r="CY8" s="99" t="s">
        <v>124</v>
      </c>
      <c r="CZ8" s="99" t="s">
        <v>123</v>
      </c>
      <c r="DA8" s="189" t="s">
        <v>123</v>
      </c>
      <c r="DB8" s="99" t="s">
        <v>130</v>
      </c>
      <c r="DE8" s="99" t="s">
        <v>124</v>
      </c>
      <c r="DF8" s="99" t="s">
        <v>123</v>
      </c>
      <c r="DG8" s="189" t="s">
        <v>123</v>
      </c>
      <c r="DH8" s="99" t="s">
        <v>130</v>
      </c>
    </row>
    <row r="9" spans="1:113" ht="16.5" thickBot="1">
      <c r="A9" s="8" t="s">
        <v>1</v>
      </c>
      <c r="B9" s="397" t="s">
        <v>184</v>
      </c>
      <c r="C9" s="397" t="s">
        <v>194</v>
      </c>
      <c r="D9" s="397" t="s">
        <v>208</v>
      </c>
      <c r="E9" s="397" t="s">
        <v>243</v>
      </c>
      <c r="F9" s="397" t="s">
        <v>256</v>
      </c>
      <c r="G9" s="397" t="s">
        <v>269</v>
      </c>
      <c r="H9" s="397" t="s">
        <v>283</v>
      </c>
      <c r="I9" s="397" t="s">
        <v>303</v>
      </c>
      <c r="J9" s="397" t="s">
        <v>330</v>
      </c>
      <c r="K9" s="397" t="s">
        <v>360</v>
      </c>
      <c r="L9" s="9" t="s">
        <v>84</v>
      </c>
      <c r="M9" s="9" t="s">
        <v>84</v>
      </c>
      <c r="N9" s="10" t="s">
        <v>43</v>
      </c>
      <c r="O9" s="9" t="s">
        <v>57</v>
      </c>
      <c r="P9" s="9" t="s">
        <v>58</v>
      </c>
      <c r="Q9" s="9" t="s">
        <v>59</v>
      </c>
      <c r="R9" s="9" t="s">
        <v>60</v>
      </c>
      <c r="S9" s="9" t="s">
        <v>39</v>
      </c>
      <c r="T9" s="9" t="s">
        <v>40</v>
      </c>
      <c r="U9" s="9" t="s">
        <v>4</v>
      </c>
      <c r="V9" s="9" t="s">
        <v>41</v>
      </c>
      <c r="W9" s="8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08" t="s">
        <v>105</v>
      </c>
      <c r="AE9" s="352" t="s">
        <v>161</v>
      </c>
      <c r="AF9" s="352" t="s">
        <v>168</v>
      </c>
      <c r="AG9" s="352" t="s">
        <v>184</v>
      </c>
      <c r="AH9" s="352" t="s">
        <v>194</v>
      </c>
      <c r="AI9" s="26"/>
      <c r="AJ9" s="100" t="s">
        <v>125</v>
      </c>
      <c r="AK9" s="100" t="s">
        <v>127</v>
      </c>
      <c r="AL9" s="190" t="s">
        <v>129</v>
      </c>
      <c r="AM9" s="100" t="s">
        <v>131</v>
      </c>
      <c r="AP9" s="100" t="s">
        <v>125</v>
      </c>
      <c r="AQ9" s="100" t="s">
        <v>127</v>
      </c>
      <c r="AR9" s="190" t="s">
        <v>129</v>
      </c>
      <c r="AS9" s="100" t="s">
        <v>131</v>
      </c>
      <c r="AT9" s="99"/>
      <c r="AU9" s="26"/>
      <c r="AV9" s="100" t="s">
        <v>125</v>
      </c>
      <c r="AW9" s="100" t="s">
        <v>127</v>
      </c>
      <c r="AX9" s="190" t="s">
        <v>129</v>
      </c>
      <c r="AY9" s="100" t="s">
        <v>131</v>
      </c>
      <c r="BB9" s="100" t="s">
        <v>125</v>
      </c>
      <c r="BC9" s="100" t="s">
        <v>127</v>
      </c>
      <c r="BD9" s="190" t="s">
        <v>129</v>
      </c>
      <c r="BE9" s="100" t="s">
        <v>131</v>
      </c>
      <c r="BH9" s="100" t="s">
        <v>125</v>
      </c>
      <c r="BI9" s="100" t="s">
        <v>127</v>
      </c>
      <c r="BJ9" s="190" t="s">
        <v>129</v>
      </c>
      <c r="BK9" s="100" t="s">
        <v>131</v>
      </c>
      <c r="BN9" s="100" t="s">
        <v>125</v>
      </c>
      <c r="BO9" s="100" t="s">
        <v>127</v>
      </c>
      <c r="BP9" s="190" t="s">
        <v>129</v>
      </c>
      <c r="BQ9" s="100" t="s">
        <v>131</v>
      </c>
      <c r="BU9" s="100" t="s">
        <v>125</v>
      </c>
      <c r="BV9" s="100" t="s">
        <v>127</v>
      </c>
      <c r="BW9" s="190" t="s">
        <v>129</v>
      </c>
      <c r="BX9" s="100" t="s">
        <v>131</v>
      </c>
      <c r="CA9" s="100" t="s">
        <v>125</v>
      </c>
      <c r="CB9" s="100" t="s">
        <v>127</v>
      </c>
      <c r="CC9" s="190" t="s">
        <v>129</v>
      </c>
      <c r="CD9" s="100" t="s">
        <v>131</v>
      </c>
      <c r="CG9" s="100" t="s">
        <v>125</v>
      </c>
      <c r="CH9" s="100" t="s">
        <v>127</v>
      </c>
      <c r="CI9" s="190" t="s">
        <v>129</v>
      </c>
      <c r="CJ9" s="100" t="s">
        <v>131</v>
      </c>
      <c r="CM9" s="100" t="s">
        <v>125</v>
      </c>
      <c r="CN9" s="100" t="s">
        <v>127</v>
      </c>
      <c r="CO9" s="190" t="s">
        <v>129</v>
      </c>
      <c r="CP9" s="100" t="s">
        <v>131</v>
      </c>
      <c r="CS9" s="100" t="s">
        <v>125</v>
      </c>
      <c r="CT9" s="100" t="s">
        <v>127</v>
      </c>
      <c r="CU9" s="190" t="s">
        <v>129</v>
      </c>
      <c r="CV9" s="100" t="s">
        <v>131</v>
      </c>
      <c r="CY9" s="100" t="s">
        <v>125</v>
      </c>
      <c r="CZ9" s="100" t="s">
        <v>127</v>
      </c>
      <c r="DA9" s="190" t="s">
        <v>129</v>
      </c>
      <c r="DB9" s="100" t="s">
        <v>131</v>
      </c>
      <c r="DE9" s="100" t="s">
        <v>125</v>
      </c>
      <c r="DF9" s="100" t="s">
        <v>127</v>
      </c>
      <c r="DG9" s="190" t="s">
        <v>129</v>
      </c>
      <c r="DH9" s="100" t="s">
        <v>131</v>
      </c>
    </row>
    <row r="10" spans="1:113" ht="16.5" thickTop="1">
      <c r="A10" s="7" t="s">
        <v>5</v>
      </c>
      <c r="B10" s="87">
        <v>4945.41</v>
      </c>
      <c r="C10" s="87">
        <v>5180.0600000000004</v>
      </c>
      <c r="D10" s="87">
        <v>5527.1653627971118</v>
      </c>
      <c r="E10" s="87">
        <v>6054.4721272854867</v>
      </c>
      <c r="F10" s="87">
        <v>6555.3038504222859</v>
      </c>
      <c r="G10" s="87">
        <v>6768.2065248253239</v>
      </c>
      <c r="H10" s="87">
        <v>6863.0708049785135</v>
      </c>
      <c r="I10" s="87">
        <v>6813.3796478362365</v>
      </c>
      <c r="J10" s="87">
        <v>6631.845356373844</v>
      </c>
      <c r="K10" s="87">
        <v>6709.1484306859584</v>
      </c>
      <c r="L10" s="239">
        <f>(K10-J10)*100/J10</f>
        <v>1.1656344525256259</v>
      </c>
      <c r="M10" s="244">
        <f>(K10-AF10)*100/AF10</f>
        <v>37.986053024894922</v>
      </c>
      <c r="N10" s="47">
        <v>2073.7600000000002</v>
      </c>
      <c r="O10" s="45">
        <v>2280.4899999999998</v>
      </c>
      <c r="P10" s="45">
        <v>2483.39</v>
      </c>
      <c r="Q10" s="45">
        <v>2694.63</v>
      </c>
      <c r="R10" s="45">
        <v>2946.96</v>
      </c>
      <c r="S10" s="45">
        <v>3180.1</v>
      </c>
      <c r="T10" s="45">
        <v>3390.88</v>
      </c>
      <c r="U10" s="45">
        <v>3370.3</v>
      </c>
      <c r="V10" s="45">
        <v>3453.14</v>
      </c>
      <c r="W10" s="193">
        <v>3523.49</v>
      </c>
      <c r="X10" s="45">
        <v>3704.73</v>
      </c>
      <c r="Y10" s="46">
        <f>3178.33+593.15</f>
        <v>3771.48</v>
      </c>
      <c r="Z10" s="53">
        <v>3849.2</v>
      </c>
      <c r="AA10" s="53">
        <v>3656.13</v>
      </c>
      <c r="AB10" s="87">
        <v>3850.06</v>
      </c>
      <c r="AC10" s="87">
        <v>4043.74</v>
      </c>
      <c r="AD10" s="87">
        <v>4392.63</v>
      </c>
      <c r="AE10" s="87">
        <v>4694.884382686123</v>
      </c>
      <c r="AF10" s="87">
        <v>4862.1931590981294</v>
      </c>
      <c r="AG10" s="87"/>
      <c r="AH10" s="87"/>
      <c r="AI10" s="87"/>
      <c r="AJ10" s="365">
        <v>3518.1032115861049</v>
      </c>
      <c r="AK10" s="365">
        <v>187.68396216738142</v>
      </c>
      <c r="AL10" s="365">
        <v>123.31180507387879</v>
      </c>
      <c r="AM10" s="365">
        <v>865.78540385875783</v>
      </c>
      <c r="AN10" s="370">
        <f>SUM(AJ10:AM10)</f>
        <v>4694.884382686123</v>
      </c>
      <c r="AO10" s="87"/>
      <c r="AP10" s="87">
        <v>3645.5751304449118</v>
      </c>
      <c r="AQ10" s="87">
        <v>188.2456622886844</v>
      </c>
      <c r="AR10" s="87">
        <v>112.58152519613397</v>
      </c>
      <c r="AS10" s="87">
        <v>915.79084116839897</v>
      </c>
      <c r="AT10" s="87">
        <f>SUM(AP10:AS10)</f>
        <v>4862.1931590981294</v>
      </c>
      <c r="AU10" s="87"/>
      <c r="AV10" s="95">
        <v>3708.64</v>
      </c>
      <c r="AW10" s="95">
        <v>213.23</v>
      </c>
      <c r="AX10" s="162">
        <v>95.22</v>
      </c>
      <c r="AY10" s="191">
        <v>928.32</v>
      </c>
      <c r="AZ10" s="162">
        <f>SUM(AV10:AY10)</f>
        <v>4945.41</v>
      </c>
      <c r="BB10" s="95">
        <v>3838.86</v>
      </c>
      <c r="BC10" s="95">
        <v>235.85</v>
      </c>
      <c r="BD10" s="162">
        <v>109.17</v>
      </c>
      <c r="BE10" s="191">
        <v>996.18</v>
      </c>
      <c r="BF10" s="162">
        <f>SUM(BB10:BE10)</f>
        <v>5180.0600000000004</v>
      </c>
      <c r="BH10" s="95">
        <v>4064.0602159476093</v>
      </c>
      <c r="BI10" s="95">
        <v>249.8987293608817</v>
      </c>
      <c r="BJ10" s="95">
        <v>133.15248867303504</v>
      </c>
      <c r="BK10" s="191">
        <v>1070.47350497307</v>
      </c>
      <c r="BL10" s="162">
        <f>SUM(BH10:BK10)</f>
        <v>5517.5849389545956</v>
      </c>
      <c r="BN10" s="95">
        <v>4071.1168212959738</v>
      </c>
      <c r="BO10" s="95">
        <v>250.33263944499848</v>
      </c>
      <c r="BP10" s="95">
        <v>133.38368715775019</v>
      </c>
      <c r="BQ10" s="191">
        <v>1072.3322148983889</v>
      </c>
      <c r="BR10" s="162">
        <f>SUM(BN10:BQ10)</f>
        <v>5527.1653627971118</v>
      </c>
      <c r="BS10" s="3">
        <f>BL10-BR10</f>
        <v>-9.5804238425162112</v>
      </c>
      <c r="BU10" s="95">
        <v>4419.4814291736848</v>
      </c>
      <c r="BV10" s="95">
        <v>262.01948938709342</v>
      </c>
      <c r="BW10" s="95">
        <v>174.48284809717245</v>
      </c>
      <c r="BX10" s="191">
        <v>1198.4883606275364</v>
      </c>
      <c r="BY10" s="162">
        <f>SUM(BU10:BX10)</f>
        <v>6054.4721272854867</v>
      </c>
      <c r="CA10" s="95">
        <v>4789.5798382817156</v>
      </c>
      <c r="CB10" s="95">
        <v>270.45245034806646</v>
      </c>
      <c r="CC10" s="95">
        <v>181.04985290912975</v>
      </c>
      <c r="CD10" s="191">
        <v>1314.2217088833743</v>
      </c>
      <c r="CE10" s="162">
        <f>SUM(CA10:CD10)</f>
        <v>6555.3038504222859</v>
      </c>
      <c r="CG10" s="262">
        <v>4947.487502634589</v>
      </c>
      <c r="CH10" s="95">
        <v>232.66674122880514</v>
      </c>
      <c r="CI10" s="95">
        <v>205.11414235452619</v>
      </c>
      <c r="CJ10" s="191">
        <v>1382.938138607404</v>
      </c>
      <c r="CK10" s="162">
        <f>SUM(CG10:CJ10)</f>
        <v>6768.2065248253239</v>
      </c>
      <c r="CM10" s="262">
        <v>4948.4626448537765</v>
      </c>
      <c r="CN10" s="95">
        <v>257.86590783320963</v>
      </c>
      <c r="CO10" s="95">
        <v>197.34334124214215</v>
      </c>
      <c r="CP10" s="191">
        <v>1459.3989110493858</v>
      </c>
      <c r="CQ10" s="162">
        <f t="shared" ref="CQ10:CQ16" si="0">SUM(CM10:CP10)</f>
        <v>6863.0708049785135</v>
      </c>
      <c r="CS10" s="262">
        <v>4883.4738026715058</v>
      </c>
      <c r="CT10" s="95">
        <v>238.28943137575646</v>
      </c>
      <c r="CU10" s="95">
        <v>223.89945590509006</v>
      </c>
      <c r="CV10" s="191">
        <v>1467.7169578838846</v>
      </c>
      <c r="CW10" s="162">
        <f t="shared" ref="CW10:CW39" si="1">SUM(CS10:CV10)</f>
        <v>6813.3796478362365</v>
      </c>
      <c r="CY10" s="262">
        <v>4753.7418754158234</v>
      </c>
      <c r="CZ10" s="95">
        <v>223.32267591311091</v>
      </c>
      <c r="DA10" s="95">
        <v>209.32760206926093</v>
      </c>
      <c r="DB10" s="191">
        <v>1445.4532029756485</v>
      </c>
      <c r="DC10" s="162">
        <f t="shared" ref="DC10" si="2">SUM(CY10:DB10)</f>
        <v>6631.845356373844</v>
      </c>
      <c r="DE10" s="237">
        <v>4775.7973511485852</v>
      </c>
      <c r="DF10" s="237">
        <v>237.51543392738739</v>
      </c>
      <c r="DG10" s="237">
        <v>239.87257843916413</v>
      </c>
      <c r="DH10" s="237">
        <v>1455.963067170821</v>
      </c>
      <c r="DI10" s="237">
        <f>SUM(DE10:DH10)</f>
        <v>6709.1484306859584</v>
      </c>
    </row>
    <row r="11" spans="1:113" ht="15.75">
      <c r="M11" s="89"/>
      <c r="N11" s="14"/>
      <c r="Q11" s="14"/>
      <c r="R11" s="14"/>
      <c r="U11" s="1"/>
      <c r="V11" s="1"/>
      <c r="W11" s="45"/>
      <c r="X11" s="1"/>
      <c r="Y11" s="14"/>
      <c r="Z11" s="30"/>
      <c r="AA11" s="30"/>
      <c r="AB11" s="1"/>
      <c r="AC11" s="1"/>
      <c r="AD11" s="1"/>
      <c r="AE11" s="1"/>
      <c r="AF11" s="1"/>
      <c r="AG11" s="1"/>
      <c r="AH11" s="1"/>
      <c r="AI11" s="1"/>
      <c r="AJ11" s="323"/>
      <c r="AK11" s="323"/>
      <c r="AL11" s="323"/>
      <c r="AM11" s="323"/>
      <c r="AN11" s="239"/>
      <c r="AO11" s="1"/>
      <c r="AP11" s="1"/>
      <c r="AQ11" s="1"/>
      <c r="AR11" s="1"/>
      <c r="AS11" s="1"/>
      <c r="AT11" s="1"/>
      <c r="AU11" s="1"/>
      <c r="AV11" s="96"/>
      <c r="AW11" s="96"/>
      <c r="AY11" s="192"/>
      <c r="AZ11" s="101"/>
      <c r="BJ11" s="96"/>
      <c r="BP11" s="96"/>
      <c r="CG11" s="96"/>
      <c r="CM11" s="96"/>
      <c r="CN11" s="237"/>
      <c r="CO11" s="237"/>
      <c r="CP11" s="237"/>
      <c r="CQ11" s="237"/>
    </row>
    <row r="12" spans="1:113" ht="15.75">
      <c r="A12" s="1" t="s">
        <v>6</v>
      </c>
      <c r="B12" s="48">
        <v>4829.5</v>
      </c>
      <c r="C12" s="48">
        <v>5047</v>
      </c>
      <c r="D12" s="48">
        <v>5359.7585908711762</v>
      </c>
      <c r="E12" s="48">
        <v>5913.1975731465745</v>
      </c>
      <c r="F12" s="48">
        <v>6334.4858845616491</v>
      </c>
      <c r="G12" s="48">
        <v>6951.2889645791738</v>
      </c>
      <c r="H12" s="48">
        <v>7143.6221123873165</v>
      </c>
      <c r="I12" s="48">
        <v>7200.2297260195601</v>
      </c>
      <c r="J12" s="48">
        <v>6784.1840924084763</v>
      </c>
      <c r="K12" s="87">
        <v>7180.0197290834794</v>
      </c>
      <c r="L12" s="239">
        <f t="shared" ref="L12:L38" si="3">(K12-J12)*100/J12</f>
        <v>5.8346830110041452</v>
      </c>
      <c r="M12" s="244">
        <f>(K12-AF12)*100/AF12</f>
        <v>62.16573681073794</v>
      </c>
      <c r="N12" s="49">
        <v>1777.12</v>
      </c>
      <c r="O12" s="49">
        <v>1916.7</v>
      </c>
      <c r="P12" s="49">
        <v>2042.32</v>
      </c>
      <c r="Q12" s="49">
        <v>2194.89</v>
      </c>
      <c r="R12" s="49">
        <v>2420.21</v>
      </c>
      <c r="S12" s="49">
        <v>2588.2399999999998</v>
      </c>
      <c r="T12" s="49">
        <v>2775.1</v>
      </c>
      <c r="U12" s="49">
        <v>2845.96</v>
      </c>
      <c r="V12" s="49">
        <v>2906.88</v>
      </c>
      <c r="W12" s="48">
        <v>3076.1</v>
      </c>
      <c r="X12" s="49">
        <v>3217.06</v>
      </c>
      <c r="Y12" s="48">
        <f>2890.23+470.3</f>
        <v>3360.53</v>
      </c>
      <c r="Z12" s="57">
        <v>3378.38</v>
      </c>
      <c r="AA12" s="57">
        <v>3312.7</v>
      </c>
      <c r="AB12" s="48">
        <v>3562.27</v>
      </c>
      <c r="AC12" s="48">
        <v>3736.9</v>
      </c>
      <c r="AD12" s="48">
        <v>3899.32</v>
      </c>
      <c r="AE12" s="48">
        <v>4353.2449241754293</v>
      </c>
      <c r="AF12" s="48">
        <v>4427.5812328119664</v>
      </c>
      <c r="AG12" s="48"/>
      <c r="AH12" s="48"/>
      <c r="AI12" s="48"/>
      <c r="AJ12" s="323">
        <v>3184.2983235330375</v>
      </c>
      <c r="AK12" s="323">
        <v>203.02333048999316</v>
      </c>
      <c r="AL12" s="323">
        <v>106.56958751703219</v>
      </c>
      <c r="AM12" s="323">
        <v>859.35368263536611</v>
      </c>
      <c r="AN12" s="210">
        <f>SUM(AJ12:AM12)</f>
        <v>4353.2449241754293</v>
      </c>
      <c r="AO12" s="48"/>
      <c r="AP12" s="48">
        <v>3315.8485508122581</v>
      </c>
      <c r="AQ12" s="48">
        <v>172.85521104533606</v>
      </c>
      <c r="AR12" s="48">
        <v>83.201722330342875</v>
      </c>
      <c r="AS12" s="48">
        <v>855.67574862402898</v>
      </c>
      <c r="AT12" s="48">
        <f>SUM(AP12:AS12)</f>
        <v>4427.5812328119664</v>
      </c>
      <c r="AU12" s="48"/>
      <c r="AV12" s="96">
        <v>3483.65</v>
      </c>
      <c r="AW12" s="96">
        <v>322.89999999999998</v>
      </c>
      <c r="AX12" s="163">
        <v>89.82</v>
      </c>
      <c r="AY12" s="163">
        <v>933.13</v>
      </c>
      <c r="AZ12" s="163">
        <f>SUM(AV12:AY12)</f>
        <v>4829.5</v>
      </c>
      <c r="BB12" s="3">
        <v>3623</v>
      </c>
      <c r="BC12" s="3">
        <v>267</v>
      </c>
      <c r="BD12" s="3">
        <v>96</v>
      </c>
      <c r="BE12" s="3">
        <v>1061</v>
      </c>
      <c r="BF12" s="163">
        <f>SUM(BB12:BE12)</f>
        <v>5047</v>
      </c>
      <c r="BH12" s="237">
        <v>3898.2626685390301</v>
      </c>
      <c r="BI12" s="237">
        <v>250.0592349357519</v>
      </c>
      <c r="BJ12" s="96">
        <v>97.969017326392915</v>
      </c>
      <c r="BK12" s="237">
        <v>1113.4676700700022</v>
      </c>
      <c r="BL12" s="163">
        <f>SUM(BH12:BK12)</f>
        <v>5359.7585908711762</v>
      </c>
      <c r="BN12" s="237">
        <v>3898.2626685390301</v>
      </c>
      <c r="BO12" s="237">
        <v>250.0592349357519</v>
      </c>
      <c r="BP12" s="96">
        <v>97.969017326392915</v>
      </c>
      <c r="BQ12" s="237">
        <v>1113.4676700700022</v>
      </c>
      <c r="BR12" s="163">
        <f>SUM(BN12:BQ12)</f>
        <v>5359.7585908711762</v>
      </c>
      <c r="BS12" s="3">
        <f>BL12-BR12</f>
        <v>0</v>
      </c>
      <c r="BU12" s="3">
        <v>4285.501485121722</v>
      </c>
      <c r="BV12" s="3">
        <v>263.41564681813753</v>
      </c>
      <c r="BW12" s="3">
        <v>110.19410497602374</v>
      </c>
      <c r="BX12" s="3">
        <v>1254.086336230692</v>
      </c>
      <c r="BY12" s="163">
        <f>SUM(BU12:BX12)</f>
        <v>5913.1975731465745</v>
      </c>
      <c r="CA12" s="3">
        <v>4501.7326700576314</v>
      </c>
      <c r="CB12" s="3">
        <v>318.96261788333914</v>
      </c>
      <c r="CC12" s="3">
        <v>147.4939977733147</v>
      </c>
      <c r="CD12" s="3">
        <v>1366.2965988473632</v>
      </c>
      <c r="CE12" s="163">
        <f>SUM(CA12:CD12)</f>
        <v>6334.4858845616491</v>
      </c>
      <c r="CG12" s="263">
        <v>4979.5817979106496</v>
      </c>
      <c r="CH12" s="3">
        <v>435.82356594160069</v>
      </c>
      <c r="CI12" s="3">
        <v>136.04066538079891</v>
      </c>
      <c r="CJ12" s="3">
        <v>1399.8429353461249</v>
      </c>
      <c r="CK12" s="163">
        <f>SUM(CG12:CJ12)</f>
        <v>6951.2889645791738</v>
      </c>
      <c r="CM12" s="263">
        <v>5037.3105821561958</v>
      </c>
      <c r="CN12" s="3">
        <v>412.12443708051336</v>
      </c>
      <c r="CO12" s="3">
        <v>148.67646269201606</v>
      </c>
      <c r="CP12" s="3">
        <v>1545.510630458592</v>
      </c>
      <c r="CQ12" s="163">
        <f t="shared" si="0"/>
        <v>7143.6221123873165</v>
      </c>
      <c r="CS12" s="3">
        <v>5131.6635840530789</v>
      </c>
      <c r="CT12" s="3">
        <v>289.56841045587151</v>
      </c>
      <c r="CU12" s="3">
        <v>146.39453983870047</v>
      </c>
      <c r="CV12" s="3">
        <v>1632.6031916719096</v>
      </c>
      <c r="CW12" s="162">
        <f t="shared" si="1"/>
        <v>7200.2297260195601</v>
      </c>
      <c r="CY12" s="3">
        <v>4740.3034884663011</v>
      </c>
      <c r="CZ12" s="3">
        <v>241.5950080440746</v>
      </c>
      <c r="DA12" s="3">
        <v>167.77994768457972</v>
      </c>
      <c r="DB12" s="3">
        <v>1634.5056482135212</v>
      </c>
      <c r="DC12" s="162">
        <f t="shared" ref="DC12:DC16" si="4">SUM(CY12:DB12)</f>
        <v>6784.1840924084763</v>
      </c>
      <c r="DE12" s="3">
        <v>5044.1406920326854</v>
      </c>
      <c r="DF12" s="3">
        <v>332.51217499303561</v>
      </c>
      <c r="DG12" s="3">
        <v>203.60557503017924</v>
      </c>
      <c r="DH12" s="3">
        <v>1599.7612870275791</v>
      </c>
      <c r="DI12" s="237">
        <f>SUM(DE12:DH12)</f>
        <v>7180.0197290834794</v>
      </c>
    </row>
    <row r="13" spans="1:113" ht="15.75">
      <c r="A13" s="1" t="s">
        <v>7</v>
      </c>
      <c r="B13" s="48">
        <v>4653.96</v>
      </c>
      <c r="C13" s="48">
        <v>4908</v>
      </c>
      <c r="D13" s="48">
        <v>5184.0413897890885</v>
      </c>
      <c r="E13" s="48">
        <v>5705.0671852567211</v>
      </c>
      <c r="F13" s="48">
        <v>6146.8424334752108</v>
      </c>
      <c r="G13" s="48">
        <v>6459.391127242613</v>
      </c>
      <c r="H13" s="48">
        <v>6400.4349273182561</v>
      </c>
      <c r="I13" s="48">
        <v>6587.1724921854138</v>
      </c>
      <c r="J13" s="48">
        <v>6439.6405421623631</v>
      </c>
      <c r="K13" s="87">
        <v>6435.177396572527</v>
      </c>
      <c r="L13" s="239">
        <f t="shared" si="3"/>
        <v>-6.9307371438118409E-2</v>
      </c>
      <c r="M13" s="244">
        <f t="shared" ref="M13:M39" si="5">(K13-AF13)*100/AF13</f>
        <v>41.536859490974045</v>
      </c>
      <c r="N13" s="49">
        <v>2067.27</v>
      </c>
      <c r="O13" s="49">
        <v>2240.9299999999998</v>
      </c>
      <c r="P13" s="49">
        <v>2421.4299999999998</v>
      </c>
      <c r="Q13" s="49">
        <v>2624.73</v>
      </c>
      <c r="R13" s="49">
        <v>2865.27</v>
      </c>
      <c r="S13" s="49">
        <v>3154.02</v>
      </c>
      <c r="T13" s="49">
        <v>3424.88</v>
      </c>
      <c r="U13" s="49">
        <v>3328.76</v>
      </c>
      <c r="V13" s="49">
        <v>3466.13</v>
      </c>
      <c r="W13" s="49">
        <v>3537.05</v>
      </c>
      <c r="X13" s="49">
        <v>3723.53</v>
      </c>
      <c r="Y13" s="48">
        <f>3185.09+520.24</f>
        <v>3705.33</v>
      </c>
      <c r="Z13" s="57">
        <v>3718.17</v>
      </c>
      <c r="AA13" s="57">
        <v>3442.61</v>
      </c>
      <c r="AB13" s="48">
        <v>3568.9</v>
      </c>
      <c r="AC13" s="48">
        <v>3792.15</v>
      </c>
      <c r="AD13" s="48">
        <v>4169.3100000000004</v>
      </c>
      <c r="AE13" s="48">
        <v>4377.383213245942</v>
      </c>
      <c r="AF13" s="48">
        <v>4546.6441884581345</v>
      </c>
      <c r="AG13" s="48"/>
      <c r="AH13" s="48"/>
      <c r="AI13" s="48"/>
      <c r="AJ13" s="323">
        <v>3346.1826034433875</v>
      </c>
      <c r="AK13" s="323">
        <v>166.07356198606294</v>
      </c>
      <c r="AL13" s="323">
        <v>80.710999682320647</v>
      </c>
      <c r="AM13" s="323">
        <v>784.41604813417098</v>
      </c>
      <c r="AN13" s="210">
        <f>SUM(AJ13:AM13)</f>
        <v>4377.383213245942</v>
      </c>
      <c r="AO13" s="48"/>
      <c r="AP13" s="48">
        <v>3401.7796749591553</v>
      </c>
      <c r="AQ13" s="48">
        <v>187.56804035906592</v>
      </c>
      <c r="AR13" s="48">
        <v>126.69832031480979</v>
      </c>
      <c r="AS13" s="48">
        <v>830.59815282510374</v>
      </c>
      <c r="AT13" s="48">
        <f t="shared" ref="AT13:AT39" si="6">SUM(AP13:AS13)</f>
        <v>4546.6441884581345</v>
      </c>
      <c r="AU13" s="48"/>
      <c r="AV13" s="96">
        <v>3420.09</v>
      </c>
      <c r="AW13" s="96">
        <v>259.08</v>
      </c>
      <c r="AX13" s="163">
        <v>143.52000000000001</v>
      </c>
      <c r="AY13" s="163">
        <v>831.27</v>
      </c>
      <c r="AZ13" s="163">
        <f>SUM(AV13:AY13)</f>
        <v>4653.96</v>
      </c>
      <c r="BB13" s="3">
        <v>3619</v>
      </c>
      <c r="BC13" s="3">
        <v>245</v>
      </c>
      <c r="BD13" s="3">
        <v>146</v>
      </c>
      <c r="BE13" s="3">
        <v>898</v>
      </c>
      <c r="BF13" s="163">
        <f>SUM(BB13:BE13)</f>
        <v>4908</v>
      </c>
      <c r="BH13" s="237">
        <v>3858.2109381098239</v>
      </c>
      <c r="BI13" s="237">
        <v>189.26575945279419</v>
      </c>
      <c r="BJ13" s="96">
        <v>154.44476408263321</v>
      </c>
      <c r="BK13" s="237">
        <v>936.19457395454685</v>
      </c>
      <c r="BL13" s="163">
        <f>SUM(BH13:BK13)</f>
        <v>5138.1160355997981</v>
      </c>
      <c r="BN13" s="237">
        <v>3892.696283057664</v>
      </c>
      <c r="BO13" s="237">
        <v>190.95744897061564</v>
      </c>
      <c r="BP13" s="96">
        <v>155.82521762709047</v>
      </c>
      <c r="BQ13" s="237">
        <v>944.56244013371838</v>
      </c>
      <c r="BR13" s="163">
        <f>SUM(BN13:BQ13)</f>
        <v>5184.0413897890885</v>
      </c>
      <c r="BS13" s="3">
        <f>BL13-BR13</f>
        <v>-45.925354189290374</v>
      </c>
      <c r="BU13" s="3">
        <v>4291.0549189188232</v>
      </c>
      <c r="BV13" s="3">
        <v>212.58387828357371</v>
      </c>
      <c r="BW13" s="3">
        <v>167.71801940278664</v>
      </c>
      <c r="BX13" s="3">
        <v>1033.710368651537</v>
      </c>
      <c r="BY13" s="163">
        <f>SUM(BU13:BX13)</f>
        <v>5705.0671852567211</v>
      </c>
      <c r="CA13" s="3">
        <v>4653.5849980654366</v>
      </c>
      <c r="CB13" s="3">
        <v>197.99097184501568</v>
      </c>
      <c r="CC13" s="3">
        <v>144.18038039027647</v>
      </c>
      <c r="CD13" s="3">
        <v>1151.0860831744817</v>
      </c>
      <c r="CE13" s="163">
        <f>SUM(CA13:CD13)</f>
        <v>6146.8424334752108</v>
      </c>
      <c r="CG13" s="263">
        <v>4874.3413440223103</v>
      </c>
      <c r="CH13" s="3">
        <v>178.52426984876828</v>
      </c>
      <c r="CI13" s="3">
        <v>160.94528442570916</v>
      </c>
      <c r="CJ13" s="3">
        <v>1245.5802289458254</v>
      </c>
      <c r="CK13" s="163">
        <f>SUM(CG13:CJ13)</f>
        <v>6459.391127242613</v>
      </c>
      <c r="CM13" s="263">
        <v>4737.7099525663389</v>
      </c>
      <c r="CN13" s="3">
        <v>196.02244508150201</v>
      </c>
      <c r="CO13" s="3">
        <v>171.82404971343433</v>
      </c>
      <c r="CP13" s="3">
        <v>1294.8784799569803</v>
      </c>
      <c r="CQ13" s="163">
        <f t="shared" si="0"/>
        <v>6400.4349273182561</v>
      </c>
      <c r="CS13" s="3">
        <v>4734.9319041116205</v>
      </c>
      <c r="CT13" s="3">
        <v>329.14322960653698</v>
      </c>
      <c r="CU13" s="3">
        <v>192.32645118495662</v>
      </c>
      <c r="CV13" s="3">
        <v>1330.7709072823</v>
      </c>
      <c r="CW13" s="162">
        <f t="shared" si="1"/>
        <v>6587.1724921854138</v>
      </c>
      <c r="CY13" s="3">
        <v>4621.5413536451924</v>
      </c>
      <c r="CZ13" s="3">
        <v>358.62195919765827</v>
      </c>
      <c r="DA13" s="3">
        <v>192.31857371634686</v>
      </c>
      <c r="DB13" s="3">
        <v>1267.1586556031652</v>
      </c>
      <c r="DC13" s="162">
        <f t="shared" si="4"/>
        <v>6439.6405421623631</v>
      </c>
      <c r="DE13" s="3">
        <v>4597.437363621033</v>
      </c>
      <c r="DF13" s="3">
        <v>410.74895476304761</v>
      </c>
      <c r="DG13" s="3">
        <v>204.60841223097177</v>
      </c>
      <c r="DH13" s="3">
        <v>1222.382665957474</v>
      </c>
      <c r="DI13" s="237">
        <f t="shared" ref="DI13:DI39" si="7">SUM(DE13:DH13)</f>
        <v>6435.177396572527</v>
      </c>
    </row>
    <row r="14" spans="1:113" ht="15.75">
      <c r="A14" s="1" t="s">
        <v>8</v>
      </c>
      <c r="B14" s="48">
        <v>5165.54</v>
      </c>
      <c r="C14" s="48">
        <v>5232</v>
      </c>
      <c r="D14" s="48">
        <v>5829.8772077819867</v>
      </c>
      <c r="E14" s="48">
        <v>6839.2619603455678</v>
      </c>
      <c r="F14" s="48">
        <v>7530.7669466255011</v>
      </c>
      <c r="G14" s="48">
        <v>7681.6039297836778</v>
      </c>
      <c r="H14" s="48">
        <v>7535.790867900223</v>
      </c>
      <c r="I14" s="48">
        <v>7869.9596820942998</v>
      </c>
      <c r="J14" s="48">
        <v>7539.0004778848088</v>
      </c>
      <c r="K14" s="87">
        <v>7472.3967483517345</v>
      </c>
      <c r="L14" s="239">
        <f t="shared" si="3"/>
        <v>-0.88345570116956817</v>
      </c>
      <c r="M14" s="244">
        <f t="shared" si="5"/>
        <v>36.049852985973054</v>
      </c>
      <c r="N14" s="49">
        <v>1772.86</v>
      </c>
      <c r="O14" s="49">
        <v>1981.98</v>
      </c>
      <c r="P14" s="49">
        <v>2119.9299999999998</v>
      </c>
      <c r="Q14" s="49">
        <v>2336.38</v>
      </c>
      <c r="R14" s="49">
        <v>2510.83</v>
      </c>
      <c r="S14" s="49">
        <v>2683.8</v>
      </c>
      <c r="T14" s="49">
        <v>2911.71</v>
      </c>
      <c r="U14" s="49">
        <v>2987.21</v>
      </c>
      <c r="V14" s="49">
        <v>3133.5</v>
      </c>
      <c r="W14" s="49">
        <v>3182.61</v>
      </c>
      <c r="X14" s="49">
        <v>3459.36</v>
      </c>
      <c r="Y14" s="48">
        <f>2803.59+887.57</f>
        <v>3691.1600000000003</v>
      </c>
      <c r="Z14" s="57">
        <v>3779.48</v>
      </c>
      <c r="AA14" s="57">
        <v>3750.06</v>
      </c>
      <c r="AB14" s="48">
        <v>4082.53</v>
      </c>
      <c r="AC14" s="48">
        <v>4195.28</v>
      </c>
      <c r="AD14" s="48">
        <v>4838.53</v>
      </c>
      <c r="AE14" s="48">
        <v>5261.2404697966886</v>
      </c>
      <c r="AF14" s="48">
        <v>5492.3960477356413</v>
      </c>
      <c r="AG14" s="48"/>
      <c r="AH14" s="48"/>
      <c r="AI14" s="48"/>
      <c r="AJ14" s="323">
        <v>3360.8572072240827</v>
      </c>
      <c r="AK14" s="323">
        <v>128.3311726346391</v>
      </c>
      <c r="AL14" s="323">
        <v>385.25023381046469</v>
      </c>
      <c r="AM14" s="323">
        <v>1386.8018561275019</v>
      </c>
      <c r="AN14" s="210">
        <f>SUM(AJ14:AM14)</f>
        <v>5261.2404697966886</v>
      </c>
      <c r="AO14" s="48"/>
      <c r="AP14" s="48">
        <v>3625.4093977514476</v>
      </c>
      <c r="AQ14" s="48">
        <v>59.897273306950048</v>
      </c>
      <c r="AR14" s="48">
        <v>305.95418406517496</v>
      </c>
      <c r="AS14" s="48">
        <v>1501.135192612069</v>
      </c>
      <c r="AT14" s="48">
        <f t="shared" si="6"/>
        <v>5492.3960477356413</v>
      </c>
      <c r="AU14" s="48"/>
      <c r="AV14" s="96">
        <v>3486.03</v>
      </c>
      <c r="AW14" s="96">
        <v>133.91</v>
      </c>
      <c r="AX14" s="163">
        <v>177.73</v>
      </c>
      <c r="AY14" s="163">
        <v>1367.87</v>
      </c>
      <c r="AZ14" s="163">
        <f>SUM(AV14:AY14)</f>
        <v>5165.54</v>
      </c>
      <c r="BB14" s="3">
        <v>3230</v>
      </c>
      <c r="BC14" s="3">
        <v>345</v>
      </c>
      <c r="BD14" s="3">
        <v>266</v>
      </c>
      <c r="BE14" s="3">
        <v>1391</v>
      </c>
      <c r="BF14" s="163">
        <f>SUM(BB14:BE14)</f>
        <v>5232</v>
      </c>
      <c r="BH14" s="237">
        <v>3557.9610150168728</v>
      </c>
      <c r="BI14" s="237">
        <v>293.16566759645644</v>
      </c>
      <c r="BJ14" s="96">
        <v>467.70136919078362</v>
      </c>
      <c r="BK14" s="237">
        <v>1511.0491559778741</v>
      </c>
      <c r="BL14" s="163">
        <f>SUM(BH14:BK14)</f>
        <v>5829.8772077819867</v>
      </c>
      <c r="BN14" s="237">
        <v>3557.9610150168728</v>
      </c>
      <c r="BO14" s="237">
        <v>293.16566759645644</v>
      </c>
      <c r="BP14" s="96">
        <v>467.70136919078362</v>
      </c>
      <c r="BQ14" s="237">
        <v>1511.0491559778741</v>
      </c>
      <c r="BR14" s="163">
        <f>SUM(BN14:BQ14)</f>
        <v>5829.8772077819867</v>
      </c>
      <c r="BS14" s="3">
        <f>BL14-BR14</f>
        <v>0</v>
      </c>
      <c r="BU14" s="3">
        <v>4127.2794256622137</v>
      </c>
      <c r="BV14" s="3">
        <v>338.91542524219858</v>
      </c>
      <c r="BW14" s="3">
        <v>636.81650481204099</v>
      </c>
      <c r="BX14" s="3">
        <v>1736.2506046291142</v>
      </c>
      <c r="BY14" s="163">
        <f>SUM(BU14:BX14)</f>
        <v>6839.2619603455678</v>
      </c>
      <c r="CA14" s="3">
        <v>4683.9098999051312</v>
      </c>
      <c r="CB14" s="3">
        <v>351.92217509089386</v>
      </c>
      <c r="CC14" s="3">
        <v>616.53586383928996</v>
      </c>
      <c r="CD14" s="3">
        <v>1878.399007790186</v>
      </c>
      <c r="CE14" s="163">
        <f>SUM(CA14:CD14)</f>
        <v>7530.7669466255011</v>
      </c>
      <c r="CG14" s="263">
        <v>4718.5632101938327</v>
      </c>
      <c r="CH14" s="3">
        <v>257.97541236048795</v>
      </c>
      <c r="CI14" s="3">
        <v>798.13351760210332</v>
      </c>
      <c r="CJ14" s="3">
        <v>1906.9317896272541</v>
      </c>
      <c r="CK14" s="163">
        <f>SUM(CG14:CJ14)</f>
        <v>7681.6039297836778</v>
      </c>
      <c r="CM14" s="263">
        <v>4562.8640806383328</v>
      </c>
      <c r="CN14" s="3">
        <v>285.59424966450069</v>
      </c>
      <c r="CO14" s="3">
        <v>738.59410237753548</v>
      </c>
      <c r="CP14" s="3">
        <v>1948.7384352198535</v>
      </c>
      <c r="CQ14" s="163">
        <f t="shared" si="0"/>
        <v>7535.790867900223</v>
      </c>
      <c r="CS14" s="3">
        <v>4646.870203971991</v>
      </c>
      <c r="CT14" s="3">
        <v>268.78881245782338</v>
      </c>
      <c r="CU14" s="3">
        <v>893.60672644027488</v>
      </c>
      <c r="CV14" s="3">
        <v>2060.6939392242111</v>
      </c>
      <c r="CW14" s="162">
        <f t="shared" si="1"/>
        <v>7869.9596820942998</v>
      </c>
      <c r="CY14" s="3">
        <v>4531.0414958969168</v>
      </c>
      <c r="CZ14" s="3">
        <v>238.79108331820527</v>
      </c>
      <c r="DA14" s="3">
        <v>763.51609369252287</v>
      </c>
      <c r="DB14" s="3">
        <v>2005.6518049771641</v>
      </c>
      <c r="DC14" s="162">
        <f t="shared" si="4"/>
        <v>7539.0004778848088</v>
      </c>
      <c r="DE14" s="3">
        <v>4397.2267745192112</v>
      </c>
      <c r="DF14" s="3">
        <v>270.02150340367683</v>
      </c>
      <c r="DG14" s="3">
        <v>834.8299923569067</v>
      </c>
      <c r="DH14" s="3">
        <v>1970.3184780719403</v>
      </c>
      <c r="DI14" s="237">
        <f t="shared" si="7"/>
        <v>7472.3967483517345</v>
      </c>
    </row>
    <row r="15" spans="1:113" ht="15.75">
      <c r="A15" s="1" t="s">
        <v>9</v>
      </c>
      <c r="B15" s="48">
        <v>4770.1099999999997</v>
      </c>
      <c r="C15" s="48">
        <v>4989</v>
      </c>
      <c r="D15" s="48">
        <v>5238.0536205642475</v>
      </c>
      <c r="E15" s="48">
        <v>5640.6459394185458</v>
      </c>
      <c r="F15" s="48">
        <v>5812.6237511310483</v>
      </c>
      <c r="G15" s="48">
        <v>6003.8672351761015</v>
      </c>
      <c r="H15" s="48">
        <v>6477.9363228991351</v>
      </c>
      <c r="I15" s="48">
        <v>6385.8149465242614</v>
      </c>
      <c r="J15" s="48">
        <v>6113.3714243481627</v>
      </c>
      <c r="K15" s="87">
        <v>6172.2281659583705</v>
      </c>
      <c r="L15" s="239">
        <f t="shared" si="3"/>
        <v>0.96275422389346121</v>
      </c>
      <c r="M15" s="244">
        <f t="shared" si="5"/>
        <v>33.955533536094102</v>
      </c>
      <c r="N15" s="49">
        <v>2463.92</v>
      </c>
      <c r="O15" s="49">
        <v>2666.57</v>
      </c>
      <c r="P15" s="49">
        <v>2915.41</v>
      </c>
      <c r="Q15" s="49">
        <v>3006.46</v>
      </c>
      <c r="R15" s="49">
        <v>3394.1</v>
      </c>
      <c r="S15" s="49">
        <v>3502.67</v>
      </c>
      <c r="T15" s="49">
        <v>3655.93</v>
      </c>
      <c r="U15" s="49">
        <v>3634.45</v>
      </c>
      <c r="V15" s="49">
        <v>3577.65</v>
      </c>
      <c r="W15" s="49">
        <v>3562.21</v>
      </c>
      <c r="X15" s="49">
        <v>3701.71</v>
      </c>
      <c r="Y15" s="48">
        <f>3204.6+530.05</f>
        <v>3734.6499999999996</v>
      </c>
      <c r="Z15" s="57">
        <v>3904.21</v>
      </c>
      <c r="AA15" s="57">
        <v>3667.37</v>
      </c>
      <c r="AB15" s="48">
        <v>3703.6</v>
      </c>
      <c r="AC15" s="48">
        <v>3973.68</v>
      </c>
      <c r="AD15" s="48">
        <v>4346.25</v>
      </c>
      <c r="AE15" s="48">
        <v>4556.1617310704123</v>
      </c>
      <c r="AF15" s="48">
        <v>4607.6694280757529</v>
      </c>
      <c r="AG15" s="48"/>
      <c r="AH15" s="48"/>
      <c r="AI15" s="48"/>
      <c r="AJ15" s="323">
        <v>3392.5047973436149</v>
      </c>
      <c r="AK15" s="323">
        <v>222.15933311191969</v>
      </c>
      <c r="AL15" s="323">
        <v>116.87808239327828</v>
      </c>
      <c r="AM15" s="323">
        <v>824.61951822159961</v>
      </c>
      <c r="AN15" s="210">
        <f>SUM(AJ15:AM15)</f>
        <v>4556.1617310704123</v>
      </c>
      <c r="AO15" s="48"/>
      <c r="AP15" s="48">
        <v>3444.0535707961913</v>
      </c>
      <c r="AQ15" s="48">
        <v>190.09818567414627</v>
      </c>
      <c r="AR15" s="48">
        <v>109.4061294017113</v>
      </c>
      <c r="AS15" s="48">
        <v>864.11154220370327</v>
      </c>
      <c r="AT15" s="48">
        <f t="shared" si="6"/>
        <v>4607.6694280757529</v>
      </c>
      <c r="AU15" s="48"/>
      <c r="AV15" s="96">
        <v>3543.46</v>
      </c>
      <c r="AW15" s="96">
        <v>223.2</v>
      </c>
      <c r="AX15" s="163">
        <v>109.34</v>
      </c>
      <c r="AY15" s="163">
        <v>894.11</v>
      </c>
      <c r="AZ15" s="163">
        <f>SUM(AV15:AY15)</f>
        <v>4770.1099999999997</v>
      </c>
      <c r="BB15" s="3">
        <v>3705</v>
      </c>
      <c r="BC15" s="3">
        <v>228</v>
      </c>
      <c r="BD15" s="3">
        <v>80</v>
      </c>
      <c r="BE15" s="3">
        <v>976</v>
      </c>
      <c r="BF15" s="163">
        <f>SUM(BB15:BE15)</f>
        <v>4989</v>
      </c>
      <c r="BH15" s="237">
        <v>3862.3595191372356</v>
      </c>
      <c r="BI15" s="237">
        <v>227.41706001787719</v>
      </c>
      <c r="BJ15" s="96">
        <v>85.335146867608017</v>
      </c>
      <c r="BK15" s="237">
        <v>1062.9418945415264</v>
      </c>
      <c r="BL15" s="163">
        <f>SUM(BH15:BK15)</f>
        <v>5238.0536205642475</v>
      </c>
      <c r="BN15" s="237">
        <v>3862.3595191372356</v>
      </c>
      <c r="BO15" s="237">
        <v>227.41706001787719</v>
      </c>
      <c r="BP15" s="96">
        <v>85.335146867608017</v>
      </c>
      <c r="BQ15" s="237">
        <v>1062.9418945415264</v>
      </c>
      <c r="BR15" s="163">
        <f>SUM(BN15:BQ15)</f>
        <v>5238.0536205642475</v>
      </c>
      <c r="BS15" s="3">
        <f>BL15-BR15</f>
        <v>0</v>
      </c>
      <c r="BU15" s="3">
        <v>4125.3072628343643</v>
      </c>
      <c r="BV15" s="3">
        <v>255.49070113576775</v>
      </c>
      <c r="BW15" s="3">
        <v>109.98540541687549</v>
      </c>
      <c r="BX15" s="3">
        <v>1149.8625700315383</v>
      </c>
      <c r="BY15" s="163">
        <f>SUM(BU15:BX15)</f>
        <v>5640.6459394185458</v>
      </c>
      <c r="CA15" s="3">
        <v>4243.1569161494162</v>
      </c>
      <c r="CB15" s="3">
        <v>241.67219579174355</v>
      </c>
      <c r="CC15" s="3">
        <v>104.28372065509204</v>
      </c>
      <c r="CD15" s="3">
        <v>1223.510918534796</v>
      </c>
      <c r="CE15" s="163">
        <f>SUM(CA15:CD15)</f>
        <v>5812.6237511310483</v>
      </c>
      <c r="CG15" s="263">
        <v>4346.9470944606364</v>
      </c>
      <c r="CH15" s="3">
        <v>255.24422683506711</v>
      </c>
      <c r="CI15" s="3">
        <v>107.71003382621268</v>
      </c>
      <c r="CJ15" s="3">
        <v>1293.9658800541852</v>
      </c>
      <c r="CK15" s="163">
        <f>SUM(CG15:CJ15)</f>
        <v>6003.8672351761015</v>
      </c>
      <c r="CM15" s="263">
        <v>4480.5169713712739</v>
      </c>
      <c r="CN15" s="3">
        <v>453.97198364129144</v>
      </c>
      <c r="CO15" s="3">
        <v>134.32259467730691</v>
      </c>
      <c r="CP15" s="3">
        <v>1409.1247732092627</v>
      </c>
      <c r="CQ15" s="163">
        <f t="shared" si="0"/>
        <v>6477.9363228991351</v>
      </c>
      <c r="CS15" s="3">
        <v>4531.6310169553653</v>
      </c>
      <c r="CT15" s="3">
        <v>287.18303896630681</v>
      </c>
      <c r="CU15" s="3">
        <v>116.34482437428373</v>
      </c>
      <c r="CV15" s="3">
        <v>1450.6560662283052</v>
      </c>
      <c r="CW15" s="162">
        <f t="shared" si="1"/>
        <v>6385.8149465242614</v>
      </c>
      <c r="CY15" s="3">
        <v>4378.0030653896138</v>
      </c>
      <c r="CZ15" s="3">
        <v>237.01461418770145</v>
      </c>
      <c r="DA15" s="3">
        <v>96.509958596033641</v>
      </c>
      <c r="DB15" s="3">
        <v>1401.8437861748141</v>
      </c>
      <c r="DC15" s="162">
        <f t="shared" si="4"/>
        <v>6113.3714243481627</v>
      </c>
      <c r="DE15" s="3">
        <v>4384.8765004447459</v>
      </c>
      <c r="DF15" s="3">
        <v>255.71673192129907</v>
      </c>
      <c r="DG15" s="3">
        <v>132.79992188450308</v>
      </c>
      <c r="DH15" s="3">
        <v>1398.8350117078214</v>
      </c>
      <c r="DI15" s="237">
        <f t="shared" si="7"/>
        <v>6172.2281659583705</v>
      </c>
    </row>
    <row r="16" spans="1:113" ht="15.75">
      <c r="A16" s="1" t="s">
        <v>10</v>
      </c>
      <c r="B16" s="48">
        <v>4914.95</v>
      </c>
      <c r="C16" s="48">
        <v>5088</v>
      </c>
      <c r="D16" s="48">
        <v>5358.3672293677955</v>
      </c>
      <c r="E16" s="48">
        <v>5436.4135663275847</v>
      </c>
      <c r="F16" s="48">
        <v>6032.112908138155</v>
      </c>
      <c r="G16" s="48">
        <v>6340.7336526939071</v>
      </c>
      <c r="H16" s="48">
        <v>6500.9888802207997</v>
      </c>
      <c r="I16" s="48">
        <v>6674.1261756038666</v>
      </c>
      <c r="J16" s="48">
        <v>6733.5421741902956</v>
      </c>
      <c r="K16" s="87">
        <v>6669.498060262019</v>
      </c>
      <c r="L16" s="239">
        <f t="shared" si="3"/>
        <v>-0.95112070692536899</v>
      </c>
      <c r="M16" s="244">
        <f t="shared" si="5"/>
        <v>44.173708903129963</v>
      </c>
      <c r="N16" s="49">
        <v>2005.21</v>
      </c>
      <c r="O16" s="49">
        <v>2163</v>
      </c>
      <c r="P16" s="49">
        <v>2268.79</v>
      </c>
      <c r="Q16" s="49">
        <v>2369.87</v>
      </c>
      <c r="R16" s="49">
        <v>2561.3200000000002</v>
      </c>
      <c r="S16" s="49">
        <v>2741.78</v>
      </c>
      <c r="T16" s="49">
        <v>2922.45</v>
      </c>
      <c r="U16" s="49">
        <v>3171.6</v>
      </c>
      <c r="V16" s="49">
        <v>3189.08</v>
      </c>
      <c r="W16" s="49">
        <v>3375.68</v>
      </c>
      <c r="X16" s="49">
        <v>3452.04</v>
      </c>
      <c r="Y16" s="48">
        <f>3068.11+496.65</f>
        <v>3564.76</v>
      </c>
      <c r="Z16" s="57">
        <v>3593.29</v>
      </c>
      <c r="AA16" s="57">
        <v>3392.28</v>
      </c>
      <c r="AB16" s="48">
        <v>3538.3</v>
      </c>
      <c r="AC16" s="48">
        <v>3714.6</v>
      </c>
      <c r="AD16" s="48">
        <v>3917.68</v>
      </c>
      <c r="AE16" s="48">
        <v>4283.2153626889094</v>
      </c>
      <c r="AF16" s="48">
        <v>4626.0154580217131</v>
      </c>
      <c r="AG16" s="48"/>
      <c r="AH16" s="48"/>
      <c r="AI16" s="48"/>
      <c r="AJ16" s="323">
        <v>3327.8999995175973</v>
      </c>
      <c r="AK16" s="323">
        <v>166.20585400948127</v>
      </c>
      <c r="AL16" s="323">
        <v>50.101186567083651</v>
      </c>
      <c r="AM16" s="323">
        <v>739.00832259474703</v>
      </c>
      <c r="AN16" s="210">
        <f>SUM(AJ16:AM16)</f>
        <v>4283.2153626889094</v>
      </c>
      <c r="AO16" s="48"/>
      <c r="AP16" s="48">
        <v>3580.7565193569326</v>
      </c>
      <c r="AQ16" s="48">
        <v>185.15147104959763</v>
      </c>
      <c r="AR16" s="48">
        <v>48.888928461402315</v>
      </c>
      <c r="AS16" s="48">
        <v>811.21853915378085</v>
      </c>
      <c r="AT16" s="48">
        <f t="shared" si="6"/>
        <v>4626.0154580217131</v>
      </c>
      <c r="AU16" s="48"/>
      <c r="AV16" s="96">
        <v>3797.89</v>
      </c>
      <c r="AW16" s="96">
        <v>189.16</v>
      </c>
      <c r="AX16" s="163">
        <v>50.23</v>
      </c>
      <c r="AY16" s="163">
        <v>877.67</v>
      </c>
      <c r="AZ16" s="163">
        <f>SUM(AV16:AY16)</f>
        <v>4914.95</v>
      </c>
      <c r="BB16" s="3">
        <v>3959</v>
      </c>
      <c r="BC16" s="3">
        <v>170</v>
      </c>
      <c r="BD16" s="3">
        <v>46</v>
      </c>
      <c r="BE16" s="3">
        <v>913</v>
      </c>
      <c r="BF16" s="163">
        <f>SUM(BB16:BE16)</f>
        <v>5088</v>
      </c>
      <c r="BH16" s="237">
        <v>4152.1356592961893</v>
      </c>
      <c r="BI16" s="237">
        <v>169.35747980200344</v>
      </c>
      <c r="BJ16" s="96">
        <v>54.760108306958472</v>
      </c>
      <c r="BK16" s="237">
        <v>982.11398196264452</v>
      </c>
      <c r="BL16" s="163">
        <f>SUM(BH16:BK16)</f>
        <v>5358.3672293677955</v>
      </c>
      <c r="BN16" s="237">
        <v>4152.1356592961893</v>
      </c>
      <c r="BO16" s="237">
        <v>169.35747980200344</v>
      </c>
      <c r="BP16" s="96">
        <v>54.760108306958472</v>
      </c>
      <c r="BQ16" s="237">
        <v>982.11398196264452</v>
      </c>
      <c r="BR16" s="163">
        <f>SUM(BN16:BQ16)</f>
        <v>5358.3672293677955</v>
      </c>
      <c r="BS16" s="3">
        <f>BL16-BR16</f>
        <v>0</v>
      </c>
      <c r="BU16" s="3">
        <v>4187.7612746561344</v>
      </c>
      <c r="BV16" s="3">
        <v>188.17963615697263</v>
      </c>
      <c r="BW16" s="3">
        <v>44.896147443110067</v>
      </c>
      <c r="BX16" s="3">
        <v>1015.5765080713679</v>
      </c>
      <c r="BY16" s="163">
        <f>SUM(BU16:BX16)</f>
        <v>5436.4135663275847</v>
      </c>
      <c r="CA16" s="3">
        <v>4583.2869708462413</v>
      </c>
      <c r="CB16" s="3">
        <v>184.840291248082</v>
      </c>
      <c r="CC16" s="3">
        <v>47.063680264034048</v>
      </c>
      <c r="CD16" s="3">
        <v>1216.9219657797978</v>
      </c>
      <c r="CE16" s="163">
        <f>SUM(CA16:CD16)</f>
        <v>6032.112908138155</v>
      </c>
      <c r="CG16" s="263">
        <v>4832.2366602833717</v>
      </c>
      <c r="CH16" s="3">
        <v>151.65488322094035</v>
      </c>
      <c r="CI16" s="3">
        <v>47.884457459056833</v>
      </c>
      <c r="CJ16" s="3">
        <v>1308.9576517305386</v>
      </c>
      <c r="CK16" s="163">
        <f>SUM(CG16:CJ16)</f>
        <v>6340.7336526939071</v>
      </c>
      <c r="CM16" s="263">
        <v>4908.091189872519</v>
      </c>
      <c r="CN16" s="3">
        <v>153.6378976732091</v>
      </c>
      <c r="CO16" s="3">
        <v>51.94983599581569</v>
      </c>
      <c r="CP16" s="3">
        <v>1387.3099566792553</v>
      </c>
      <c r="CQ16" s="163">
        <f t="shared" si="0"/>
        <v>6500.9888802207997</v>
      </c>
      <c r="CS16" s="3">
        <v>5063.8107634924718</v>
      </c>
      <c r="CT16" s="3">
        <v>139.11584547242327</v>
      </c>
      <c r="CU16" s="3">
        <v>61.377265581570505</v>
      </c>
      <c r="CV16" s="3">
        <v>1409.8223010574011</v>
      </c>
      <c r="CW16" s="162">
        <f t="shared" si="1"/>
        <v>6674.1261756038666</v>
      </c>
      <c r="CY16" s="3">
        <v>5092.3328346902636</v>
      </c>
      <c r="CZ16" s="3">
        <v>153.13064723147639</v>
      </c>
      <c r="DA16" s="3">
        <v>59.388201644169918</v>
      </c>
      <c r="DB16" s="3">
        <v>1428.6904906243851</v>
      </c>
      <c r="DC16" s="162">
        <f t="shared" si="4"/>
        <v>6733.5421741902956</v>
      </c>
      <c r="DE16" s="3">
        <v>4989.8941578562481</v>
      </c>
      <c r="DF16" s="3">
        <v>143.71457592246009</v>
      </c>
      <c r="DG16" s="3">
        <v>90.903882574583847</v>
      </c>
      <c r="DH16" s="3">
        <v>1444.9854439087267</v>
      </c>
      <c r="DI16" s="237">
        <f t="shared" si="7"/>
        <v>6669.498060262019</v>
      </c>
    </row>
    <row r="17" spans="1:113" ht="15.75">
      <c r="B17" s="48"/>
      <c r="C17" s="48"/>
      <c r="D17" s="48"/>
      <c r="E17" s="48"/>
      <c r="F17" s="48"/>
      <c r="G17" s="48"/>
      <c r="H17" s="48"/>
      <c r="I17" s="48"/>
      <c r="J17" s="48"/>
      <c r="K17" s="87"/>
      <c r="L17" s="239"/>
      <c r="M17" s="244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8"/>
      <c r="Z17" s="57"/>
      <c r="AA17" s="57"/>
      <c r="AB17" s="48"/>
      <c r="AC17" s="48"/>
      <c r="AD17" s="48"/>
      <c r="AE17" s="48"/>
      <c r="AF17" s="48"/>
      <c r="AG17" s="48"/>
      <c r="AH17" s="48"/>
      <c r="AI17" s="48"/>
      <c r="AJ17" s="366"/>
      <c r="AK17" s="366"/>
      <c r="AL17" s="366"/>
      <c r="AM17" s="366"/>
      <c r="AN17" s="210"/>
      <c r="AO17" s="48"/>
      <c r="AP17" s="48"/>
      <c r="AQ17" s="48"/>
      <c r="AR17" s="48"/>
      <c r="AS17" s="48"/>
      <c r="AT17" s="48"/>
      <c r="AU17" s="48"/>
      <c r="AV17"/>
      <c r="AW17"/>
      <c r="AY17" s="163"/>
      <c r="AZ17" s="163"/>
      <c r="BF17" s="163"/>
      <c r="BH17" s="237"/>
      <c r="BI17" s="237"/>
      <c r="BJ17" s="96"/>
      <c r="BK17" s="237"/>
      <c r="BL17" s="163"/>
      <c r="BN17" s="237"/>
      <c r="BO17" s="237"/>
      <c r="BP17" s="96"/>
      <c r="BQ17" s="237"/>
      <c r="BR17" s="163"/>
      <c r="BY17" s="163"/>
      <c r="CE17" s="163"/>
      <c r="CG17" s="264"/>
      <c r="CK17" s="163"/>
      <c r="CM17" s="264"/>
      <c r="CQ17" s="163"/>
      <c r="CW17" s="163"/>
      <c r="DC17" s="163"/>
      <c r="DI17" s="237"/>
    </row>
    <row r="18" spans="1:113" ht="15.75">
      <c r="A18" s="1" t="s">
        <v>11</v>
      </c>
      <c r="B18" s="48">
        <v>4585.1000000000004</v>
      </c>
      <c r="C18" s="48">
        <v>4650</v>
      </c>
      <c r="D18" s="48">
        <v>4798.2721312683698</v>
      </c>
      <c r="E18" s="48">
        <v>5221.0427103474931</v>
      </c>
      <c r="F18" s="48">
        <v>5708.0835933849457</v>
      </c>
      <c r="G18" s="48">
        <v>5895.6992976688598</v>
      </c>
      <c r="H18" s="48">
        <v>5971.6004055248095</v>
      </c>
      <c r="I18" s="48">
        <v>6086.2609810468894</v>
      </c>
      <c r="J18" s="48">
        <v>6080.6076990884876</v>
      </c>
      <c r="K18" s="87">
        <v>5851.2475639782133</v>
      </c>
      <c r="L18" s="239">
        <f t="shared" si="3"/>
        <v>-3.7719936305816359</v>
      </c>
      <c r="M18" s="244">
        <f t="shared" si="5"/>
        <v>36.963386839221194</v>
      </c>
      <c r="N18" s="49">
        <v>1568.38</v>
      </c>
      <c r="O18" s="49">
        <v>1714.28</v>
      </c>
      <c r="P18" s="49">
        <v>1965.66</v>
      </c>
      <c r="Q18" s="49">
        <v>2177.2600000000002</v>
      </c>
      <c r="R18" s="49">
        <v>2371.1</v>
      </c>
      <c r="S18" s="49">
        <v>2532.9699999999998</v>
      </c>
      <c r="T18" s="49">
        <v>2667.89</v>
      </c>
      <c r="U18" s="49">
        <v>2753.35</v>
      </c>
      <c r="V18" s="49">
        <v>2820.28</v>
      </c>
      <c r="W18" s="49">
        <v>2960.7</v>
      </c>
      <c r="X18" s="49">
        <v>3080.34</v>
      </c>
      <c r="Y18" s="48">
        <f>2781.2+384.77</f>
        <v>3165.97</v>
      </c>
      <c r="Z18" s="57">
        <v>3342.7</v>
      </c>
      <c r="AA18" s="57">
        <v>3152</v>
      </c>
      <c r="AB18" s="48">
        <v>3384.52</v>
      </c>
      <c r="AC18" s="48">
        <v>3542.67</v>
      </c>
      <c r="AD18" s="48">
        <v>3721.11</v>
      </c>
      <c r="AE18" s="48">
        <v>3992.213876477836</v>
      </c>
      <c r="AF18" s="48">
        <v>4272.1253460582757</v>
      </c>
      <c r="AG18" s="48"/>
      <c r="AH18" s="48"/>
      <c r="AI18" s="48"/>
      <c r="AJ18" s="323">
        <v>3100.7638884292214</v>
      </c>
      <c r="AK18" s="323">
        <v>206.49577840292719</v>
      </c>
      <c r="AL18" s="323">
        <v>110.56309044440768</v>
      </c>
      <c r="AM18" s="323">
        <v>574.39111920127971</v>
      </c>
      <c r="AN18" s="210">
        <f>SUM(AJ18:AM18)</f>
        <v>3992.213876477836</v>
      </c>
      <c r="AO18" s="48"/>
      <c r="AP18" s="48">
        <v>3310.4506354658724</v>
      </c>
      <c r="AQ18" s="48">
        <v>196.60085678863055</v>
      </c>
      <c r="AR18" s="48">
        <v>117.55491922212393</v>
      </c>
      <c r="AS18" s="48">
        <v>647.51893458164852</v>
      </c>
      <c r="AT18" s="48">
        <f t="shared" si="6"/>
        <v>4272.1253460582757</v>
      </c>
      <c r="AU18" s="48"/>
      <c r="AV18" s="96">
        <v>3520.3</v>
      </c>
      <c r="AW18" s="96">
        <v>221.57</v>
      </c>
      <c r="AX18" s="163">
        <v>110.54</v>
      </c>
      <c r="AY18" s="163">
        <v>732.69</v>
      </c>
      <c r="AZ18" s="163">
        <f>SUM(AV18:AY18)</f>
        <v>4585.1000000000004</v>
      </c>
      <c r="BB18" s="3">
        <v>3612</v>
      </c>
      <c r="BC18" s="3">
        <v>165</v>
      </c>
      <c r="BD18" s="3">
        <v>139</v>
      </c>
      <c r="BE18" s="3">
        <v>734</v>
      </c>
      <c r="BF18" s="163">
        <f>SUM(BB18:BE18)</f>
        <v>4650</v>
      </c>
      <c r="BH18" s="237">
        <v>3657.1127097613407</v>
      </c>
      <c r="BI18" s="237">
        <v>193.62668893050545</v>
      </c>
      <c r="BJ18" s="96">
        <v>178.35095436220558</v>
      </c>
      <c r="BK18" s="237">
        <v>775.5560430639224</v>
      </c>
      <c r="BL18" s="163">
        <f>SUM(BH18:BK18)</f>
        <v>4804.6463961179743</v>
      </c>
      <c r="BN18" s="237">
        <v>3652.2608636367831</v>
      </c>
      <c r="BO18" s="237">
        <v>193.36980680111665</v>
      </c>
      <c r="BP18" s="96">
        <v>178.11433836061948</v>
      </c>
      <c r="BQ18" s="237">
        <v>774.52712246985004</v>
      </c>
      <c r="BR18" s="163">
        <f>SUM(BN18:BQ18)</f>
        <v>4798.2721312683698</v>
      </c>
      <c r="BS18" s="3">
        <f>BL18-BR18</f>
        <v>6.3742648496045149</v>
      </c>
      <c r="BU18" s="3">
        <v>3941.9973261145788</v>
      </c>
      <c r="BV18" s="3">
        <v>230.8239489530965</v>
      </c>
      <c r="BW18" s="3">
        <v>182.90938806327458</v>
      </c>
      <c r="BX18" s="3">
        <v>865.3120472165441</v>
      </c>
      <c r="BY18" s="163">
        <f>SUM(BU18:BX18)</f>
        <v>5221.0427103474931</v>
      </c>
      <c r="CA18" s="3">
        <v>4321.8343341426535</v>
      </c>
      <c r="CB18" s="3">
        <v>289.42504008429154</v>
      </c>
      <c r="CC18" s="3">
        <v>171.64862522332675</v>
      </c>
      <c r="CD18" s="3">
        <v>925.175593934674</v>
      </c>
      <c r="CE18" s="163">
        <f>SUM(CA18:CD18)</f>
        <v>5708.0835933849457</v>
      </c>
      <c r="CG18" s="263">
        <v>4568.2132284817708</v>
      </c>
      <c r="CH18" s="3">
        <v>186.84101165570834</v>
      </c>
      <c r="CI18" s="3">
        <v>165.43288628212795</v>
      </c>
      <c r="CJ18" s="3">
        <v>975.21217124925306</v>
      </c>
      <c r="CK18" s="163">
        <f>SUM(CG18:CJ18)</f>
        <v>5895.6992976688598</v>
      </c>
      <c r="CM18" s="263">
        <v>4603.6086890201368</v>
      </c>
      <c r="CN18" s="3">
        <v>158.14351485839185</v>
      </c>
      <c r="CO18" s="3">
        <v>181.1275059294052</v>
      </c>
      <c r="CP18" s="3">
        <v>1028.7206957168767</v>
      </c>
      <c r="CQ18" s="163">
        <f>SUM(CM18:CP18)</f>
        <v>5971.6004055248095</v>
      </c>
      <c r="CS18" s="3">
        <v>4730.9798880684757</v>
      </c>
      <c r="CT18" s="3">
        <v>157.31031933405447</v>
      </c>
      <c r="CU18" s="3">
        <v>194.11292479894652</v>
      </c>
      <c r="CV18" s="3">
        <v>1003.8578488454123</v>
      </c>
      <c r="CW18" s="162">
        <f t="shared" si="1"/>
        <v>6086.2609810468894</v>
      </c>
      <c r="CY18" s="3">
        <v>4835.3093964514792</v>
      </c>
      <c r="CZ18" s="3">
        <v>125.04368881053301</v>
      </c>
      <c r="DA18" s="3">
        <v>179.75412431073937</v>
      </c>
      <c r="DB18" s="3">
        <v>940.50048951573569</v>
      </c>
      <c r="DC18" s="162">
        <f t="shared" ref="DC18:DC22" si="8">SUM(CY18:DB18)</f>
        <v>6080.6076990884876</v>
      </c>
      <c r="DE18" s="3">
        <v>4535.2685797955683</v>
      </c>
      <c r="DF18" s="3">
        <v>166.61771431769009</v>
      </c>
      <c r="DG18" s="3">
        <v>149.07161456390361</v>
      </c>
      <c r="DH18" s="3">
        <v>1000.2896553010518</v>
      </c>
      <c r="DI18" s="237">
        <f t="shared" si="7"/>
        <v>5851.2475639782133</v>
      </c>
    </row>
    <row r="19" spans="1:113" ht="15.75">
      <c r="A19" s="1" t="s">
        <v>12</v>
      </c>
      <c r="B19" s="48">
        <v>4441.2700000000004</v>
      </c>
      <c r="C19" s="48">
        <v>4730</v>
      </c>
      <c r="D19" s="48">
        <v>4916.8236934488323</v>
      </c>
      <c r="E19" s="48">
        <v>5322.5051908314799</v>
      </c>
      <c r="F19" s="48">
        <v>5755.5820949494055</v>
      </c>
      <c r="G19" s="48">
        <v>5982.0037591534601</v>
      </c>
      <c r="H19" s="48">
        <v>6088.8109561970086</v>
      </c>
      <c r="I19" s="48">
        <v>5998.9963120681914</v>
      </c>
      <c r="J19" s="48">
        <v>6001.1717843198858</v>
      </c>
      <c r="K19" s="87">
        <v>6170.3405205262779</v>
      </c>
      <c r="L19" s="239">
        <f t="shared" si="3"/>
        <v>2.8189284074220864</v>
      </c>
      <c r="M19" s="244">
        <f t="shared" si="5"/>
        <v>44.797027622810774</v>
      </c>
      <c r="N19" s="49">
        <v>1771.29</v>
      </c>
      <c r="O19" s="49">
        <v>1918.92</v>
      </c>
      <c r="P19" s="49">
        <v>2109.0700000000002</v>
      </c>
      <c r="Q19" s="49">
        <v>2301.37</v>
      </c>
      <c r="R19" s="49">
        <v>2572.6999999999998</v>
      </c>
      <c r="S19" s="49">
        <v>2821.14</v>
      </c>
      <c r="T19" s="49">
        <v>3001.93</v>
      </c>
      <c r="U19" s="49">
        <v>3044.44</v>
      </c>
      <c r="V19" s="49">
        <v>3082.89</v>
      </c>
      <c r="W19" s="49">
        <v>3192.12</v>
      </c>
      <c r="X19" s="49">
        <v>3378.47</v>
      </c>
      <c r="Y19" s="48">
        <f>2910.01+441.9</f>
        <v>3351.9100000000003</v>
      </c>
      <c r="Z19" s="57">
        <v>3341.7</v>
      </c>
      <c r="AA19" s="57">
        <v>3136.44</v>
      </c>
      <c r="AB19" s="48">
        <v>3338.92</v>
      </c>
      <c r="AC19" s="48">
        <v>3488.05</v>
      </c>
      <c r="AD19" s="48">
        <v>3767.64</v>
      </c>
      <c r="AE19" s="48">
        <v>3991.8729162965383</v>
      </c>
      <c r="AF19" s="48">
        <v>4261.3723650458596</v>
      </c>
      <c r="AG19" s="48"/>
      <c r="AH19" s="48"/>
      <c r="AI19" s="48"/>
      <c r="AJ19" s="323">
        <v>3096.9042717432385</v>
      </c>
      <c r="AK19" s="323">
        <v>201.38390901569588</v>
      </c>
      <c r="AL19" s="323">
        <v>46.683502367708066</v>
      </c>
      <c r="AM19" s="323">
        <v>646.9012331698957</v>
      </c>
      <c r="AN19" s="210">
        <f>SUM(AJ19:AM19)</f>
        <v>3991.8729162965383</v>
      </c>
      <c r="AO19" s="48"/>
      <c r="AP19" s="48">
        <v>3223.6779518081185</v>
      </c>
      <c r="AQ19" s="48">
        <v>286.600831023902</v>
      </c>
      <c r="AR19" s="48">
        <v>68.809357385429422</v>
      </c>
      <c r="AS19" s="48">
        <v>682.28422482840983</v>
      </c>
      <c r="AT19" s="48">
        <f t="shared" si="6"/>
        <v>4261.3723650458596</v>
      </c>
      <c r="AU19" s="48"/>
      <c r="AV19" s="96">
        <v>3405.75</v>
      </c>
      <c r="AW19" s="96">
        <v>235.43</v>
      </c>
      <c r="AX19" s="163">
        <v>78.180000000000007</v>
      </c>
      <c r="AY19" s="163">
        <v>721.91</v>
      </c>
      <c r="AZ19" s="163">
        <f>SUM(AV19:AY19)</f>
        <v>4441.2699999999995</v>
      </c>
      <c r="BB19" s="3">
        <v>3586</v>
      </c>
      <c r="BC19" s="3">
        <v>299</v>
      </c>
      <c r="BD19" s="3">
        <v>70</v>
      </c>
      <c r="BE19" s="3">
        <v>775</v>
      </c>
      <c r="BF19" s="163">
        <f>SUM(BB19:BE19)</f>
        <v>4730</v>
      </c>
      <c r="BH19" s="237">
        <v>3753.6217649102232</v>
      </c>
      <c r="BI19" s="237">
        <v>293.14575069627585</v>
      </c>
      <c r="BJ19" s="96">
        <v>64.909235824305739</v>
      </c>
      <c r="BK19" s="237">
        <v>824.75481668949601</v>
      </c>
      <c r="BL19" s="163">
        <f>SUM(BH19:BK19)</f>
        <v>4936.4315681203007</v>
      </c>
      <c r="BN19" s="237">
        <v>3738.7120990686522</v>
      </c>
      <c r="BO19" s="237">
        <v>291.98135389246988</v>
      </c>
      <c r="BP19" s="96">
        <v>64.651411494422774</v>
      </c>
      <c r="BQ19" s="237">
        <v>821.47882899328749</v>
      </c>
      <c r="BR19" s="163">
        <f>SUM(BN19:BQ19)</f>
        <v>4916.8236934488323</v>
      </c>
      <c r="BS19" s="3">
        <f>BL19-BR19</f>
        <v>19.60787467146838</v>
      </c>
      <c r="BU19" s="3">
        <v>4065.28165539369</v>
      </c>
      <c r="BV19" s="3">
        <v>274.34508610326503</v>
      </c>
      <c r="BW19" s="3">
        <v>60.857560574308046</v>
      </c>
      <c r="BX19" s="3">
        <v>922.02088876021708</v>
      </c>
      <c r="BY19" s="163">
        <f>SUM(BU19:BX19)</f>
        <v>5322.5051908314799</v>
      </c>
      <c r="CA19" s="3">
        <v>4450.7543547452415</v>
      </c>
      <c r="CB19" s="3">
        <v>239.74257281683234</v>
      </c>
      <c r="CC19" s="3">
        <v>63.190727945437523</v>
      </c>
      <c r="CD19" s="3">
        <v>1001.8944394418937</v>
      </c>
      <c r="CE19" s="163">
        <f>SUM(CA19:CD19)</f>
        <v>5755.5820949494055</v>
      </c>
      <c r="CG19" s="263">
        <v>4580.9674488783567</v>
      </c>
      <c r="CH19" s="3">
        <v>305.07071342531657</v>
      </c>
      <c r="CI19" s="3">
        <v>71.249332812379023</v>
      </c>
      <c r="CJ19" s="3">
        <v>1024.7162640374079</v>
      </c>
      <c r="CK19" s="163">
        <f>SUM(CG19:CJ19)</f>
        <v>5982.0037591534601</v>
      </c>
      <c r="CM19" s="263">
        <v>4563.232898379094</v>
      </c>
      <c r="CN19" s="3">
        <v>330.57061261706355</v>
      </c>
      <c r="CO19" s="3">
        <v>78.496075240302531</v>
      </c>
      <c r="CP19" s="3">
        <v>1116.511369960549</v>
      </c>
      <c r="CQ19" s="163">
        <f>SUM(CM19:CP19)</f>
        <v>6088.8109561970086</v>
      </c>
      <c r="CS19" s="3">
        <v>4532.0059463586895</v>
      </c>
      <c r="CT19" s="3">
        <v>283.37802952988596</v>
      </c>
      <c r="CU19" s="3">
        <v>66.413665465011263</v>
      </c>
      <c r="CV19" s="3">
        <v>1117.1986707146057</v>
      </c>
      <c r="CW19" s="162">
        <f t="shared" si="1"/>
        <v>5998.9963120681914</v>
      </c>
      <c r="CY19" s="3">
        <v>4503.8569247046535</v>
      </c>
      <c r="CZ19" s="3">
        <v>319.42907040849468</v>
      </c>
      <c r="DA19" s="3">
        <v>68.196989021886324</v>
      </c>
      <c r="DB19" s="3">
        <v>1109.6888001848508</v>
      </c>
      <c r="DC19" s="162">
        <f t="shared" si="8"/>
        <v>6001.1717843198858</v>
      </c>
      <c r="DE19" s="3">
        <v>4583.0124429089838</v>
      </c>
      <c r="DF19" s="3">
        <v>315.68334928917665</v>
      </c>
      <c r="DG19" s="3">
        <v>67.253468598521962</v>
      </c>
      <c r="DH19" s="3">
        <v>1204.3912597295957</v>
      </c>
      <c r="DI19" s="237">
        <f t="shared" si="7"/>
        <v>6170.3405205262779</v>
      </c>
    </row>
    <row r="20" spans="1:113" ht="15.75">
      <c r="A20" s="1" t="s">
        <v>13</v>
      </c>
      <c r="B20" s="48">
        <v>4396.54</v>
      </c>
      <c r="C20" s="48">
        <v>4630</v>
      </c>
      <c r="D20" s="48">
        <v>4961.6837754101352</v>
      </c>
      <c r="E20" s="48">
        <v>5286.601496924206</v>
      </c>
      <c r="F20" s="48">
        <v>5648.2377925649635</v>
      </c>
      <c r="G20" s="48">
        <v>5925.2922506144778</v>
      </c>
      <c r="H20" s="48">
        <v>6058.6317748965848</v>
      </c>
      <c r="I20" s="48">
        <v>6122.5353742678753</v>
      </c>
      <c r="J20" s="48">
        <v>6000.8768538622999</v>
      </c>
      <c r="K20" s="87">
        <v>6268.3914092222412</v>
      </c>
      <c r="L20" s="239">
        <f t="shared" si="3"/>
        <v>4.4579244312897863</v>
      </c>
      <c r="M20" s="244">
        <f t="shared" si="5"/>
        <v>47.976232139068927</v>
      </c>
      <c r="N20" s="49">
        <v>1749.33</v>
      </c>
      <c r="O20" s="49">
        <v>1929.5</v>
      </c>
      <c r="P20" s="49">
        <v>2092.46</v>
      </c>
      <c r="Q20" s="49">
        <v>2369.14</v>
      </c>
      <c r="R20" s="49">
        <v>2512.44</v>
      </c>
      <c r="S20" s="49">
        <v>2767.18</v>
      </c>
      <c r="T20" s="49">
        <v>2927.76</v>
      </c>
      <c r="U20" s="49">
        <v>3044.35</v>
      </c>
      <c r="V20" s="49">
        <v>3071.87</v>
      </c>
      <c r="W20" s="49">
        <v>3173.34</v>
      </c>
      <c r="X20" s="49">
        <v>3352.2</v>
      </c>
      <c r="Y20" s="48">
        <f>2892.03+521.46</f>
        <v>3413.4900000000002</v>
      </c>
      <c r="Z20" s="57">
        <v>3501.66</v>
      </c>
      <c r="AA20" s="57">
        <v>3258.69</v>
      </c>
      <c r="AB20" s="48">
        <v>3485.08</v>
      </c>
      <c r="AC20" s="48">
        <v>3622.29</v>
      </c>
      <c r="AD20" s="48">
        <v>3884.3</v>
      </c>
      <c r="AE20" s="48">
        <v>4072.1386481069876</v>
      </c>
      <c r="AF20" s="48">
        <v>4236.0798883777297</v>
      </c>
      <c r="AG20" s="48"/>
      <c r="AH20" s="48"/>
      <c r="AI20" s="48"/>
      <c r="AJ20" s="323">
        <v>3041.1896304994743</v>
      </c>
      <c r="AK20" s="323">
        <v>160.87844846582166</v>
      </c>
      <c r="AL20" s="323">
        <v>80.938639080576451</v>
      </c>
      <c r="AM20" s="323">
        <v>789.13193006111487</v>
      </c>
      <c r="AN20" s="210">
        <f>SUM(AJ20:AM20)</f>
        <v>4072.1386481069876</v>
      </c>
      <c r="AO20" s="48"/>
      <c r="AP20" s="48">
        <v>3128.7481683625324</v>
      </c>
      <c r="AQ20" s="48">
        <v>186.96486074628572</v>
      </c>
      <c r="AR20" s="48">
        <v>86.135974791718127</v>
      </c>
      <c r="AS20" s="48">
        <v>834.23088447719351</v>
      </c>
      <c r="AT20" s="48">
        <f t="shared" si="6"/>
        <v>4236.0798883777297</v>
      </c>
      <c r="AU20" s="48"/>
      <c r="AV20" s="96">
        <v>3270.21</v>
      </c>
      <c r="AW20" s="96">
        <v>169.21</v>
      </c>
      <c r="AX20" s="163">
        <v>77.290000000000006</v>
      </c>
      <c r="AY20" s="163">
        <v>879.83</v>
      </c>
      <c r="AZ20" s="163">
        <f>SUM(AV20:AY20)</f>
        <v>4396.54</v>
      </c>
      <c r="BB20" s="3">
        <v>3431</v>
      </c>
      <c r="BC20" s="3">
        <v>175</v>
      </c>
      <c r="BD20" s="3">
        <v>83</v>
      </c>
      <c r="BE20" s="3">
        <v>941</v>
      </c>
      <c r="BF20" s="163">
        <f>SUM(BB20:BE20)</f>
        <v>4630</v>
      </c>
      <c r="BH20" s="237">
        <v>3645.6648841832789</v>
      </c>
      <c r="BI20" s="237">
        <v>180.41789452034578</v>
      </c>
      <c r="BJ20" s="96">
        <v>119.16363834859578</v>
      </c>
      <c r="BK20" s="237">
        <v>1060.1941460504763</v>
      </c>
      <c r="BL20" s="163">
        <f>SUM(BH20:BK20)</f>
        <v>5005.4405631026966</v>
      </c>
      <c r="BN20" s="237">
        <v>3613.7950452901064</v>
      </c>
      <c r="BO20" s="237">
        <v>178.84070917433257</v>
      </c>
      <c r="BP20" s="96">
        <v>118.12192824173147</v>
      </c>
      <c r="BQ20" s="237">
        <v>1050.9260927039652</v>
      </c>
      <c r="BR20" s="163">
        <f>SUM(BN20:BQ20)</f>
        <v>4961.6837754101352</v>
      </c>
      <c r="BS20" s="3">
        <f>BL20-BR20</f>
        <v>43.756787692561375</v>
      </c>
      <c r="BU20" s="3">
        <v>3865.9665449847771</v>
      </c>
      <c r="BV20" s="3">
        <v>192.6580247670922</v>
      </c>
      <c r="BW20" s="3">
        <v>105.34827356944618</v>
      </c>
      <c r="BX20" s="3">
        <v>1122.6286536028897</v>
      </c>
      <c r="BY20" s="163">
        <f>SUM(BU20:BX20)</f>
        <v>5286.601496924206</v>
      </c>
      <c r="CA20" s="3">
        <v>4089.4688279584211</v>
      </c>
      <c r="CB20" s="3">
        <v>200.24096408149265</v>
      </c>
      <c r="CC20" s="3">
        <v>106.0120273235956</v>
      </c>
      <c r="CD20" s="3">
        <v>1252.5159732014542</v>
      </c>
      <c r="CE20" s="163">
        <f>SUM(CA20:CD20)</f>
        <v>5648.2377925649635</v>
      </c>
      <c r="CG20" s="263">
        <v>4251.4679095539132</v>
      </c>
      <c r="CH20" s="3">
        <v>210.48787931378098</v>
      </c>
      <c r="CI20" s="3">
        <v>102.10495299431578</v>
      </c>
      <c r="CJ20" s="3">
        <v>1361.2315087524678</v>
      </c>
      <c r="CK20" s="163">
        <f>SUM(CG20:CJ20)</f>
        <v>5925.2922506144778</v>
      </c>
      <c r="CM20" s="263">
        <v>4363.2896780128503</v>
      </c>
      <c r="CN20" s="3">
        <v>176.27054978493706</v>
      </c>
      <c r="CO20" s="3">
        <v>127.95461993707842</v>
      </c>
      <c r="CP20" s="3">
        <v>1391.1169271617186</v>
      </c>
      <c r="CQ20" s="163">
        <f>SUM(CM20:CP20)</f>
        <v>6058.6317748965848</v>
      </c>
      <c r="CS20" s="3">
        <v>4456.3495636223197</v>
      </c>
      <c r="CT20" s="3">
        <v>145.89692862199908</v>
      </c>
      <c r="CU20" s="3">
        <v>117.21108450794877</v>
      </c>
      <c r="CV20" s="3">
        <v>1403.0777975156079</v>
      </c>
      <c r="CW20" s="162">
        <f t="shared" si="1"/>
        <v>6122.5353742678753</v>
      </c>
      <c r="CY20" s="3">
        <v>4316.5498459881892</v>
      </c>
      <c r="CZ20" s="3">
        <v>180.71320332248186</v>
      </c>
      <c r="DA20" s="3">
        <v>120.94701635587819</v>
      </c>
      <c r="DB20" s="3">
        <v>1382.6667881957508</v>
      </c>
      <c r="DC20" s="162">
        <f t="shared" si="8"/>
        <v>6000.8768538622999</v>
      </c>
      <c r="DE20" s="3">
        <v>4460.5967014864882</v>
      </c>
      <c r="DF20" s="3">
        <v>238.15289714860958</v>
      </c>
      <c r="DG20" s="3">
        <v>140.26904849063266</v>
      </c>
      <c r="DH20" s="3">
        <v>1429.3727620965108</v>
      </c>
      <c r="DI20" s="237">
        <f t="shared" si="7"/>
        <v>6268.3914092222412</v>
      </c>
    </row>
    <row r="21" spans="1:113" ht="15.75">
      <c r="A21" s="1" t="s">
        <v>14</v>
      </c>
      <c r="B21" s="48">
        <v>4366.41</v>
      </c>
      <c r="C21" s="48">
        <v>4678</v>
      </c>
      <c r="D21" s="48">
        <v>5018.2849280725741</v>
      </c>
      <c r="E21" s="48">
        <v>5480.9762224277874</v>
      </c>
      <c r="F21" s="48">
        <v>5952.9360639529714</v>
      </c>
      <c r="G21" s="48">
        <v>6168.2059006006875</v>
      </c>
      <c r="H21" s="48">
        <v>6270.4279007288023</v>
      </c>
      <c r="I21" s="48">
        <v>6018.1798758716086</v>
      </c>
      <c r="J21" s="48">
        <v>6150.5237895390319</v>
      </c>
      <c r="K21" s="87">
        <v>6229.610229903974</v>
      </c>
      <c r="L21" s="239">
        <f t="shared" si="3"/>
        <v>1.2858488654162155</v>
      </c>
      <c r="M21" s="244">
        <f t="shared" si="5"/>
        <v>45.467944150077919</v>
      </c>
      <c r="N21" s="49">
        <v>1781.39</v>
      </c>
      <c r="O21" s="49">
        <v>1907.19</v>
      </c>
      <c r="P21" s="49">
        <v>2120.71</v>
      </c>
      <c r="Q21" s="49">
        <v>2345.0700000000002</v>
      </c>
      <c r="R21" s="49">
        <v>2541.4899999999998</v>
      </c>
      <c r="S21" s="49">
        <v>2842.3</v>
      </c>
      <c r="T21" s="49">
        <v>2997.57</v>
      </c>
      <c r="U21" s="49">
        <v>3064.19</v>
      </c>
      <c r="V21" s="49">
        <v>3214.35</v>
      </c>
      <c r="W21" s="49">
        <v>3352.95</v>
      </c>
      <c r="X21" s="49">
        <v>3433.5</v>
      </c>
      <c r="Y21" s="48">
        <f>2897.15+494.29</f>
        <v>3391.44</v>
      </c>
      <c r="Z21" s="57">
        <v>3546.04</v>
      </c>
      <c r="AA21" s="57">
        <v>3247.98</v>
      </c>
      <c r="AB21" s="48">
        <v>3390.25</v>
      </c>
      <c r="AC21" s="48">
        <v>3608.8</v>
      </c>
      <c r="AD21" s="48">
        <v>3852.68</v>
      </c>
      <c r="AE21" s="48">
        <v>4095.4754413128512</v>
      </c>
      <c r="AF21" s="48">
        <v>4282.462549602642</v>
      </c>
      <c r="AG21" s="48"/>
      <c r="AH21" s="48"/>
      <c r="AI21" s="48"/>
      <c r="AJ21" s="323">
        <v>3192.013063232781</v>
      </c>
      <c r="AK21" s="323">
        <v>201.6553083241507</v>
      </c>
      <c r="AL21" s="323">
        <v>45.780608022390311</v>
      </c>
      <c r="AM21" s="323">
        <v>656.02646173352923</v>
      </c>
      <c r="AN21" s="210">
        <f>SUM(AJ21:AM21)</f>
        <v>4095.4754413128512</v>
      </c>
      <c r="AO21" s="48"/>
      <c r="AP21" s="48">
        <v>3307.4281976338716</v>
      </c>
      <c r="AQ21" s="48">
        <v>219.68566612081375</v>
      </c>
      <c r="AR21" s="48">
        <v>57.866943942005442</v>
      </c>
      <c r="AS21" s="48">
        <v>697.48174190595137</v>
      </c>
      <c r="AT21" s="48">
        <f t="shared" si="6"/>
        <v>4282.462549602642</v>
      </c>
      <c r="AU21" s="48"/>
      <c r="AV21" s="96">
        <v>3367.28</v>
      </c>
      <c r="AW21" s="96">
        <v>236.39</v>
      </c>
      <c r="AX21" s="163">
        <v>47</v>
      </c>
      <c r="AY21" s="163">
        <v>715.74</v>
      </c>
      <c r="AZ21" s="163">
        <f>SUM(AV21:AY21)</f>
        <v>4366.41</v>
      </c>
      <c r="BB21" s="3">
        <v>3532</v>
      </c>
      <c r="BC21" s="3">
        <v>320</v>
      </c>
      <c r="BD21" s="3">
        <v>50</v>
      </c>
      <c r="BE21" s="3">
        <v>776</v>
      </c>
      <c r="BF21" s="163">
        <f>SUM(BB21:BE21)</f>
        <v>4678</v>
      </c>
      <c r="BH21" s="237">
        <v>3755.6921056614656</v>
      </c>
      <c r="BI21" s="237">
        <v>338.5394531041652</v>
      </c>
      <c r="BJ21" s="96">
        <v>51.395430979737874</v>
      </c>
      <c r="BK21" s="237">
        <v>820.45705456527844</v>
      </c>
      <c r="BL21" s="163">
        <f>SUM(BH21:BK21)</f>
        <v>4966.0840443106472</v>
      </c>
      <c r="BN21" s="237">
        <v>3795.1699810465634</v>
      </c>
      <c r="BO21" s="237">
        <v>342.09800315741336</v>
      </c>
      <c r="BP21" s="96">
        <v>51.935672927825934</v>
      </c>
      <c r="BQ21" s="237">
        <v>829.08127094077076</v>
      </c>
      <c r="BR21" s="163">
        <f>SUM(BN21:BQ21)</f>
        <v>5018.2849280725741</v>
      </c>
      <c r="BS21" s="3">
        <f>BL21-BR21</f>
        <v>-52.200883761926889</v>
      </c>
      <c r="BU21" s="3">
        <v>4103.3182654021857</v>
      </c>
      <c r="BV21" s="3">
        <v>406.94152617585536</v>
      </c>
      <c r="BW21" s="3">
        <v>73.320077540965556</v>
      </c>
      <c r="BX21" s="3">
        <v>897.39635330878036</v>
      </c>
      <c r="BY21" s="163">
        <f>SUM(BU21:BX21)</f>
        <v>5480.9762224277874</v>
      </c>
      <c r="CA21" s="3">
        <v>4514.2712283892906</v>
      </c>
      <c r="CB21" s="3">
        <v>357.91701051482102</v>
      </c>
      <c r="CC21" s="3">
        <v>72.673954026202708</v>
      </c>
      <c r="CD21" s="3">
        <v>1008.0738710226566</v>
      </c>
      <c r="CE21" s="163">
        <f>SUM(CA21:CD21)</f>
        <v>5952.9360639529714</v>
      </c>
      <c r="CG21" s="263">
        <v>4707.7625946539993</v>
      </c>
      <c r="CH21" s="3">
        <v>289.02910384018605</v>
      </c>
      <c r="CI21" s="3">
        <v>73.398448907666264</v>
      </c>
      <c r="CJ21" s="3">
        <v>1098.015753198835</v>
      </c>
      <c r="CK21" s="163">
        <f>SUM(CG21:CJ21)</f>
        <v>6168.2059006006875</v>
      </c>
      <c r="CM21" s="263">
        <v>4773.0216290022609</v>
      </c>
      <c r="CN21" s="3">
        <v>231.40786674543426</v>
      </c>
      <c r="CO21" s="3">
        <v>88.543045682702456</v>
      </c>
      <c r="CP21" s="3">
        <v>1177.4553592984048</v>
      </c>
      <c r="CQ21" s="163">
        <f>SUM(CM21:CP21)</f>
        <v>6270.4279007288023</v>
      </c>
      <c r="CS21" s="3">
        <v>4655.2163343991924</v>
      </c>
      <c r="CT21" s="3">
        <v>154.40223598019867</v>
      </c>
      <c r="CU21" s="3">
        <v>77.440223860742122</v>
      </c>
      <c r="CV21" s="3">
        <v>1131.1210816314763</v>
      </c>
      <c r="CW21" s="162">
        <f t="shared" si="1"/>
        <v>6018.1798758716086</v>
      </c>
      <c r="CY21" s="3">
        <v>4746.0135611313108</v>
      </c>
      <c r="CZ21" s="3">
        <v>182.29876634156565</v>
      </c>
      <c r="DA21" s="3">
        <v>91.365602497686382</v>
      </c>
      <c r="DB21" s="3">
        <v>1130.8458595684688</v>
      </c>
      <c r="DC21" s="162">
        <f t="shared" si="8"/>
        <v>6150.5237895390319</v>
      </c>
      <c r="DE21" s="3">
        <v>4786.2063639808175</v>
      </c>
      <c r="DF21" s="3">
        <v>207.3561173134112</v>
      </c>
      <c r="DG21" s="3">
        <v>83.660666021134162</v>
      </c>
      <c r="DH21" s="3">
        <v>1152.3870825886106</v>
      </c>
      <c r="DI21" s="237">
        <f t="shared" si="7"/>
        <v>6229.610229903974</v>
      </c>
    </row>
    <row r="22" spans="1:113" ht="15.75">
      <c r="A22" s="1" t="s">
        <v>15</v>
      </c>
      <c r="B22" s="48">
        <v>4913.8100000000004</v>
      </c>
      <c r="C22" s="48">
        <v>5076</v>
      </c>
      <c r="D22" s="48">
        <v>5452.1345768466836</v>
      </c>
      <c r="E22" s="48">
        <v>5816.0766720466945</v>
      </c>
      <c r="F22" s="48">
        <v>6444.4754866754884</v>
      </c>
      <c r="G22" s="48">
        <v>6533.0498758240774</v>
      </c>
      <c r="H22" s="48">
        <v>6269.8047600017762</v>
      </c>
      <c r="I22" s="48">
        <v>6284.5597192888354</v>
      </c>
      <c r="J22" s="48">
        <v>6359.2990990991002</v>
      </c>
      <c r="K22" s="87">
        <v>6571.9937421611985</v>
      </c>
      <c r="L22" s="239">
        <f t="shared" si="3"/>
        <v>3.3446239868200256</v>
      </c>
      <c r="M22" s="244">
        <f t="shared" si="5"/>
        <v>39.191224021492282</v>
      </c>
      <c r="N22" s="49">
        <v>1868.13</v>
      </c>
      <c r="O22" s="49">
        <v>2061.31</v>
      </c>
      <c r="P22" s="49">
        <v>2182.19</v>
      </c>
      <c r="Q22" s="49">
        <v>2394.86</v>
      </c>
      <c r="R22" s="49">
        <v>2629.27</v>
      </c>
      <c r="S22" s="49">
        <v>2934.52</v>
      </c>
      <c r="T22" s="49">
        <v>3093.08</v>
      </c>
      <c r="U22" s="49">
        <v>3057.72</v>
      </c>
      <c r="V22" s="49">
        <v>3137.47</v>
      </c>
      <c r="W22" s="49">
        <v>3282.11</v>
      </c>
      <c r="X22" s="49">
        <v>3532.64</v>
      </c>
      <c r="Y22" s="48">
        <f>3042.02+502.85</f>
        <v>3544.87</v>
      </c>
      <c r="Z22" s="57">
        <v>3782.27</v>
      </c>
      <c r="AA22" s="57">
        <v>3668.21</v>
      </c>
      <c r="AB22" s="48">
        <v>3767.53</v>
      </c>
      <c r="AC22" s="48">
        <v>4079.3</v>
      </c>
      <c r="AD22" s="48">
        <v>4456.37</v>
      </c>
      <c r="AE22" s="48">
        <v>4382.8761915311852</v>
      </c>
      <c r="AF22" s="48">
        <v>4721.5575467217877</v>
      </c>
      <c r="AG22" s="48"/>
      <c r="AH22" s="48"/>
      <c r="AI22" s="48"/>
      <c r="AJ22" s="323">
        <v>3432.4707228414013</v>
      </c>
      <c r="AK22" s="323">
        <v>156.2267050632789</v>
      </c>
      <c r="AL22" s="323">
        <v>155.6361448200401</v>
      </c>
      <c r="AM22" s="323">
        <v>638.54261880646447</v>
      </c>
      <c r="AN22" s="210">
        <f>SUM(AJ22:AM22)</f>
        <v>4382.8761915311852</v>
      </c>
      <c r="AO22" s="48"/>
      <c r="AP22" s="48">
        <v>3559.8914276235387</v>
      </c>
      <c r="AQ22" s="48">
        <v>226.03797418771396</v>
      </c>
      <c r="AR22" s="48">
        <v>194.43611181706609</v>
      </c>
      <c r="AS22" s="48">
        <v>741.19203309346938</v>
      </c>
      <c r="AT22" s="48">
        <f t="shared" si="6"/>
        <v>4721.5575467217877</v>
      </c>
      <c r="AU22" s="48"/>
      <c r="AV22" s="96">
        <v>3612.77</v>
      </c>
      <c r="AW22" s="96">
        <v>303.17</v>
      </c>
      <c r="AX22" s="163">
        <v>199.19</v>
      </c>
      <c r="AY22" s="163">
        <v>798.68</v>
      </c>
      <c r="AZ22" s="163">
        <f>SUM(AV22:AY22)</f>
        <v>4913.8100000000004</v>
      </c>
      <c r="BB22" s="3">
        <v>3777</v>
      </c>
      <c r="BC22" s="3">
        <v>306</v>
      </c>
      <c r="BD22" s="3">
        <v>145</v>
      </c>
      <c r="BE22" s="3">
        <v>848</v>
      </c>
      <c r="BF22" s="163">
        <f>SUM(BB22:BE22)</f>
        <v>5076</v>
      </c>
      <c r="BH22" s="237">
        <v>4346.7066447811249</v>
      </c>
      <c r="BI22" s="237">
        <v>292.91647201917743</v>
      </c>
      <c r="BJ22" s="96">
        <v>190.28816173257917</v>
      </c>
      <c r="BK22" s="237">
        <v>972.33734515782396</v>
      </c>
      <c r="BL22" s="163">
        <f>SUM(BH22:BK22)</f>
        <v>5802.2486236907052</v>
      </c>
      <c r="BN22" s="237">
        <v>4084.4215976298524</v>
      </c>
      <c r="BO22" s="237">
        <v>275.24157077706639</v>
      </c>
      <c r="BP22" s="96">
        <v>178.80596531330099</v>
      </c>
      <c r="BQ22" s="237">
        <v>913.66544312646329</v>
      </c>
      <c r="BR22" s="163">
        <f>SUM(BN22:BQ22)</f>
        <v>5452.1345768466836</v>
      </c>
      <c r="BS22" s="3">
        <f>BL22-BR22</f>
        <v>350.11404684402169</v>
      </c>
      <c r="BU22" s="3">
        <v>4260.4170775387456</v>
      </c>
      <c r="BV22" s="3">
        <v>328.76081496385063</v>
      </c>
      <c r="BW22" s="3">
        <v>180.10819164695218</v>
      </c>
      <c r="BX22" s="3">
        <v>1046.7905878971458</v>
      </c>
      <c r="BY22" s="163">
        <f>SUM(BU22:BX22)</f>
        <v>5816.0766720466945</v>
      </c>
      <c r="CA22" s="3">
        <v>4791.9177070941796</v>
      </c>
      <c r="CB22" s="3">
        <v>329.43573882397413</v>
      </c>
      <c r="CC22" s="3">
        <v>176.17378900908309</v>
      </c>
      <c r="CD22" s="3">
        <v>1146.9482517482516</v>
      </c>
      <c r="CE22" s="163">
        <f>SUM(CA22:CD22)</f>
        <v>6444.4754866754884</v>
      </c>
      <c r="CG22" s="263">
        <v>4953.2475571209252</v>
      </c>
      <c r="CH22" s="3">
        <v>267.68341461211958</v>
      </c>
      <c r="CI22" s="3">
        <v>169.97346924952589</v>
      </c>
      <c r="CJ22" s="3">
        <v>1142.1454348415064</v>
      </c>
      <c r="CK22" s="163">
        <f>SUM(CG22:CJ22)</f>
        <v>6533.0498758240774</v>
      </c>
      <c r="CM22" s="263">
        <v>4741.5368633719645</v>
      </c>
      <c r="CN22" s="3">
        <v>238.85296834065986</v>
      </c>
      <c r="CO22" s="3">
        <v>161.11068114204517</v>
      </c>
      <c r="CP22" s="3">
        <v>1128.3042471471069</v>
      </c>
      <c r="CQ22" s="163">
        <f>SUM(CM22:CP22)</f>
        <v>6269.8047600017762</v>
      </c>
      <c r="CS22" s="3">
        <v>4740.8433940125378</v>
      </c>
      <c r="CT22" s="3">
        <v>239.13928503581522</v>
      </c>
      <c r="CU22" s="3">
        <v>204.81455853922915</v>
      </c>
      <c r="CV22" s="3">
        <v>1099.7624817012527</v>
      </c>
      <c r="CW22" s="162">
        <f t="shared" si="1"/>
        <v>6284.5597192888354</v>
      </c>
      <c r="CY22" s="3">
        <v>4699.9478656434221</v>
      </c>
      <c r="CZ22" s="3">
        <v>248.48949393838282</v>
      </c>
      <c r="DA22" s="3">
        <v>285.7673673673674</v>
      </c>
      <c r="DB22" s="3">
        <v>1125.0943721499277</v>
      </c>
      <c r="DC22" s="162">
        <f t="shared" si="8"/>
        <v>6359.2990990991002</v>
      </c>
      <c r="DE22" s="3">
        <v>4790.949079147138</v>
      </c>
      <c r="DF22" s="3">
        <v>283.25931524633086</v>
      </c>
      <c r="DG22" s="3">
        <v>293.22114991088523</v>
      </c>
      <c r="DH22" s="3">
        <v>1204.5641978568444</v>
      </c>
      <c r="DI22" s="237">
        <f t="shared" si="7"/>
        <v>6571.9937421611985</v>
      </c>
    </row>
    <row r="23" spans="1:113" ht="15.75">
      <c r="B23" s="48"/>
      <c r="C23" s="48"/>
      <c r="D23" s="48"/>
      <c r="E23" s="48"/>
      <c r="F23" s="48"/>
      <c r="G23" s="48"/>
      <c r="H23" s="48"/>
      <c r="I23" s="48"/>
      <c r="J23" s="48"/>
      <c r="K23" s="87"/>
      <c r="L23" s="239"/>
      <c r="M23" s="244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8"/>
      <c r="Z23" s="57"/>
      <c r="AA23" s="57"/>
      <c r="AB23" s="48"/>
      <c r="AC23" s="48"/>
      <c r="AD23" s="48"/>
      <c r="AE23" s="48"/>
      <c r="AF23" s="48"/>
      <c r="AG23" s="48"/>
      <c r="AH23" s="48"/>
      <c r="AI23" s="48"/>
      <c r="AJ23" s="323"/>
      <c r="AK23" s="323"/>
      <c r="AL23" s="323"/>
      <c r="AM23" s="323"/>
      <c r="AN23" s="210"/>
      <c r="AO23" s="48"/>
      <c r="AP23" s="48"/>
      <c r="AQ23" s="48"/>
      <c r="AR23" s="48"/>
      <c r="AS23" s="48"/>
      <c r="AT23" s="48"/>
      <c r="AU23" s="48"/>
      <c r="AV23" s="96"/>
      <c r="AW23" s="96"/>
      <c r="AY23" s="163"/>
      <c r="AZ23" s="163"/>
      <c r="BF23" s="163"/>
      <c r="BH23" s="237"/>
      <c r="BI23" s="237"/>
      <c r="BJ23" s="96"/>
      <c r="BK23" s="237"/>
      <c r="BL23" s="163"/>
      <c r="BN23" s="237"/>
      <c r="BO23" s="237"/>
      <c r="BP23" s="96"/>
      <c r="BQ23" s="237"/>
      <c r="BR23" s="163"/>
      <c r="BY23" s="163"/>
      <c r="CE23" s="163"/>
      <c r="CG23" s="263"/>
      <c r="CK23" s="163"/>
      <c r="CM23" s="263"/>
      <c r="CQ23" s="163"/>
      <c r="CW23" s="163"/>
      <c r="DC23" s="163"/>
      <c r="DI23" s="237"/>
    </row>
    <row r="24" spans="1:113" ht="15.75">
      <c r="A24" s="1" t="s">
        <v>16</v>
      </c>
      <c r="B24" s="48">
        <v>4581.21</v>
      </c>
      <c r="C24" s="48">
        <v>4688</v>
      </c>
      <c r="D24" s="48">
        <v>4964.2194183778183</v>
      </c>
      <c r="E24" s="48">
        <v>5336.2560759040816</v>
      </c>
      <c r="F24" s="48">
        <v>5931.3101196156367</v>
      </c>
      <c r="G24" s="48">
        <v>6104.999341600982</v>
      </c>
      <c r="H24" s="48">
        <v>6096.9224667088765</v>
      </c>
      <c r="I24" s="48">
        <v>6126.1684708355224</v>
      </c>
      <c r="J24" s="48">
        <v>6054.1747652472004</v>
      </c>
      <c r="K24" s="87">
        <v>5990.3870968220654</v>
      </c>
      <c r="L24" s="239">
        <f t="shared" si="3"/>
        <v>-1.0536145866038691</v>
      </c>
      <c r="M24" s="244">
        <f t="shared" si="5"/>
        <v>38.038700141632013</v>
      </c>
      <c r="N24" s="49">
        <v>1853.06</v>
      </c>
      <c r="O24" s="49">
        <v>1946.8</v>
      </c>
      <c r="P24" s="49">
        <v>2105.61</v>
      </c>
      <c r="Q24" s="49">
        <v>2312.21</v>
      </c>
      <c r="R24" s="49">
        <v>2586.2800000000002</v>
      </c>
      <c r="S24" s="49">
        <v>2867.38</v>
      </c>
      <c r="T24" s="49">
        <v>3107.75</v>
      </c>
      <c r="U24" s="49">
        <v>3140.46</v>
      </c>
      <c r="V24" s="49">
        <v>3179.21</v>
      </c>
      <c r="W24" s="49">
        <v>3276.66</v>
      </c>
      <c r="X24" s="49">
        <v>3468.41</v>
      </c>
      <c r="Y24" s="48">
        <f>3020.1+431.55</f>
        <v>3451.65</v>
      </c>
      <c r="Z24" s="57">
        <v>3454.18</v>
      </c>
      <c r="AA24" s="57">
        <v>3317.06</v>
      </c>
      <c r="AB24" s="48">
        <v>3511.87</v>
      </c>
      <c r="AC24" s="48">
        <v>3646.57</v>
      </c>
      <c r="AD24" s="48">
        <v>3889.25</v>
      </c>
      <c r="AE24" s="48">
        <v>4161.2543206565151</v>
      </c>
      <c r="AF24" s="48">
        <v>4339.6432237305489</v>
      </c>
      <c r="AG24" s="48"/>
      <c r="AH24" s="48"/>
      <c r="AI24" s="48"/>
      <c r="AJ24" s="323">
        <v>3336.3885285583287</v>
      </c>
      <c r="AK24" s="323">
        <v>181.54858189647115</v>
      </c>
      <c r="AL24" s="323">
        <v>68.126034486051793</v>
      </c>
      <c r="AM24" s="323">
        <v>575.19117571566392</v>
      </c>
      <c r="AN24" s="210">
        <f>SUM(AJ24:AM24)</f>
        <v>4161.2543206565151</v>
      </c>
      <c r="AO24" s="48"/>
      <c r="AP24" s="48">
        <v>3485.6657106448474</v>
      </c>
      <c r="AQ24" s="48">
        <v>175.2409313409502</v>
      </c>
      <c r="AR24" s="48">
        <v>75.354746340278439</v>
      </c>
      <c r="AS24" s="48">
        <v>603.38183540447267</v>
      </c>
      <c r="AT24" s="48">
        <f t="shared" si="6"/>
        <v>4339.6432237305489</v>
      </c>
      <c r="AU24" s="48"/>
      <c r="AV24" s="96">
        <v>3593.25</v>
      </c>
      <c r="AW24" s="96">
        <v>255.71</v>
      </c>
      <c r="AX24" s="163">
        <v>55.05</v>
      </c>
      <c r="AY24" s="163">
        <v>677.2</v>
      </c>
      <c r="AZ24" s="163">
        <f>SUM(AV24:AY24)</f>
        <v>4581.21</v>
      </c>
      <c r="BB24" s="3">
        <v>3736</v>
      </c>
      <c r="BC24" s="3">
        <v>184</v>
      </c>
      <c r="BD24" s="3">
        <v>52</v>
      </c>
      <c r="BE24" s="3">
        <v>716</v>
      </c>
      <c r="BF24" s="163">
        <f>SUM(BB24:BE24)</f>
        <v>4688</v>
      </c>
      <c r="BH24" s="237">
        <v>3896.760797010088</v>
      </c>
      <c r="BI24" s="237">
        <v>247.82242859200397</v>
      </c>
      <c r="BJ24" s="96">
        <v>52.047827447438735</v>
      </c>
      <c r="BK24" s="237">
        <v>777.75531667621829</v>
      </c>
      <c r="BL24" s="163">
        <f>SUM(BH24:BK24)</f>
        <v>4974.3863697257493</v>
      </c>
      <c r="BN24" s="237">
        <v>3888.7963619033098</v>
      </c>
      <c r="BO24" s="237">
        <v>247.31591414235143</v>
      </c>
      <c r="BP24" s="96">
        <v>51.941448953672321</v>
      </c>
      <c r="BQ24" s="237">
        <v>776.16569337848534</v>
      </c>
      <c r="BR24" s="163">
        <f>SUM(BN24:BQ24)</f>
        <v>4964.2194183778183</v>
      </c>
      <c r="BS24" s="3">
        <f>BL24-BR24</f>
        <v>10.16695134793099</v>
      </c>
      <c r="BU24" s="3">
        <v>4170.7684333616207</v>
      </c>
      <c r="BV24" s="3">
        <v>260.5769090919577</v>
      </c>
      <c r="BW24" s="3">
        <v>46.698778409760862</v>
      </c>
      <c r="BX24" s="3">
        <v>858.21195504074205</v>
      </c>
      <c r="BY24" s="163">
        <f>SUM(BU24:BX24)</f>
        <v>5336.2560759040816</v>
      </c>
      <c r="CA24" s="3">
        <v>4623.3753972513032</v>
      </c>
      <c r="CB24" s="3">
        <v>279.75307219822241</v>
      </c>
      <c r="CC24" s="3">
        <v>57.208101611203034</v>
      </c>
      <c r="CD24" s="3">
        <v>970.97354855490823</v>
      </c>
      <c r="CE24" s="163">
        <f>SUM(CA24:CD24)</f>
        <v>5931.3101196156367</v>
      </c>
      <c r="CG24" s="263">
        <v>4789.6711210760104</v>
      </c>
      <c r="CH24" s="3">
        <v>250.42967614358437</v>
      </c>
      <c r="CI24" s="3">
        <v>34.463683189477599</v>
      </c>
      <c r="CJ24" s="3">
        <v>1030.4348611919095</v>
      </c>
      <c r="CK24" s="163">
        <f>SUM(CG24:CJ24)</f>
        <v>6104.999341600982</v>
      </c>
      <c r="CM24" s="263">
        <v>4708.3115757382366</v>
      </c>
      <c r="CN24" s="3">
        <v>250.78949391511571</v>
      </c>
      <c r="CO24" s="3">
        <v>40.072040692196076</v>
      </c>
      <c r="CP24" s="3">
        <v>1097.7493563633279</v>
      </c>
      <c r="CQ24" s="163">
        <f>SUM(CM24:CP24)</f>
        <v>6096.9224667088765</v>
      </c>
      <c r="CS24" s="3">
        <v>4676.735722193861</v>
      </c>
      <c r="CT24" s="3">
        <v>296.17496364659871</v>
      </c>
      <c r="CU24" s="3">
        <v>43.769112402844364</v>
      </c>
      <c r="CV24" s="3">
        <v>1109.488672592219</v>
      </c>
      <c r="CW24" s="162">
        <f t="shared" si="1"/>
        <v>6126.1684708355224</v>
      </c>
      <c r="CY24" s="3">
        <v>4717.0983267400752</v>
      </c>
      <c r="CZ24" s="3">
        <v>211.106122150456</v>
      </c>
      <c r="DA24" s="3">
        <v>44.722534825171749</v>
      </c>
      <c r="DB24" s="3">
        <v>1081.2477815314978</v>
      </c>
      <c r="DC24" s="162">
        <f t="shared" ref="DC24:DC28" si="9">SUM(CY24:DB24)</f>
        <v>6054.1747652472004</v>
      </c>
      <c r="DE24" s="3">
        <v>4682.501165753125</v>
      </c>
      <c r="DF24" s="3">
        <v>174.48929500751933</v>
      </c>
      <c r="DG24" s="3">
        <v>45.648461740145628</v>
      </c>
      <c r="DH24" s="3">
        <v>1087.7481743212761</v>
      </c>
      <c r="DI24" s="237">
        <f t="shared" si="7"/>
        <v>5990.3870968220654</v>
      </c>
    </row>
    <row r="25" spans="1:113" ht="15.75">
      <c r="A25" s="1" t="s">
        <v>17</v>
      </c>
      <c r="B25" s="48">
        <v>4642.62</v>
      </c>
      <c r="C25" s="48">
        <v>4822</v>
      </c>
      <c r="D25" s="48">
        <v>5080.3976697693415</v>
      </c>
      <c r="E25" s="48">
        <v>5575.0526042688643</v>
      </c>
      <c r="F25" s="48">
        <v>6042.1643839273793</v>
      </c>
      <c r="G25" s="48">
        <v>6219.0413744581374</v>
      </c>
      <c r="H25" s="48">
        <v>6438.8803679839966</v>
      </c>
      <c r="I25" s="48">
        <v>6360.2217550056084</v>
      </c>
      <c r="J25" s="48">
        <v>6720.0651912640642</v>
      </c>
      <c r="K25" s="87">
        <v>6613.1645387544841</v>
      </c>
      <c r="L25" s="239">
        <f t="shared" si="3"/>
        <v>-1.590768087317793</v>
      </c>
      <c r="M25" s="244">
        <f t="shared" si="5"/>
        <v>47.30688892233497</v>
      </c>
      <c r="N25" s="49">
        <v>1536.75</v>
      </c>
      <c r="O25" s="49">
        <v>1797.12</v>
      </c>
      <c r="P25" s="49">
        <v>2021.39</v>
      </c>
      <c r="Q25" s="49">
        <v>2186.5700000000002</v>
      </c>
      <c r="R25" s="49">
        <v>2428.6799999999998</v>
      </c>
      <c r="S25" s="49">
        <v>2598.25</v>
      </c>
      <c r="T25" s="49">
        <v>2791.29</v>
      </c>
      <c r="U25" s="49">
        <v>2872.83</v>
      </c>
      <c r="V25" s="49">
        <v>2981.22</v>
      </c>
      <c r="W25" s="49">
        <v>3072.97</v>
      </c>
      <c r="X25" s="49">
        <v>3254.81</v>
      </c>
      <c r="Y25" s="48">
        <f>2934.34+424.37</f>
        <v>3358.71</v>
      </c>
      <c r="Z25" s="57">
        <v>3558.03</v>
      </c>
      <c r="AA25" s="57">
        <v>3433.41</v>
      </c>
      <c r="AB25" s="48">
        <v>3581.33</v>
      </c>
      <c r="AC25" s="48">
        <v>3733.58</v>
      </c>
      <c r="AD25" s="48">
        <v>4059.82</v>
      </c>
      <c r="AE25" s="48">
        <v>4369.5960594552635</v>
      </c>
      <c r="AF25" s="48">
        <v>4489.3790013046582</v>
      </c>
      <c r="AG25" s="48"/>
      <c r="AH25" s="48"/>
      <c r="AI25" s="48"/>
      <c r="AJ25" s="323">
        <v>3436.8216587039065</v>
      </c>
      <c r="AK25" s="323">
        <v>232.44689044060596</v>
      </c>
      <c r="AL25" s="323">
        <v>116.05612519906896</v>
      </c>
      <c r="AM25" s="323">
        <v>584.27138511168278</v>
      </c>
      <c r="AN25" s="210">
        <f>SUM(AJ25:AM25)</f>
        <v>4369.5960594552635</v>
      </c>
      <c r="AO25" s="48"/>
      <c r="AP25" s="48">
        <v>3583.1319452043263</v>
      </c>
      <c r="AQ25" s="48">
        <v>218.93046378519423</v>
      </c>
      <c r="AR25" s="48">
        <v>70.653049114094529</v>
      </c>
      <c r="AS25" s="48">
        <v>616.66354320104381</v>
      </c>
      <c r="AT25" s="48">
        <f t="shared" si="6"/>
        <v>4489.3790013046582</v>
      </c>
      <c r="AU25" s="48"/>
      <c r="AV25" s="96">
        <v>3689.68</v>
      </c>
      <c r="AW25" s="96">
        <v>224.34</v>
      </c>
      <c r="AX25" s="163">
        <v>80.260000000000005</v>
      </c>
      <c r="AY25" s="163">
        <v>648.34</v>
      </c>
      <c r="AZ25" s="163">
        <f>SUM(AV25:AY25)</f>
        <v>4642.62</v>
      </c>
      <c r="BB25" s="3">
        <v>3878</v>
      </c>
      <c r="BC25" s="3">
        <v>187</v>
      </c>
      <c r="BD25" s="3">
        <v>61</v>
      </c>
      <c r="BE25" s="3">
        <v>696</v>
      </c>
      <c r="BF25" s="163">
        <f>SUM(BB25:BE25)</f>
        <v>4822</v>
      </c>
      <c r="BH25" s="237">
        <v>4039.2794363593371</v>
      </c>
      <c r="BI25" s="237">
        <v>217.29028783937747</v>
      </c>
      <c r="BJ25" s="96">
        <v>81.355637481459198</v>
      </c>
      <c r="BK25" s="237">
        <v>742.472308089168</v>
      </c>
      <c r="BL25" s="163">
        <f>SUM(BH25:BK25)</f>
        <v>5080.3976697693415</v>
      </c>
      <c r="BN25" s="237">
        <v>4039.2794363593371</v>
      </c>
      <c r="BO25" s="237">
        <v>217.29028783937747</v>
      </c>
      <c r="BP25" s="96">
        <v>81.355637481459198</v>
      </c>
      <c r="BQ25" s="237">
        <v>742.472308089168</v>
      </c>
      <c r="BR25" s="163">
        <f>SUM(BN25:BQ25)</f>
        <v>5080.3976697693415</v>
      </c>
      <c r="BS25" s="3">
        <f>BL25-BR25</f>
        <v>0</v>
      </c>
      <c r="BU25" s="3">
        <v>4424.8207992674479</v>
      </c>
      <c r="BV25" s="3">
        <v>244.36859615845816</v>
      </c>
      <c r="BW25" s="3">
        <v>105.42393441908126</v>
      </c>
      <c r="BX25" s="3">
        <v>800.43927442387769</v>
      </c>
      <c r="BY25" s="163">
        <f>SUM(BU25:BX25)</f>
        <v>5575.0526042688643</v>
      </c>
      <c r="CA25" s="3">
        <v>4774.0168179593284</v>
      </c>
      <c r="CB25" s="3">
        <v>309.3564811106661</v>
      </c>
      <c r="CC25" s="3">
        <v>94.794086236817506</v>
      </c>
      <c r="CD25" s="3">
        <v>863.99699862056684</v>
      </c>
      <c r="CE25" s="163">
        <f>SUM(CA25:CD25)</f>
        <v>6042.1643839273793</v>
      </c>
      <c r="CG25" s="263">
        <v>5026.8588570391048</v>
      </c>
      <c r="CH25" s="3">
        <v>167.90781870588501</v>
      </c>
      <c r="CI25" s="3">
        <v>117.22119334558904</v>
      </c>
      <c r="CJ25" s="3">
        <v>907.05350536755839</v>
      </c>
      <c r="CK25" s="163">
        <f>SUM(CG25:CJ25)</f>
        <v>6219.0413744581374</v>
      </c>
      <c r="CM25" s="263">
        <v>5216.4165243888247</v>
      </c>
      <c r="CN25" s="3">
        <v>168.53273243236953</v>
      </c>
      <c r="CO25" s="3">
        <v>116.86340862040889</v>
      </c>
      <c r="CP25" s="3">
        <v>937.06770254239268</v>
      </c>
      <c r="CQ25" s="163">
        <f>SUM(CM25:CP25)</f>
        <v>6438.8803679839966</v>
      </c>
      <c r="CS25" s="3">
        <v>5132.5096532467842</v>
      </c>
      <c r="CT25" s="3">
        <v>150.74284418776696</v>
      </c>
      <c r="CU25" s="3">
        <v>107.01919194329763</v>
      </c>
      <c r="CV25" s="3">
        <v>969.9500656277595</v>
      </c>
      <c r="CW25" s="162">
        <f t="shared" si="1"/>
        <v>6360.2217550056084</v>
      </c>
      <c r="CY25" s="3">
        <v>5488.9178530774325</v>
      </c>
      <c r="CZ25" s="3">
        <v>153.52750761085375</v>
      </c>
      <c r="DA25" s="3">
        <v>91.56875446724024</v>
      </c>
      <c r="DB25" s="3">
        <v>986.05107610853759</v>
      </c>
      <c r="DC25" s="162">
        <f t="shared" si="9"/>
        <v>6720.0651912640642</v>
      </c>
      <c r="DE25" s="3">
        <v>5213.9207731718661</v>
      </c>
      <c r="DF25" s="3">
        <v>234.01514562042794</v>
      </c>
      <c r="DG25" s="3">
        <v>87.034896846488934</v>
      </c>
      <c r="DH25" s="3">
        <v>1078.1937231157017</v>
      </c>
      <c r="DI25" s="237">
        <f t="shared" si="7"/>
        <v>6613.1645387544841</v>
      </c>
    </row>
    <row r="26" spans="1:113" ht="15.75">
      <c r="A26" s="1" t="s">
        <v>18</v>
      </c>
      <c r="B26" s="48">
        <v>4082.57</v>
      </c>
      <c r="C26" s="48">
        <v>4304</v>
      </c>
      <c r="D26" s="48">
        <v>4804.6579898926566</v>
      </c>
      <c r="E26" s="48">
        <v>5416.1675650564566</v>
      </c>
      <c r="F26" s="48">
        <v>5712.1295345582494</v>
      </c>
      <c r="G26" s="48">
        <v>5834.1441867886388</v>
      </c>
      <c r="H26" s="48">
        <v>5889.9754611790195</v>
      </c>
      <c r="I26" s="48">
        <v>6065.6138295860965</v>
      </c>
      <c r="J26" s="48">
        <v>5947.8804339147637</v>
      </c>
      <c r="K26" s="87">
        <v>5900.5216924801916</v>
      </c>
      <c r="L26" s="239">
        <f t="shared" si="3"/>
        <v>-0.7962288744833016</v>
      </c>
      <c r="M26" s="244">
        <f t="shared" si="5"/>
        <v>47.207520589528691</v>
      </c>
      <c r="N26" s="49">
        <v>1807.13</v>
      </c>
      <c r="O26" s="49">
        <v>1978.66</v>
      </c>
      <c r="P26" s="49">
        <v>2149.69</v>
      </c>
      <c r="Q26" s="49">
        <v>2283.7600000000002</v>
      </c>
      <c r="R26" s="49">
        <v>2529.73</v>
      </c>
      <c r="S26" s="49">
        <v>2699.94</v>
      </c>
      <c r="T26" s="49">
        <v>2879.32</v>
      </c>
      <c r="U26" s="49">
        <v>2949.31</v>
      </c>
      <c r="V26" s="49">
        <v>3056.3</v>
      </c>
      <c r="W26" s="49">
        <v>3185.84</v>
      </c>
      <c r="X26" s="49">
        <v>3378.61</v>
      </c>
      <c r="Y26" s="48">
        <f>2992.77+428.76</f>
        <v>3421.5299999999997</v>
      </c>
      <c r="Z26" s="57">
        <v>3474.71</v>
      </c>
      <c r="AA26" s="57">
        <v>3334.61</v>
      </c>
      <c r="AB26" s="48">
        <v>3429.73</v>
      </c>
      <c r="AC26" s="48">
        <v>3565.27</v>
      </c>
      <c r="AD26" s="48">
        <v>3781</v>
      </c>
      <c r="AE26" s="48">
        <v>4084.6114288346012</v>
      </c>
      <c r="AF26" s="48">
        <v>4008.3017965726904</v>
      </c>
      <c r="AG26" s="48"/>
      <c r="AH26" s="48"/>
      <c r="AI26" s="48"/>
      <c r="AJ26" s="323">
        <v>3228.9140296464921</v>
      </c>
      <c r="AK26" s="323">
        <v>170.18009697942639</v>
      </c>
      <c r="AL26" s="323">
        <v>59.006728556296096</v>
      </c>
      <c r="AM26" s="323">
        <v>626.51057365238705</v>
      </c>
      <c r="AN26" s="210">
        <f>SUM(AJ26:AM26)</f>
        <v>4084.6114288346012</v>
      </c>
      <c r="AO26" s="48"/>
      <c r="AP26" s="48">
        <v>3179.4397402377485</v>
      </c>
      <c r="AQ26" s="48">
        <v>176.25588150339391</v>
      </c>
      <c r="AR26" s="48">
        <v>51.998296555261724</v>
      </c>
      <c r="AS26" s="48">
        <v>600.60787827628621</v>
      </c>
      <c r="AT26" s="48">
        <f t="shared" si="6"/>
        <v>4008.3017965726904</v>
      </c>
      <c r="AU26" s="48"/>
      <c r="AV26" s="96">
        <v>3208.27</v>
      </c>
      <c r="AW26" s="96">
        <v>171.85</v>
      </c>
      <c r="AX26" s="163">
        <v>62.87</v>
      </c>
      <c r="AY26" s="163">
        <v>639.58000000000004</v>
      </c>
      <c r="AZ26" s="163">
        <f>SUM(AV26:AY26)</f>
        <v>4082.5699999999997</v>
      </c>
      <c r="BB26" s="3">
        <v>3385</v>
      </c>
      <c r="BC26" s="3">
        <v>169</v>
      </c>
      <c r="BD26" s="3">
        <v>58</v>
      </c>
      <c r="BE26" s="3">
        <v>692</v>
      </c>
      <c r="BF26" s="163">
        <f>SUM(BB26:BE26)</f>
        <v>4304</v>
      </c>
      <c r="BH26" s="237">
        <v>3719.3955216124782</v>
      </c>
      <c r="BI26" s="237">
        <v>233.18525454201134</v>
      </c>
      <c r="BJ26" s="96">
        <v>48.2018876243717</v>
      </c>
      <c r="BK26" s="237">
        <v>803.87532611379527</v>
      </c>
      <c r="BL26" s="163">
        <f>SUM(BH26:BK26)</f>
        <v>4804.6579898926566</v>
      </c>
      <c r="BN26" s="237">
        <v>3719.3955216124782</v>
      </c>
      <c r="BO26" s="237">
        <v>233.18525454201134</v>
      </c>
      <c r="BP26" s="96">
        <v>48.2018876243717</v>
      </c>
      <c r="BQ26" s="237">
        <v>803.87532611379527</v>
      </c>
      <c r="BR26" s="163">
        <f>SUM(BN26:BQ26)</f>
        <v>4804.6579898926566</v>
      </c>
      <c r="BS26" s="3">
        <f>BL26-BR26</f>
        <v>0</v>
      </c>
      <c r="BU26" s="3">
        <v>4178.5466891108654</v>
      </c>
      <c r="BV26" s="3">
        <v>276.33031660960552</v>
      </c>
      <c r="BW26" s="3">
        <v>49.01195756386447</v>
      </c>
      <c r="BX26" s="3">
        <v>912.27860177212096</v>
      </c>
      <c r="BY26" s="163">
        <f>SUM(BU26:BX26)</f>
        <v>5416.1675650564566</v>
      </c>
      <c r="CA26" s="3">
        <v>4427.2376559711374</v>
      </c>
      <c r="CB26" s="3">
        <v>263.09596985221424</v>
      </c>
      <c r="CC26" s="3">
        <v>44.092375229510935</v>
      </c>
      <c r="CD26" s="3">
        <v>977.70353350538608</v>
      </c>
      <c r="CE26" s="163">
        <f>SUM(CA26:CD26)</f>
        <v>5712.1295345582494</v>
      </c>
      <c r="CG26" s="263">
        <v>4492.698671651433</v>
      </c>
      <c r="CH26" s="3">
        <v>228.98046964386248</v>
      </c>
      <c r="CI26" s="3">
        <v>74.077874434738391</v>
      </c>
      <c r="CJ26" s="3">
        <v>1038.3871710586054</v>
      </c>
      <c r="CK26" s="163">
        <f>SUM(CG26:CJ26)</f>
        <v>5834.1441867886388</v>
      </c>
      <c r="CM26" s="263">
        <v>4417.7374723188859</v>
      </c>
      <c r="CN26" s="3">
        <v>212.43502886096431</v>
      </c>
      <c r="CO26" s="3">
        <v>75.546187137293103</v>
      </c>
      <c r="CP26" s="3">
        <v>1184.2567728618769</v>
      </c>
      <c r="CQ26" s="163">
        <f>SUM(CM26:CP26)</f>
        <v>5889.9754611790195</v>
      </c>
      <c r="CS26" s="3">
        <v>4561.9138195290934</v>
      </c>
      <c r="CT26" s="3">
        <v>227.36835315903878</v>
      </c>
      <c r="CU26" s="3">
        <v>87.517536061060767</v>
      </c>
      <c r="CV26" s="3">
        <v>1188.8141208369036</v>
      </c>
      <c r="CW26" s="162">
        <f t="shared" si="1"/>
        <v>6065.6138295860965</v>
      </c>
      <c r="CY26" s="3">
        <v>4495.0197069282822</v>
      </c>
      <c r="CZ26" s="3">
        <v>230.30035594267687</v>
      </c>
      <c r="DA26" s="3">
        <v>89.343843821367543</v>
      </c>
      <c r="DB26" s="3">
        <v>1133.2165272224363</v>
      </c>
      <c r="DC26" s="162">
        <f t="shared" si="9"/>
        <v>5947.8804339147637</v>
      </c>
      <c r="DE26" s="3">
        <v>4462.3229550807137</v>
      </c>
      <c r="DF26" s="3">
        <v>207.79871379445393</v>
      </c>
      <c r="DG26" s="3">
        <v>82.096143797511829</v>
      </c>
      <c r="DH26" s="3">
        <v>1148.3038798075122</v>
      </c>
      <c r="DI26" s="237">
        <f t="shared" si="7"/>
        <v>5900.5216924801916</v>
      </c>
    </row>
    <row r="27" spans="1:113" ht="15.75">
      <c r="A27" s="1" t="s">
        <v>19</v>
      </c>
      <c r="B27" s="48">
        <v>5687.55</v>
      </c>
      <c r="C27" s="48">
        <v>6078</v>
      </c>
      <c r="D27" s="48">
        <v>6307.1630892418407</v>
      </c>
      <c r="E27" s="48">
        <v>6573.7740880072915</v>
      </c>
      <c r="F27" s="48">
        <v>7192.9734003569856</v>
      </c>
      <c r="G27" s="48">
        <v>7752.9179657651475</v>
      </c>
      <c r="H27" s="48">
        <v>7734.5198126636215</v>
      </c>
      <c r="I27" s="48">
        <v>7844.4309226868581</v>
      </c>
      <c r="J27" s="48">
        <v>7702.4127694634681</v>
      </c>
      <c r="K27" s="87">
        <v>7850.7996179083657</v>
      </c>
      <c r="L27" s="239">
        <f t="shared" si="3"/>
        <v>1.9264982660132599</v>
      </c>
      <c r="M27" s="244">
        <f t="shared" si="5"/>
        <v>54.727889590573419</v>
      </c>
      <c r="N27" s="49">
        <v>2200.37</v>
      </c>
      <c r="O27" s="49">
        <v>2439.84</v>
      </c>
      <c r="P27" s="49">
        <v>2706.88</v>
      </c>
      <c r="Q27" s="49">
        <v>2934.34</v>
      </c>
      <c r="R27" s="49">
        <v>3205.34</v>
      </c>
      <c r="S27" s="49">
        <v>3501.33</v>
      </c>
      <c r="T27" s="49">
        <v>3806.22</v>
      </c>
      <c r="U27" s="49">
        <v>3691.79</v>
      </c>
      <c r="V27" s="49">
        <v>3637.54</v>
      </c>
      <c r="W27" s="49">
        <v>3745.61</v>
      </c>
      <c r="X27" s="49">
        <v>3931.89</v>
      </c>
      <c r="Y27" s="48">
        <f>3445.87+615.57</f>
        <v>4061.44</v>
      </c>
      <c r="Z27" s="57">
        <v>4064.03</v>
      </c>
      <c r="AA27" s="57">
        <v>3802.87</v>
      </c>
      <c r="AB27" s="48">
        <v>3974.61</v>
      </c>
      <c r="AC27" s="48">
        <v>4304.01</v>
      </c>
      <c r="AD27" s="48">
        <v>4714.9399999999996</v>
      </c>
      <c r="AE27" s="48">
        <v>5059.7688176289575</v>
      </c>
      <c r="AF27" s="48">
        <v>5073.9395713871772</v>
      </c>
      <c r="AG27" s="48"/>
      <c r="AH27" s="48"/>
      <c r="AI27" s="48"/>
      <c r="AJ27" s="323">
        <v>3822.7775398446165</v>
      </c>
      <c r="AK27" s="323">
        <v>190.4821891051065</v>
      </c>
      <c r="AL27" s="323">
        <v>34.372869543692651</v>
      </c>
      <c r="AM27" s="323">
        <v>1012.136219135542</v>
      </c>
      <c r="AN27" s="210">
        <f>SUM(AJ27:AM27)</f>
        <v>5059.7688176289575</v>
      </c>
      <c r="AO27" s="48"/>
      <c r="AP27" s="48">
        <v>3724.7474342243049</v>
      </c>
      <c r="AQ27" s="48">
        <v>202.61772892734692</v>
      </c>
      <c r="AR27" s="48">
        <v>50.667168519885529</v>
      </c>
      <c r="AS27" s="48">
        <v>1095.9072397156401</v>
      </c>
      <c r="AT27" s="48">
        <f t="shared" si="6"/>
        <v>5073.9395713871772</v>
      </c>
      <c r="AU27" s="48"/>
      <c r="AV27" s="96">
        <v>4160.2299999999996</v>
      </c>
      <c r="AW27" s="96">
        <v>232.26</v>
      </c>
      <c r="AX27" s="163">
        <v>60.47</v>
      </c>
      <c r="AY27" s="163">
        <v>1234.5899999999999</v>
      </c>
      <c r="AZ27" s="163">
        <f>SUM(AV27:AY27)</f>
        <v>5687.55</v>
      </c>
      <c r="BB27" s="3">
        <v>4385</v>
      </c>
      <c r="BC27" s="3">
        <v>194</v>
      </c>
      <c r="BD27" s="3">
        <v>68</v>
      </c>
      <c r="BE27" s="3">
        <v>1431</v>
      </c>
      <c r="BF27" s="163">
        <f>SUM(BB27:BE27)</f>
        <v>6078</v>
      </c>
      <c r="BH27" s="237">
        <v>4570.9945228286342</v>
      </c>
      <c r="BI27" s="237">
        <v>243.12674444973112</v>
      </c>
      <c r="BJ27" s="96">
        <v>59.082564731763938</v>
      </c>
      <c r="BK27" s="237">
        <v>1433.9592572317115</v>
      </c>
      <c r="BL27" s="163">
        <f>SUM(BH27:BK27)</f>
        <v>6307.1630892418407</v>
      </c>
      <c r="BN27" s="237">
        <v>4570.9945228286342</v>
      </c>
      <c r="BO27" s="237">
        <v>243.12674444973112</v>
      </c>
      <c r="BP27" s="96">
        <v>59.082564731763938</v>
      </c>
      <c r="BQ27" s="237">
        <v>1433.9592572317115</v>
      </c>
      <c r="BR27" s="163">
        <f>SUM(BN27:BQ27)</f>
        <v>6307.1630892418407</v>
      </c>
      <c r="BS27" s="3">
        <f>BL27-BR27</f>
        <v>0</v>
      </c>
      <c r="BU27" s="3">
        <v>4800.1950942043868</v>
      </c>
      <c r="BV27" s="3">
        <v>184.19470585158106</v>
      </c>
      <c r="BW27" s="3">
        <v>69.121881001799366</v>
      </c>
      <c r="BX27" s="3">
        <v>1520.2624069495248</v>
      </c>
      <c r="BY27" s="163">
        <f>SUM(BU27:BX27)</f>
        <v>6573.7740880072915</v>
      </c>
      <c r="CA27" s="3">
        <v>5242.1033030210956</v>
      </c>
      <c r="CB27" s="3">
        <v>262.28941218137436</v>
      </c>
      <c r="CC27" s="3">
        <v>79.190764258792328</v>
      </c>
      <c r="CD27" s="3">
        <v>1609.3899208957237</v>
      </c>
      <c r="CE27" s="163">
        <f>SUM(CA27:CD27)</f>
        <v>7192.9734003569856</v>
      </c>
      <c r="CG27" s="263">
        <v>5669.7742857460598</v>
      </c>
      <c r="CH27" s="3">
        <v>269.08200794856782</v>
      </c>
      <c r="CI27" s="3">
        <v>62.537360392029584</v>
      </c>
      <c r="CJ27" s="3">
        <v>1751.5243116784902</v>
      </c>
      <c r="CK27" s="163">
        <f>SUM(CG27:CJ27)</f>
        <v>7752.9179657651475</v>
      </c>
      <c r="CM27" s="263">
        <v>5669.216050407621</v>
      </c>
      <c r="CN27" s="3">
        <v>262.40712356038659</v>
      </c>
      <c r="CO27" s="3">
        <v>56.991530643732389</v>
      </c>
      <c r="CP27" s="3">
        <v>1745.9051080518809</v>
      </c>
      <c r="CQ27" s="163">
        <f>SUM(CM27:CP27)</f>
        <v>7734.5198126636215</v>
      </c>
      <c r="CS27" s="3">
        <v>5683.7655140782772</v>
      </c>
      <c r="CT27" s="3">
        <v>355.9180169324826</v>
      </c>
      <c r="CU27" s="3">
        <v>60.386750159390708</v>
      </c>
      <c r="CV27" s="3">
        <v>1744.360641516708</v>
      </c>
      <c r="CW27" s="162">
        <f t="shared" si="1"/>
        <v>7844.4309226868581</v>
      </c>
      <c r="CY27" s="3">
        <v>5675.3951343138488</v>
      </c>
      <c r="CZ27" s="3">
        <v>282.94421898201438</v>
      </c>
      <c r="DA27" s="3">
        <v>57.574486153389621</v>
      </c>
      <c r="DB27" s="3">
        <v>1686.4989300142147</v>
      </c>
      <c r="DC27" s="162">
        <f t="shared" si="9"/>
        <v>7702.4127694634681</v>
      </c>
      <c r="DE27" s="3">
        <v>5814.3271873487784</v>
      </c>
      <c r="DF27" s="3">
        <v>236.07156262702514</v>
      </c>
      <c r="DG27" s="3">
        <v>59.493529024640445</v>
      </c>
      <c r="DH27" s="3">
        <v>1740.9073389079226</v>
      </c>
      <c r="DI27" s="237">
        <f t="shared" si="7"/>
        <v>7850.7996179083657</v>
      </c>
    </row>
    <row r="28" spans="1:113" ht="15.75">
      <c r="A28" s="1" t="s">
        <v>20</v>
      </c>
      <c r="B28" s="48">
        <v>5193.45</v>
      </c>
      <c r="C28" s="48">
        <v>5445</v>
      </c>
      <c r="D28" s="48">
        <v>5727.7674867307769</v>
      </c>
      <c r="E28" s="48">
        <v>6294.3242322707392</v>
      </c>
      <c r="F28" s="48">
        <v>6255.2528370007822</v>
      </c>
      <c r="G28" s="48">
        <v>7265.8834143795984</v>
      </c>
      <c r="H28" s="48">
        <v>7199.5817168779558</v>
      </c>
      <c r="I28" s="48">
        <v>7145.3851117342447</v>
      </c>
      <c r="J28" s="48">
        <v>6784.9956984673809</v>
      </c>
      <c r="K28" s="87">
        <v>6693.1185289691475</v>
      </c>
      <c r="L28" s="239">
        <f t="shared" si="3"/>
        <v>-1.3541227376015417</v>
      </c>
      <c r="M28" s="244">
        <f t="shared" si="5"/>
        <v>23.00180520468621</v>
      </c>
      <c r="N28" s="49">
        <v>1902.23</v>
      </c>
      <c r="O28" s="49">
        <v>2140.2399999999998</v>
      </c>
      <c r="P28" s="49">
        <v>2352.09</v>
      </c>
      <c r="Q28" s="49">
        <v>2592.9299999999998</v>
      </c>
      <c r="R28" s="49">
        <v>2914.57</v>
      </c>
      <c r="S28" s="49">
        <v>3139.42</v>
      </c>
      <c r="T28" s="49">
        <v>3328.6</v>
      </c>
      <c r="U28" s="49">
        <v>3356.2</v>
      </c>
      <c r="V28" s="49">
        <v>3436.13</v>
      </c>
      <c r="W28" s="49">
        <v>3690.61</v>
      </c>
      <c r="X28" s="49">
        <v>3917.35</v>
      </c>
      <c r="Y28" s="48">
        <f>3482.23+504.17</f>
        <v>3986.4</v>
      </c>
      <c r="Z28" s="57">
        <v>4060.32</v>
      </c>
      <c r="AA28" s="57">
        <v>4297.26</v>
      </c>
      <c r="AB28" s="48">
        <v>4156.62</v>
      </c>
      <c r="AC28" s="48">
        <v>4263.78</v>
      </c>
      <c r="AD28" s="48">
        <v>4850.9799999999996</v>
      </c>
      <c r="AE28" s="48">
        <v>5190.0806945190188</v>
      </c>
      <c r="AF28" s="48">
        <v>5441.4799179826578</v>
      </c>
      <c r="AG28" s="48"/>
      <c r="AH28" s="48"/>
      <c r="AI28" s="48"/>
      <c r="AJ28" s="323">
        <v>4032.6536406278437</v>
      </c>
      <c r="AK28" s="323">
        <v>227.72300195961895</v>
      </c>
      <c r="AL28" s="323">
        <v>168.9347256295633</v>
      </c>
      <c r="AM28" s="323">
        <v>760.76932630199246</v>
      </c>
      <c r="AN28" s="210">
        <f>SUM(AJ28:AM28)</f>
        <v>5190.0806945190188</v>
      </c>
      <c r="AO28" s="48"/>
      <c r="AP28" s="48">
        <v>4223.7761109538751</v>
      </c>
      <c r="AQ28" s="48">
        <v>191.246419742467</v>
      </c>
      <c r="AR28" s="48">
        <v>156.71301509556588</v>
      </c>
      <c r="AS28" s="48">
        <v>869.74437219075037</v>
      </c>
      <c r="AT28" s="48">
        <f t="shared" si="6"/>
        <v>5441.4799179826578</v>
      </c>
      <c r="AU28" s="48"/>
      <c r="AV28" s="96">
        <v>4042.76</v>
      </c>
      <c r="AW28" s="96">
        <v>170.6</v>
      </c>
      <c r="AX28" s="163">
        <v>123.44</v>
      </c>
      <c r="AY28" s="163">
        <v>856.65</v>
      </c>
      <c r="AZ28" s="163">
        <f>SUM(AV28:AY28)</f>
        <v>5193.45</v>
      </c>
      <c r="BB28" s="3">
        <v>4132</v>
      </c>
      <c r="BC28" s="3">
        <v>211</v>
      </c>
      <c r="BD28" s="3">
        <v>119</v>
      </c>
      <c r="BE28" s="3">
        <v>983</v>
      </c>
      <c r="BF28" s="163">
        <f>SUM(BB28:BE28)</f>
        <v>5445</v>
      </c>
      <c r="BH28" s="237">
        <v>4317.4243321009508</v>
      </c>
      <c r="BI28" s="237">
        <v>248.12295184349011</v>
      </c>
      <c r="BJ28" s="96">
        <v>124.54159314599615</v>
      </c>
      <c r="BK28" s="237">
        <v>1037.6786096403391</v>
      </c>
      <c r="BL28" s="163">
        <f>SUM(BH28:BK28)</f>
        <v>5727.7674867307769</v>
      </c>
      <c r="BN28" s="237">
        <v>4317.4243321009508</v>
      </c>
      <c r="BO28" s="237">
        <v>248.12295184349011</v>
      </c>
      <c r="BP28" s="96">
        <v>124.54159314599615</v>
      </c>
      <c r="BQ28" s="237">
        <v>1037.6786096403391</v>
      </c>
      <c r="BR28" s="163">
        <f>SUM(BN28:BQ28)</f>
        <v>5727.7674867307769</v>
      </c>
      <c r="BS28" s="3">
        <f>BL28-BR28</f>
        <v>0</v>
      </c>
      <c r="BU28" s="3">
        <v>4696.8136688667</v>
      </c>
      <c r="BV28" s="3">
        <v>306.72424360602332</v>
      </c>
      <c r="BW28" s="3">
        <v>132.82028280181203</v>
      </c>
      <c r="BX28" s="3">
        <v>1157.9660369962039</v>
      </c>
      <c r="BY28" s="163">
        <f>SUM(BU28:BX28)</f>
        <v>6294.3242322707392</v>
      </c>
      <c r="CA28" s="3">
        <v>4591.3510527502549</v>
      </c>
      <c r="CB28" s="3">
        <v>238.15531415383393</v>
      </c>
      <c r="CC28" s="3">
        <v>257.07154987863595</v>
      </c>
      <c r="CD28" s="3">
        <v>1168.6749202180574</v>
      </c>
      <c r="CE28" s="163">
        <f>SUM(CA28:CD28)</f>
        <v>6255.2528370007822</v>
      </c>
      <c r="CG28" s="263">
        <v>5383.1396733999063</v>
      </c>
      <c r="CH28" s="3">
        <v>309.29457197692562</v>
      </c>
      <c r="CI28" s="3">
        <v>194.43043066275058</v>
      </c>
      <c r="CJ28" s="3">
        <v>1379.0187383400155</v>
      </c>
      <c r="CK28" s="163">
        <f>SUM(CG28:CJ28)</f>
        <v>7265.8834143795984</v>
      </c>
      <c r="CM28" s="263">
        <v>5309.2447242600119</v>
      </c>
      <c r="CN28" s="3">
        <v>311.69075242067584</v>
      </c>
      <c r="CO28" s="3">
        <v>121.07714142072074</v>
      </c>
      <c r="CP28" s="3">
        <v>1457.5690987765468</v>
      </c>
      <c r="CQ28" s="163">
        <f>SUM(CM28:CP28)</f>
        <v>7199.5817168779558</v>
      </c>
      <c r="CS28" s="3">
        <v>5375.7756518971437</v>
      </c>
      <c r="CT28" s="3">
        <v>224.11568544447024</v>
      </c>
      <c r="CU28" s="3">
        <v>139.95111065843793</v>
      </c>
      <c r="CV28" s="3">
        <v>1405.5426637341936</v>
      </c>
      <c r="CW28" s="162">
        <f t="shared" si="1"/>
        <v>7145.3851117342447</v>
      </c>
      <c r="CY28" s="3">
        <v>5068.720791473288</v>
      </c>
      <c r="CZ28" s="3">
        <v>201.83510965045059</v>
      </c>
      <c r="DA28" s="3">
        <v>120.35172886735303</v>
      </c>
      <c r="DB28" s="3">
        <v>1394.0880684762894</v>
      </c>
      <c r="DC28" s="162">
        <f t="shared" si="9"/>
        <v>6784.9956984673809</v>
      </c>
      <c r="DE28" s="3">
        <v>4959.9662481188843</v>
      </c>
      <c r="DF28" s="3">
        <v>183.80562923250562</v>
      </c>
      <c r="DG28" s="3">
        <v>170.12589823175318</v>
      </c>
      <c r="DH28" s="3">
        <v>1379.2207533860044</v>
      </c>
      <c r="DI28" s="237">
        <f t="shared" si="7"/>
        <v>6693.1185289691475</v>
      </c>
    </row>
    <row r="29" spans="1:113" ht="15.75">
      <c r="B29" s="48"/>
      <c r="C29" s="48"/>
      <c r="D29" s="48"/>
      <c r="E29" s="48"/>
      <c r="F29" s="48"/>
      <c r="G29" s="48"/>
      <c r="H29" s="48"/>
      <c r="I29" s="48"/>
      <c r="J29" s="48"/>
      <c r="K29" s="87"/>
      <c r="L29" s="239"/>
      <c r="M29" s="244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8"/>
      <c r="Z29" s="57"/>
      <c r="AA29" s="57"/>
      <c r="AB29" s="48"/>
      <c r="AC29" s="48"/>
      <c r="AD29" s="48"/>
      <c r="AE29" s="48"/>
      <c r="AF29" s="48"/>
      <c r="AG29" s="48"/>
      <c r="AH29" s="48"/>
      <c r="AI29" s="48"/>
      <c r="AJ29" s="323"/>
      <c r="AK29" s="323"/>
      <c r="AL29" s="323"/>
      <c r="AM29" s="323"/>
      <c r="AN29" s="210"/>
      <c r="AO29" s="48"/>
      <c r="AP29" s="48"/>
      <c r="AQ29" s="48"/>
      <c r="AR29" s="48"/>
      <c r="AS29" s="48"/>
      <c r="AT29" s="48"/>
      <c r="AU29" s="48"/>
      <c r="AV29" s="96"/>
      <c r="AW29" s="96"/>
      <c r="AY29" s="163"/>
      <c r="AZ29" s="163"/>
      <c r="BF29" s="163"/>
      <c r="BH29" s="237"/>
      <c r="BI29" s="237"/>
      <c r="BJ29" s="96"/>
      <c r="BK29" s="237"/>
      <c r="BL29" s="163"/>
      <c r="BN29" s="237"/>
      <c r="BO29" s="237"/>
      <c r="BP29" s="96"/>
      <c r="BQ29" s="237"/>
      <c r="BR29" s="163"/>
      <c r="BY29" s="163"/>
      <c r="CE29" s="163"/>
      <c r="CG29" s="263"/>
      <c r="CK29" s="163"/>
      <c r="CM29" s="263"/>
      <c r="CQ29" s="163"/>
      <c r="CW29" s="163"/>
      <c r="DC29" s="163"/>
      <c r="DI29" s="237"/>
    </row>
    <row r="30" spans="1:113" ht="15.75">
      <c r="A30" s="1" t="s">
        <v>21</v>
      </c>
      <c r="B30" s="48">
        <v>6173.81</v>
      </c>
      <c r="C30" s="48">
        <v>6544</v>
      </c>
      <c r="D30" s="48">
        <v>6908.7592777783866</v>
      </c>
      <c r="E30" s="48">
        <v>7375.8609969937424</v>
      </c>
      <c r="F30" s="48">
        <v>7712.932889764872</v>
      </c>
      <c r="G30" s="48">
        <v>7936.72838920704</v>
      </c>
      <c r="H30" s="48">
        <v>7992.7782759483271</v>
      </c>
      <c r="I30" s="48">
        <v>7690.0251552108684</v>
      </c>
      <c r="J30" s="48">
        <v>7424.4064486172038</v>
      </c>
      <c r="K30" s="87">
        <v>7511.0207644032962</v>
      </c>
      <c r="L30" s="239">
        <f t="shared" si="3"/>
        <v>1.1666160303255537</v>
      </c>
      <c r="M30" s="244">
        <f t="shared" si="5"/>
        <v>25.314158802173335</v>
      </c>
      <c r="N30" s="49">
        <v>2770.55</v>
      </c>
      <c r="O30" s="49">
        <v>3038.35</v>
      </c>
      <c r="P30" s="49">
        <v>3528.28</v>
      </c>
      <c r="Q30" s="49">
        <v>3557.35</v>
      </c>
      <c r="R30" s="49">
        <v>3885.2</v>
      </c>
      <c r="S30" s="49">
        <v>4287.2</v>
      </c>
      <c r="T30" s="49">
        <v>4516.04</v>
      </c>
      <c r="U30" s="49">
        <v>4380.59</v>
      </c>
      <c r="V30" s="49">
        <v>4458.01</v>
      </c>
      <c r="W30" s="49">
        <v>4485.3999999999996</v>
      </c>
      <c r="X30" s="49">
        <v>4610.2299999999996</v>
      </c>
      <c r="Y30" s="48">
        <f>4008.99+697.5</f>
        <v>4706.49</v>
      </c>
      <c r="Z30" s="57">
        <v>4783.18</v>
      </c>
      <c r="AA30" s="57">
        <v>4514.96</v>
      </c>
      <c r="AB30" s="48">
        <v>4744.66</v>
      </c>
      <c r="AC30" s="48">
        <v>4970.18</v>
      </c>
      <c r="AD30" s="48">
        <v>5404.41</v>
      </c>
      <c r="AE30" s="48">
        <v>5770.0571508279627</v>
      </c>
      <c r="AF30" s="48">
        <v>5993.7526901972324</v>
      </c>
      <c r="AG30" s="48"/>
      <c r="AH30" s="48"/>
      <c r="AI30" s="48"/>
      <c r="AJ30" s="323">
        <v>4495.2147262399576</v>
      </c>
      <c r="AK30" s="323">
        <v>193.43928643703987</v>
      </c>
      <c r="AL30" s="323">
        <v>96.155304878347948</v>
      </c>
      <c r="AM30" s="323">
        <v>985.2478332726165</v>
      </c>
      <c r="AN30" s="210">
        <f>SUM(AJ30:AM30)</f>
        <v>5770.0571508279627</v>
      </c>
      <c r="AO30" s="48"/>
      <c r="AP30" s="48">
        <v>4701.039986964709</v>
      </c>
      <c r="AQ30" s="48">
        <v>180.94703018237195</v>
      </c>
      <c r="AR30" s="48">
        <v>72.703594470992101</v>
      </c>
      <c r="AS30" s="48">
        <v>1039.0620785791589</v>
      </c>
      <c r="AT30" s="48">
        <f t="shared" si="6"/>
        <v>5993.7526901972324</v>
      </c>
      <c r="AU30" s="48"/>
      <c r="AV30" s="96">
        <v>4827.33</v>
      </c>
      <c r="AW30" s="96">
        <v>187.93</v>
      </c>
      <c r="AX30" s="163">
        <v>55.78</v>
      </c>
      <c r="AY30" s="163">
        <v>1102.77</v>
      </c>
      <c r="AZ30" s="163">
        <f>SUM(AV30:AY30)</f>
        <v>6173.8099999999995</v>
      </c>
      <c r="BB30" s="3">
        <v>5035</v>
      </c>
      <c r="BC30" s="3">
        <v>219</v>
      </c>
      <c r="BD30" s="3">
        <v>97</v>
      </c>
      <c r="BE30" s="3">
        <v>1193</v>
      </c>
      <c r="BF30" s="163">
        <f>SUM(BB30:BE30)</f>
        <v>6544</v>
      </c>
      <c r="BH30" s="237">
        <v>5305.1014110360193</v>
      </c>
      <c r="BI30" s="237">
        <v>245.96946692366441</v>
      </c>
      <c r="BJ30" s="96">
        <v>111.39226563329468</v>
      </c>
      <c r="BK30" s="237">
        <v>1296.0511427521562</v>
      </c>
      <c r="BL30" s="163">
        <f>SUM(BH30:BK30)</f>
        <v>6958.5142863451338</v>
      </c>
      <c r="BN30" s="237">
        <v>5267.168692169359</v>
      </c>
      <c r="BO30" s="237">
        <v>244.21072756777045</v>
      </c>
      <c r="BP30" s="96">
        <v>110.59578481816868</v>
      </c>
      <c r="BQ30" s="237">
        <v>1286.7840732230875</v>
      </c>
      <c r="BR30" s="163">
        <f>SUM(BN30:BQ30)</f>
        <v>6908.7592777783866</v>
      </c>
      <c r="BS30" s="3">
        <f>BL30-BR30</f>
        <v>49.755008566747165</v>
      </c>
      <c r="BU30" s="3">
        <v>5575.8744876658984</v>
      </c>
      <c r="BV30" s="3">
        <v>270.6973414796974</v>
      </c>
      <c r="BW30" s="3">
        <v>115.98082324537272</v>
      </c>
      <c r="BX30" s="3">
        <v>1413.3083446027738</v>
      </c>
      <c r="BY30" s="163">
        <f>SUM(BU30:BX30)</f>
        <v>7375.8609969937424</v>
      </c>
      <c r="CA30" s="3">
        <v>5871.0114652367301</v>
      </c>
      <c r="CB30" s="3">
        <v>220.54023436074988</v>
      </c>
      <c r="CC30" s="3">
        <v>100.98216110325134</v>
      </c>
      <c r="CD30" s="3">
        <v>1520.3990290641407</v>
      </c>
      <c r="CE30" s="163">
        <f>SUM(CA30:CD30)</f>
        <v>7712.932889764872</v>
      </c>
      <c r="CG30" s="263">
        <v>6038.4209941093732</v>
      </c>
      <c r="CH30" s="3">
        <v>206.70233791471512</v>
      </c>
      <c r="CI30" s="3">
        <v>90.504448481273144</v>
      </c>
      <c r="CJ30" s="3">
        <v>1601.1006087016783</v>
      </c>
      <c r="CK30" s="163">
        <f>SUM(CG30:CJ30)</f>
        <v>7936.72838920704</v>
      </c>
      <c r="CM30" s="263">
        <v>6042.3218575028613</v>
      </c>
      <c r="CN30" s="3">
        <v>197.43603795677345</v>
      </c>
      <c r="CO30" s="3">
        <v>73.630800780823677</v>
      </c>
      <c r="CP30" s="3">
        <v>1679.389579707869</v>
      </c>
      <c r="CQ30" s="163">
        <f>SUM(CM30:CP30)</f>
        <v>7992.7782759483271</v>
      </c>
      <c r="CS30" s="3">
        <v>5781.6187703978894</v>
      </c>
      <c r="CT30" s="3">
        <v>165.31716228079179</v>
      </c>
      <c r="CU30" s="3">
        <v>79.459955690771949</v>
      </c>
      <c r="CV30" s="3">
        <v>1663.6292668414144</v>
      </c>
      <c r="CW30" s="162">
        <f t="shared" si="1"/>
        <v>7690.0251552108684</v>
      </c>
      <c r="CY30" s="3">
        <v>5548.5101720975499</v>
      </c>
      <c r="CZ30" s="3">
        <v>176.40907543194322</v>
      </c>
      <c r="DA30" s="3">
        <v>85.875041078026982</v>
      </c>
      <c r="DB30" s="3">
        <v>1613.6121600096842</v>
      </c>
      <c r="DC30" s="162">
        <f t="shared" ref="DC30:DC34" si="10">SUM(CY30:DB30)</f>
        <v>7424.4064486172038</v>
      </c>
      <c r="DE30" s="3">
        <v>5625.4065488197994</v>
      </c>
      <c r="DF30" s="3">
        <v>173.44464277838506</v>
      </c>
      <c r="DG30" s="3">
        <v>76.366332966249303</v>
      </c>
      <c r="DH30" s="3">
        <v>1635.8032398388627</v>
      </c>
      <c r="DI30" s="237">
        <f t="shared" si="7"/>
        <v>7511.0207644032962</v>
      </c>
    </row>
    <row r="31" spans="1:113" ht="15.75">
      <c r="A31" s="1" t="s">
        <v>22</v>
      </c>
      <c r="B31" s="48">
        <v>4337.62</v>
      </c>
      <c r="C31" s="48">
        <v>4526</v>
      </c>
      <c r="D31" s="48">
        <v>4944.5488267414548</v>
      </c>
      <c r="E31" s="48">
        <v>5695.2725859147376</v>
      </c>
      <c r="F31" s="48">
        <v>6615.0580840171442</v>
      </c>
      <c r="G31" s="48">
        <v>6643.5447696159799</v>
      </c>
      <c r="H31" s="48">
        <v>6668.7469075712243</v>
      </c>
      <c r="I31" s="48">
        <v>6435.106225341372</v>
      </c>
      <c r="J31" s="48">
        <v>6211.4670140910994</v>
      </c>
      <c r="K31" s="87">
        <v>6445.1679397115277</v>
      </c>
      <c r="L31" s="239">
        <f t="shared" si="3"/>
        <v>3.7624111194708623</v>
      </c>
      <c r="M31" s="244">
        <f t="shared" si="5"/>
        <v>44.25607999266721</v>
      </c>
      <c r="N31" s="49">
        <v>1945.13</v>
      </c>
      <c r="O31" s="49">
        <v>2161.4299999999998</v>
      </c>
      <c r="P31" s="49">
        <v>2416.7199999999998</v>
      </c>
      <c r="Q31" s="49">
        <v>2659.4</v>
      </c>
      <c r="R31" s="49">
        <v>2865.1</v>
      </c>
      <c r="S31" s="49">
        <v>3029.88</v>
      </c>
      <c r="T31" s="49">
        <v>3219.31</v>
      </c>
      <c r="U31" s="49">
        <v>3080.96</v>
      </c>
      <c r="V31" s="49">
        <v>3241.77</v>
      </c>
      <c r="W31" s="49">
        <v>3321.37</v>
      </c>
      <c r="X31" s="49">
        <v>3516.4</v>
      </c>
      <c r="Y31" s="48">
        <f>2971.57+578.08</f>
        <v>3549.65</v>
      </c>
      <c r="Z31" s="57">
        <v>3586.77</v>
      </c>
      <c r="AA31" s="57">
        <v>3401.77</v>
      </c>
      <c r="AB31" s="48">
        <v>3630.78</v>
      </c>
      <c r="AC31" s="48">
        <v>3775.18</v>
      </c>
      <c r="AD31" s="48">
        <v>3943.81</v>
      </c>
      <c r="AE31" s="48">
        <v>4226.4590338238531</v>
      </c>
      <c r="AF31" s="48">
        <v>4467.8657149418914</v>
      </c>
      <c r="AG31" s="48"/>
      <c r="AH31" s="48"/>
      <c r="AI31" s="48"/>
      <c r="AJ31" s="323">
        <v>3162.2187604330907</v>
      </c>
      <c r="AK31" s="323">
        <v>195.05791668688443</v>
      </c>
      <c r="AL31" s="323">
        <v>107.31675269540322</v>
      </c>
      <c r="AM31" s="323">
        <v>761.86560400847543</v>
      </c>
      <c r="AN31" s="210">
        <f>SUM(AJ31:AM31)</f>
        <v>4226.4590338238531</v>
      </c>
      <c r="AO31" s="48"/>
      <c r="AP31" s="48">
        <v>3328.6961169803567</v>
      </c>
      <c r="AQ31" s="48">
        <v>238.61874076915268</v>
      </c>
      <c r="AR31" s="48">
        <v>95.134545508038514</v>
      </c>
      <c r="AS31" s="48">
        <v>805.41631168434321</v>
      </c>
      <c r="AT31" s="48">
        <f t="shared" si="6"/>
        <v>4467.8657149418914</v>
      </c>
      <c r="AU31" s="48"/>
      <c r="AV31" s="96">
        <v>3263.48</v>
      </c>
      <c r="AW31" s="96">
        <v>210.46</v>
      </c>
      <c r="AX31" s="163">
        <v>83.52</v>
      </c>
      <c r="AY31" s="163">
        <v>780.16</v>
      </c>
      <c r="AZ31" s="163">
        <f>SUM(AV31:AY31)</f>
        <v>4337.62</v>
      </c>
      <c r="BB31" s="3">
        <v>3404</v>
      </c>
      <c r="BC31" s="3">
        <v>189</v>
      </c>
      <c r="BD31" s="3">
        <v>97</v>
      </c>
      <c r="BE31" s="3">
        <v>836</v>
      </c>
      <c r="BF31" s="163">
        <f>SUM(BB31:BE31)</f>
        <v>4526</v>
      </c>
      <c r="BH31" s="237">
        <v>3586.4466699526683</v>
      </c>
      <c r="BI31" s="237">
        <v>262.85009710329234</v>
      </c>
      <c r="BJ31" s="96">
        <v>94.888137933429007</v>
      </c>
      <c r="BK31" s="237">
        <v>921.24216408065809</v>
      </c>
      <c r="BL31" s="163">
        <f>SUM(BH31:BK31)</f>
        <v>4865.4270690700478</v>
      </c>
      <c r="BN31" s="237">
        <v>3644.7696003538545</v>
      </c>
      <c r="BO31" s="237">
        <v>267.12457525118646</v>
      </c>
      <c r="BP31" s="96">
        <v>96.431212395111316</v>
      </c>
      <c r="BQ31" s="237">
        <v>936.2234387413024</v>
      </c>
      <c r="BR31" s="163">
        <f>SUM(BN31:BQ31)</f>
        <v>4944.5488267414548</v>
      </c>
      <c r="BS31" s="3">
        <f>BL31-BR31</f>
        <v>-79.121757671407067</v>
      </c>
      <c r="BU31" s="3">
        <v>4076.9507282766981</v>
      </c>
      <c r="BV31" s="3">
        <v>219.58534719854973</v>
      </c>
      <c r="BW31" s="3">
        <v>226.71329352308283</v>
      </c>
      <c r="BX31" s="3">
        <v>1172.0232169164062</v>
      </c>
      <c r="BY31" s="163">
        <f>SUM(BU31:BX31)</f>
        <v>5695.2725859147376</v>
      </c>
      <c r="CA31" s="3">
        <v>4644.1232610857705</v>
      </c>
      <c r="CB31" s="3">
        <v>303.31714074513633</v>
      </c>
      <c r="CC31" s="3">
        <v>306.55446763393752</v>
      </c>
      <c r="CD31" s="3">
        <v>1361.0632145522995</v>
      </c>
      <c r="CE31" s="163">
        <f>SUM(CA31:CD31)</f>
        <v>6615.0580840171442</v>
      </c>
      <c r="CG31" s="263">
        <v>4716.0465446667949</v>
      </c>
      <c r="CH31" s="3">
        <v>159.04543677160189</v>
      </c>
      <c r="CI31" s="3">
        <v>353.35563662308317</v>
      </c>
      <c r="CJ31" s="3">
        <v>1415.0971515544995</v>
      </c>
      <c r="CK31" s="163">
        <f>SUM(CG31:CJ31)</f>
        <v>6643.5447696159799</v>
      </c>
      <c r="CM31" s="263">
        <v>4714.3701538637479</v>
      </c>
      <c r="CN31" s="3">
        <v>163.01225169498065</v>
      </c>
      <c r="CO31" s="3">
        <v>314.66578976035106</v>
      </c>
      <c r="CP31" s="3">
        <v>1476.698712252145</v>
      </c>
      <c r="CQ31" s="163">
        <f>SUM(CM31:CP31)</f>
        <v>6668.7469075712243</v>
      </c>
      <c r="CS31" s="3">
        <v>4455.6049321790488</v>
      </c>
      <c r="CT31" s="3">
        <v>159.8921417428418</v>
      </c>
      <c r="CU31" s="3">
        <v>390.33687625506212</v>
      </c>
      <c r="CV31" s="3">
        <v>1429.2722751644194</v>
      </c>
      <c r="CW31" s="162">
        <f t="shared" si="1"/>
        <v>6435.106225341372</v>
      </c>
      <c r="CY31" s="3">
        <v>4173.1088013445287</v>
      </c>
      <c r="CZ31" s="3">
        <v>138.75737133792049</v>
      </c>
      <c r="DA31" s="3">
        <v>389.98527326095581</v>
      </c>
      <c r="DB31" s="3">
        <v>1509.6155681476937</v>
      </c>
      <c r="DC31" s="162">
        <f t="shared" si="10"/>
        <v>6211.4670140910994</v>
      </c>
      <c r="DE31" s="3">
        <v>4213.4301404591006</v>
      </c>
      <c r="DF31" s="3">
        <v>184.64605850040681</v>
      </c>
      <c r="DG31" s="3">
        <v>509.1816199632699</v>
      </c>
      <c r="DH31" s="3">
        <v>1537.9101207887511</v>
      </c>
      <c r="DI31" s="237">
        <f t="shared" si="7"/>
        <v>6445.1679397115277</v>
      </c>
    </row>
    <row r="32" spans="1:113" ht="15.75">
      <c r="A32" s="1" t="s">
        <v>23</v>
      </c>
      <c r="B32" s="48">
        <v>4681.13</v>
      </c>
      <c r="C32" s="48">
        <v>4761</v>
      </c>
      <c r="D32" s="48">
        <v>5016.3408557841922</v>
      </c>
      <c r="E32" s="48">
        <v>5133.1779947719479</v>
      </c>
      <c r="F32" s="48">
        <v>5553.4473692497431</v>
      </c>
      <c r="G32" s="48">
        <v>5867.3345732410608</v>
      </c>
      <c r="H32" s="48">
        <v>6085.2164836472393</v>
      </c>
      <c r="I32" s="48">
        <v>6000.5284971028177</v>
      </c>
      <c r="J32" s="48">
        <v>5557.0745981180271</v>
      </c>
      <c r="K32" s="87">
        <v>5844.7456885456877</v>
      </c>
      <c r="L32" s="239">
        <f t="shared" si="3"/>
        <v>5.1766641845168682</v>
      </c>
      <c r="M32" s="244">
        <f t="shared" si="5"/>
        <v>28.063287934792577</v>
      </c>
      <c r="N32" s="49">
        <v>1798.72</v>
      </c>
      <c r="O32" s="49">
        <v>2130.8200000000002</v>
      </c>
      <c r="P32" s="49">
        <v>2461.69</v>
      </c>
      <c r="Q32" s="49">
        <v>2588.69</v>
      </c>
      <c r="R32" s="49">
        <v>2720.52</v>
      </c>
      <c r="S32" s="49">
        <v>2938.03</v>
      </c>
      <c r="T32" s="49">
        <v>3073.72</v>
      </c>
      <c r="U32" s="49">
        <v>3153.52</v>
      </c>
      <c r="V32" s="49">
        <v>3203.81</v>
      </c>
      <c r="W32" s="49">
        <v>3408.86</v>
      </c>
      <c r="X32" s="49">
        <v>3450.15</v>
      </c>
      <c r="Y32" s="48">
        <f>2994.7+454.15</f>
        <v>3448.85</v>
      </c>
      <c r="Z32" s="57">
        <v>3623.32</v>
      </c>
      <c r="AA32" s="57">
        <v>3434.93</v>
      </c>
      <c r="AB32" s="48">
        <v>3679.53</v>
      </c>
      <c r="AC32" s="48">
        <v>3854.27</v>
      </c>
      <c r="AD32" s="48">
        <v>4094.33</v>
      </c>
      <c r="AE32" s="48">
        <v>4487.4934992339513</v>
      </c>
      <c r="AF32" s="48">
        <v>4563.9509829871949</v>
      </c>
      <c r="AG32" s="48"/>
      <c r="AH32" s="48"/>
      <c r="AI32" s="48"/>
      <c r="AJ32" s="323">
        <v>3406.5797210508172</v>
      </c>
      <c r="AK32" s="323">
        <v>280.0486359205575</v>
      </c>
      <c r="AL32" s="323">
        <v>108.91759012979766</v>
      </c>
      <c r="AM32" s="323">
        <v>691.94755213277904</v>
      </c>
      <c r="AN32" s="210">
        <f>SUM(AJ32:AM32)</f>
        <v>4487.4934992339513</v>
      </c>
      <c r="AO32" s="48"/>
      <c r="AP32" s="48">
        <v>3442.5569632557708</v>
      </c>
      <c r="AQ32" s="48">
        <v>291.04012196209317</v>
      </c>
      <c r="AR32" s="48">
        <v>107.97198788071631</v>
      </c>
      <c r="AS32" s="48">
        <v>722.38190988861516</v>
      </c>
      <c r="AT32" s="48">
        <f t="shared" si="6"/>
        <v>4563.9509829871949</v>
      </c>
      <c r="AU32" s="48"/>
      <c r="AV32" s="96">
        <v>3545.24</v>
      </c>
      <c r="AW32" s="96">
        <v>264.43</v>
      </c>
      <c r="AX32" s="163">
        <v>100.07</v>
      </c>
      <c r="AY32" s="163">
        <v>771.39</v>
      </c>
      <c r="AZ32" s="163">
        <f>SUM(AV32:AY32)</f>
        <v>4681.13</v>
      </c>
      <c r="BB32" s="3">
        <v>3635</v>
      </c>
      <c r="BC32" s="3">
        <v>226</v>
      </c>
      <c r="BD32" s="3">
        <v>99</v>
      </c>
      <c r="BE32" s="3">
        <v>801</v>
      </c>
      <c r="BF32" s="163">
        <f>SUM(BB32:BE32)</f>
        <v>4761</v>
      </c>
      <c r="BH32" s="237">
        <v>3807.8497629210974</v>
      </c>
      <c r="BI32" s="237">
        <v>215.78740461699837</v>
      </c>
      <c r="BJ32" s="96">
        <v>124.24310994830753</v>
      </c>
      <c r="BK32" s="237">
        <v>868.46057829778863</v>
      </c>
      <c r="BL32" s="163">
        <f>SUM(BH32:BK32)</f>
        <v>5016.3408557841922</v>
      </c>
      <c r="BN32" s="237">
        <v>3807.8497629210974</v>
      </c>
      <c r="BO32" s="237">
        <v>215.78740461699837</v>
      </c>
      <c r="BP32" s="96">
        <v>124.24310994830753</v>
      </c>
      <c r="BQ32" s="237">
        <v>868.46057829778863</v>
      </c>
      <c r="BR32" s="163">
        <f>SUM(BN32:BQ32)</f>
        <v>5016.3408557841922</v>
      </c>
      <c r="BS32" s="3">
        <f>BL32-BR32</f>
        <v>0</v>
      </c>
      <c r="BU32" s="3">
        <v>3913.4909444074988</v>
      </c>
      <c r="BV32" s="3">
        <v>248.70898843112337</v>
      </c>
      <c r="BW32" s="3">
        <v>111.42948647883429</v>
      </c>
      <c r="BX32" s="3">
        <v>859.54857545449158</v>
      </c>
      <c r="BY32" s="163">
        <f>SUM(BU32:BX32)</f>
        <v>5133.1779947719479</v>
      </c>
      <c r="CA32" s="3">
        <v>4239.3394336998444</v>
      </c>
      <c r="CB32" s="3">
        <v>255.67416616369698</v>
      </c>
      <c r="CC32" s="3">
        <v>91.978315007741372</v>
      </c>
      <c r="CD32" s="3">
        <v>966.45545437846067</v>
      </c>
      <c r="CE32" s="163">
        <f>SUM(CA32:CD32)</f>
        <v>5553.4473692497431</v>
      </c>
      <c r="CG32" s="263">
        <v>4467.2961007130116</v>
      </c>
      <c r="CH32" s="3">
        <v>249.39134292754531</v>
      </c>
      <c r="CI32" s="3">
        <v>124.62480601866415</v>
      </c>
      <c r="CJ32" s="3">
        <v>1026.0223235818394</v>
      </c>
      <c r="CK32" s="163">
        <f>SUM(CG32:CJ32)</f>
        <v>5867.3345732410608</v>
      </c>
      <c r="CM32" s="263">
        <v>4647.4702440395504</v>
      </c>
      <c r="CN32" s="3">
        <v>207.02064598399488</v>
      </c>
      <c r="CO32" s="3">
        <v>98.200123694611605</v>
      </c>
      <c r="CP32" s="3">
        <v>1132.5254699290826</v>
      </c>
      <c r="CQ32" s="163">
        <f>SUM(CM32:CP32)</f>
        <v>6085.2164836472393</v>
      </c>
      <c r="CS32" s="3">
        <v>4577.4609871595057</v>
      </c>
      <c r="CT32" s="3">
        <v>173.64618648585881</v>
      </c>
      <c r="CU32" s="3">
        <v>95.487935983033182</v>
      </c>
      <c r="CV32" s="3">
        <v>1153.9333874744207</v>
      </c>
      <c r="CW32" s="162">
        <f t="shared" si="1"/>
        <v>6000.5284971028177</v>
      </c>
      <c r="CY32" s="3">
        <v>4248.2216772526563</v>
      </c>
      <c r="CZ32" s="3">
        <v>169.13642851316141</v>
      </c>
      <c r="DA32" s="3">
        <v>81.474104801012203</v>
      </c>
      <c r="DB32" s="3">
        <v>1058.2423875511979</v>
      </c>
      <c r="DC32" s="162">
        <f t="shared" si="10"/>
        <v>5557.0745981180271</v>
      </c>
      <c r="DE32" s="3">
        <v>4468.6849447114746</v>
      </c>
      <c r="DF32" s="3">
        <v>184.45328316654846</v>
      </c>
      <c r="DG32" s="3">
        <v>101.72335382029256</v>
      </c>
      <c r="DH32" s="3">
        <v>1089.8841068473721</v>
      </c>
      <c r="DI32" s="237">
        <f t="shared" si="7"/>
        <v>5844.7456885456877</v>
      </c>
    </row>
    <row r="33" spans="1:113" ht="15.75">
      <c r="A33" s="1" t="s">
        <v>24</v>
      </c>
      <c r="B33" s="48">
        <v>4433.29</v>
      </c>
      <c r="C33" s="48">
        <v>4743</v>
      </c>
      <c r="D33" s="48">
        <v>4813.2616085141481</v>
      </c>
      <c r="E33" s="48">
        <v>5055.0016347326655</v>
      </c>
      <c r="F33" s="48">
        <v>5363.8245284917539</v>
      </c>
      <c r="G33" s="48">
        <v>5582.1051209826919</v>
      </c>
      <c r="H33" s="48">
        <v>6080.6936409003738</v>
      </c>
      <c r="I33" s="48">
        <v>5634.9324880845552</v>
      </c>
      <c r="J33" s="48">
        <v>5573.0695222273753</v>
      </c>
      <c r="K33" s="87">
        <v>5812.5580735745089</v>
      </c>
      <c r="L33" s="239">
        <f t="shared" si="3"/>
        <v>4.2972467935662459</v>
      </c>
      <c r="M33" s="244">
        <f t="shared" si="5"/>
        <v>35.493684122563096</v>
      </c>
      <c r="N33" s="49">
        <v>1741.92</v>
      </c>
      <c r="O33" s="49">
        <v>1995.24</v>
      </c>
      <c r="P33" s="49">
        <v>2194.7199999999998</v>
      </c>
      <c r="Q33" s="49">
        <v>2355.41</v>
      </c>
      <c r="R33" s="49">
        <v>2478</v>
      </c>
      <c r="S33" s="49">
        <v>2758.55</v>
      </c>
      <c r="T33" s="49">
        <v>2965.05</v>
      </c>
      <c r="U33" s="49">
        <v>3214.43</v>
      </c>
      <c r="V33" s="49">
        <v>3334.77</v>
      </c>
      <c r="W33" s="49">
        <v>3346</v>
      </c>
      <c r="X33" s="49">
        <v>3537.13</v>
      </c>
      <c r="Y33" s="48">
        <f>2888.83+532.14</f>
        <v>3420.97</v>
      </c>
      <c r="Z33" s="57">
        <v>3593.54</v>
      </c>
      <c r="AA33" s="57">
        <v>3369.98</v>
      </c>
      <c r="AB33" s="48">
        <v>3578.4</v>
      </c>
      <c r="AC33" s="48">
        <v>3707.13</v>
      </c>
      <c r="AD33" s="48">
        <v>3948.61</v>
      </c>
      <c r="AE33" s="48">
        <v>4297.6472077721819</v>
      </c>
      <c r="AF33" s="48">
        <v>4289.9107151862972</v>
      </c>
      <c r="AG33" s="48"/>
      <c r="AH33" s="48"/>
      <c r="AI33" s="48"/>
      <c r="AJ33" s="323">
        <v>3189.0218014106476</v>
      </c>
      <c r="AK33" s="323">
        <v>196.61462103698744</v>
      </c>
      <c r="AL33" s="323">
        <v>123.87771759144006</v>
      </c>
      <c r="AM33" s="323">
        <v>788.13306773310637</v>
      </c>
      <c r="AN33" s="210">
        <f>SUM(AJ33:AM33)</f>
        <v>4297.6472077721819</v>
      </c>
      <c r="AO33" s="48"/>
      <c r="AP33" s="48">
        <v>3211.1908891297176</v>
      </c>
      <c r="AQ33" s="48">
        <v>150.87186520185318</v>
      </c>
      <c r="AR33" s="48">
        <v>114.74126863007243</v>
      </c>
      <c r="AS33" s="48">
        <v>813.10669222465435</v>
      </c>
      <c r="AT33" s="48">
        <f t="shared" si="6"/>
        <v>4289.9107151862972</v>
      </c>
      <c r="AU33" s="48"/>
      <c r="AV33" s="96">
        <v>3285.02</v>
      </c>
      <c r="AW33" s="96">
        <v>213.55</v>
      </c>
      <c r="AX33" s="163">
        <v>108.88</v>
      </c>
      <c r="AY33" s="163">
        <v>825.84</v>
      </c>
      <c r="AZ33" s="163">
        <f>SUM(AV33:AY33)</f>
        <v>4433.29</v>
      </c>
      <c r="BB33" s="3">
        <v>3487</v>
      </c>
      <c r="BC33" s="3">
        <v>246</v>
      </c>
      <c r="BD33" s="3">
        <v>98</v>
      </c>
      <c r="BE33" s="3">
        <v>912</v>
      </c>
      <c r="BF33" s="163">
        <f>SUM(BB33:BE33)</f>
        <v>4743</v>
      </c>
      <c r="BH33" s="237">
        <v>3580.9201517512465</v>
      </c>
      <c r="BI33" s="237">
        <v>215.42726580093066</v>
      </c>
      <c r="BJ33" s="96">
        <v>102.20548480228317</v>
      </c>
      <c r="BK33" s="237">
        <v>914.70870615968749</v>
      </c>
      <c r="BL33" s="163">
        <f>SUM(BH33:BK33)</f>
        <v>4813.2616085141481</v>
      </c>
      <c r="BN33" s="237">
        <v>3580.9201517512465</v>
      </c>
      <c r="BO33" s="237">
        <v>215.42726580093066</v>
      </c>
      <c r="BP33" s="96">
        <v>102.20548480228317</v>
      </c>
      <c r="BQ33" s="237">
        <v>914.70870615968749</v>
      </c>
      <c r="BR33" s="163">
        <f>SUM(BN33:BQ33)</f>
        <v>4813.2616085141481</v>
      </c>
      <c r="BS33" s="3">
        <f>BL33-BR33</f>
        <v>0</v>
      </c>
      <c r="BU33" s="3">
        <v>3792.1327091664225</v>
      </c>
      <c r="BV33" s="3">
        <v>213.88657413268692</v>
      </c>
      <c r="BW33" s="3">
        <v>85.695034970433383</v>
      </c>
      <c r="BX33" s="3">
        <v>963.28731646312269</v>
      </c>
      <c r="BY33" s="163">
        <f>SUM(BU33:BX33)</f>
        <v>5055.0016347326655</v>
      </c>
      <c r="CA33" s="3">
        <v>4019.7028307266337</v>
      </c>
      <c r="CB33" s="3">
        <v>283.92601810713649</v>
      </c>
      <c r="CC33" s="3">
        <v>78.117403037778615</v>
      </c>
      <c r="CD33" s="3">
        <v>982.07827662020463</v>
      </c>
      <c r="CE33" s="163">
        <f>SUM(CA33:CD33)</f>
        <v>5363.8245284917539</v>
      </c>
      <c r="CG33" s="263">
        <v>4176.1810936883267</v>
      </c>
      <c r="CH33" s="3">
        <v>279.6824051813843</v>
      </c>
      <c r="CI33" s="3">
        <v>78.055583862595256</v>
      </c>
      <c r="CJ33" s="3">
        <v>1048.1860382503855</v>
      </c>
      <c r="CK33" s="163">
        <f>SUM(CG33:CJ33)</f>
        <v>5582.1051209826919</v>
      </c>
      <c r="CM33" s="263">
        <v>4378.8297420169902</v>
      </c>
      <c r="CN33" s="3">
        <v>427.02283946356812</v>
      </c>
      <c r="CO33" s="3">
        <v>63.610402743976564</v>
      </c>
      <c r="CP33" s="3">
        <v>1211.2306566758393</v>
      </c>
      <c r="CQ33" s="163">
        <f>SUM(CM33:CP33)</f>
        <v>6080.6936409003738</v>
      </c>
      <c r="CS33" s="3">
        <v>4291.4889696199871</v>
      </c>
      <c r="CT33" s="3">
        <v>195.12564646382253</v>
      </c>
      <c r="CU33" s="3">
        <v>56.329513593511479</v>
      </c>
      <c r="CV33" s="3">
        <v>1091.988358407234</v>
      </c>
      <c r="CW33" s="162">
        <f t="shared" si="1"/>
        <v>5634.9324880845552</v>
      </c>
      <c r="CY33" s="3">
        <v>4231.4414226327135</v>
      </c>
      <c r="CZ33" s="3">
        <v>173.25655349210948</v>
      </c>
      <c r="DA33" s="3">
        <v>60.692754809513708</v>
      </c>
      <c r="DB33" s="3">
        <v>1107.6787912930383</v>
      </c>
      <c r="DC33" s="162">
        <f t="shared" si="10"/>
        <v>5573.0695222273753</v>
      </c>
      <c r="DE33" s="3">
        <v>4320.8209091656781</v>
      </c>
      <c r="DF33" s="3">
        <v>251.44487904031203</v>
      </c>
      <c r="DG33" s="3">
        <v>126.93426760348252</v>
      </c>
      <c r="DH33" s="3">
        <v>1113.3580177650363</v>
      </c>
      <c r="DI33" s="237">
        <f t="shared" si="7"/>
        <v>5812.5580735745089</v>
      </c>
    </row>
    <row r="34" spans="1:113" ht="15.75">
      <c r="A34" s="1" t="s">
        <v>25</v>
      </c>
      <c r="B34" s="48">
        <v>5265.73</v>
      </c>
      <c r="C34" s="48">
        <v>5526</v>
      </c>
      <c r="D34" s="48">
        <v>6016.9150752236983</v>
      </c>
      <c r="E34" s="48">
        <v>6528.8630955967037</v>
      </c>
      <c r="F34" s="48">
        <v>7322.8575936840043</v>
      </c>
      <c r="G34" s="48">
        <v>7299.9612579795867</v>
      </c>
      <c r="H34" s="48">
        <v>7442.5451699849054</v>
      </c>
      <c r="I34" s="48">
        <v>6882.9531169039992</v>
      </c>
      <c r="J34" s="48">
        <v>6909.0009229165244</v>
      </c>
      <c r="K34" s="87">
        <v>6396.2787833457987</v>
      </c>
      <c r="L34" s="239">
        <f t="shared" si="3"/>
        <v>-7.4210749903082682</v>
      </c>
      <c r="M34" s="244">
        <f t="shared" si="5"/>
        <v>24.751861630557176</v>
      </c>
      <c r="N34" s="49">
        <v>1602.99</v>
      </c>
      <c r="O34" s="49">
        <v>1749.92</v>
      </c>
      <c r="P34" s="49">
        <v>1945.13</v>
      </c>
      <c r="Q34" s="49">
        <v>2133.34</v>
      </c>
      <c r="R34" s="49">
        <v>2411.96</v>
      </c>
      <c r="S34" s="49">
        <v>2683.67</v>
      </c>
      <c r="T34" s="49">
        <v>2942.52</v>
      </c>
      <c r="U34" s="49">
        <v>2784.58</v>
      </c>
      <c r="V34" s="49">
        <v>2964.25</v>
      </c>
      <c r="W34" s="49">
        <v>3273.33</v>
      </c>
      <c r="X34" s="49">
        <v>3502.99</v>
      </c>
      <c r="Y34" s="48">
        <f>3264.09+512.11</f>
        <v>3776.2000000000003</v>
      </c>
      <c r="Z34" s="57">
        <v>3814.36</v>
      </c>
      <c r="AA34" s="57">
        <v>3780.42</v>
      </c>
      <c r="AB34" s="48">
        <v>3994.91</v>
      </c>
      <c r="AC34" s="48">
        <v>4293.08</v>
      </c>
      <c r="AD34" s="48">
        <v>4548.68</v>
      </c>
      <c r="AE34" s="48">
        <v>4870.6318706670754</v>
      </c>
      <c r="AF34" s="48">
        <v>5127.2010691815367</v>
      </c>
      <c r="AG34" s="48"/>
      <c r="AH34" s="48"/>
      <c r="AI34" s="48"/>
      <c r="AJ34" s="323">
        <v>3692.1662871368671</v>
      </c>
      <c r="AK34" s="323">
        <v>297.74886840645246</v>
      </c>
      <c r="AL34" s="323">
        <v>167.52434484065631</v>
      </c>
      <c r="AM34" s="323">
        <v>713.19237028309999</v>
      </c>
      <c r="AN34" s="210">
        <f>SUM(AJ34:AM34)</f>
        <v>4870.6318706670754</v>
      </c>
      <c r="AO34" s="48"/>
      <c r="AP34" s="48">
        <v>3851.9560375229294</v>
      </c>
      <c r="AQ34" s="48">
        <v>308.57774862256019</v>
      </c>
      <c r="AR34" s="48">
        <v>173.22890627767194</v>
      </c>
      <c r="AS34" s="48">
        <v>793.4383767583746</v>
      </c>
      <c r="AT34" s="48">
        <f t="shared" si="6"/>
        <v>5127.2010691815367</v>
      </c>
      <c r="AU34" s="48"/>
      <c r="AV34" s="96">
        <v>3926.62</v>
      </c>
      <c r="AW34" s="96">
        <v>288.05</v>
      </c>
      <c r="AX34" s="163">
        <v>228.98</v>
      </c>
      <c r="AY34" s="163">
        <v>822.08</v>
      </c>
      <c r="AZ34" s="163">
        <f>SUM(AV34:AY34)</f>
        <v>5265.73</v>
      </c>
      <c r="BB34" s="3">
        <v>4067</v>
      </c>
      <c r="BC34" s="3">
        <v>381</v>
      </c>
      <c r="BD34" s="3">
        <v>255</v>
      </c>
      <c r="BE34" s="3">
        <v>823</v>
      </c>
      <c r="BF34" s="163">
        <f>SUM(BB34:BE34)</f>
        <v>5526</v>
      </c>
      <c r="BH34" s="237">
        <v>4460.061366040849</v>
      </c>
      <c r="BI34" s="237">
        <v>376.26114368712683</v>
      </c>
      <c r="BJ34" s="96">
        <v>290.06490935499488</v>
      </c>
      <c r="BK34" s="237">
        <v>890.52765614072848</v>
      </c>
      <c r="BL34" s="163">
        <f>SUM(BH34:BK34)</f>
        <v>6016.9150752236983</v>
      </c>
      <c r="BN34" s="237">
        <v>4460.061366040849</v>
      </c>
      <c r="BO34" s="237">
        <v>376.26114368712683</v>
      </c>
      <c r="BP34" s="96">
        <v>290.06490935499488</v>
      </c>
      <c r="BQ34" s="237">
        <v>890.52765614072848</v>
      </c>
      <c r="BR34" s="163">
        <f>SUM(BN34:BQ34)</f>
        <v>6016.9150752236983</v>
      </c>
      <c r="BS34" s="3">
        <f>BL34-BR34</f>
        <v>0</v>
      </c>
      <c r="BU34" s="3">
        <v>4897.2655196243468</v>
      </c>
      <c r="BV34" s="3">
        <v>456.0575883760078</v>
      </c>
      <c r="BW34" s="3">
        <v>219.11686719234518</v>
      </c>
      <c r="BX34" s="3">
        <v>956.42312040400464</v>
      </c>
      <c r="BY34" s="163">
        <f>SUM(BU34:BX34)</f>
        <v>6528.8630955967037</v>
      </c>
      <c r="CA34" s="3">
        <v>5518.8751751598438</v>
      </c>
      <c r="CB34" s="3">
        <v>437.68078481759426</v>
      </c>
      <c r="CC34" s="3">
        <v>244.561698101258</v>
      </c>
      <c r="CD34" s="3">
        <v>1121.7399356053083</v>
      </c>
      <c r="CE34" s="163">
        <f>SUM(CA34:CD34)</f>
        <v>7322.8575936840043</v>
      </c>
      <c r="CG34" s="263">
        <v>5512.3621632343929</v>
      </c>
      <c r="CH34" s="3">
        <v>380.56683016554263</v>
      </c>
      <c r="CI34" s="3">
        <v>238.04942114184732</v>
      </c>
      <c r="CJ34" s="3">
        <v>1168.9828434378039</v>
      </c>
      <c r="CK34" s="163">
        <f>SUM(CG34:CJ34)</f>
        <v>7299.9612579795867</v>
      </c>
      <c r="CM34" s="263">
        <v>5501.4599439373251</v>
      </c>
      <c r="CN34" s="3">
        <v>419.49943937324804</v>
      </c>
      <c r="CO34" s="3">
        <v>235.02584273700856</v>
      </c>
      <c r="CP34" s="3">
        <v>1286.559943937325</v>
      </c>
      <c r="CQ34" s="163">
        <f>SUM(CM34:CP34)</f>
        <v>7442.5451699849054</v>
      </c>
      <c r="CS34" s="3">
        <v>5315.7115939180603</v>
      </c>
      <c r="CT34" s="3">
        <v>228.02711858350156</v>
      </c>
      <c r="CU34" s="3">
        <v>145.10408261716307</v>
      </c>
      <c r="CV34" s="3">
        <v>1194.110321785274</v>
      </c>
      <c r="CW34" s="162">
        <f t="shared" si="1"/>
        <v>6882.9531169039992</v>
      </c>
      <c r="CY34" s="3">
        <v>5346.8496200255977</v>
      </c>
      <c r="CZ34" s="3">
        <v>222.24482050982226</v>
      </c>
      <c r="DA34" s="3">
        <v>124.10426157251607</v>
      </c>
      <c r="DB34" s="3">
        <v>1215.8022208085874</v>
      </c>
      <c r="DC34" s="162">
        <f t="shared" si="10"/>
        <v>6909.0009229165244</v>
      </c>
      <c r="DE34" s="3">
        <v>4987.0980482245259</v>
      </c>
      <c r="DF34" s="3">
        <v>171.95350999038357</v>
      </c>
      <c r="DG34" s="3">
        <v>66.108198881646885</v>
      </c>
      <c r="DH34" s="3">
        <v>1171.1190262492432</v>
      </c>
      <c r="DI34" s="237">
        <f t="shared" si="7"/>
        <v>6396.2787833457987</v>
      </c>
    </row>
    <row r="35" spans="1:113" ht="15.75">
      <c r="B35" s="48"/>
      <c r="C35" s="48"/>
      <c r="D35" s="48"/>
      <c r="E35" s="48"/>
      <c r="F35" s="48"/>
      <c r="G35" s="48"/>
      <c r="H35" s="48"/>
      <c r="I35" s="48"/>
      <c r="J35" s="48"/>
      <c r="K35" s="87"/>
      <c r="L35" s="239"/>
      <c r="M35" s="244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8"/>
      <c r="Z35" s="57"/>
      <c r="AA35" s="57"/>
      <c r="AB35" s="48"/>
      <c r="AC35" s="48"/>
      <c r="AD35" s="48"/>
      <c r="AE35" s="48"/>
      <c r="AF35" s="48"/>
      <c r="AG35" s="48"/>
      <c r="AH35" s="48"/>
      <c r="AI35" s="48"/>
      <c r="AJ35" s="366"/>
      <c r="AK35" s="366"/>
      <c r="AL35" s="366"/>
      <c r="AM35" s="366"/>
      <c r="AN35" s="210"/>
      <c r="AO35" s="48"/>
      <c r="AP35" s="48"/>
      <c r="AQ35" s="48"/>
      <c r="AR35" s="48"/>
      <c r="AS35" s="48"/>
      <c r="AT35" s="48"/>
      <c r="AU35" s="48"/>
      <c r="AV35"/>
      <c r="AW35"/>
      <c r="AY35" s="163"/>
      <c r="AZ35" s="163"/>
      <c r="BF35" s="163"/>
      <c r="BH35" s="237"/>
      <c r="BI35" s="237"/>
      <c r="BJ35" s="96"/>
      <c r="BK35" s="237"/>
      <c r="BL35" s="163"/>
      <c r="BN35" s="237"/>
      <c r="BO35" s="237"/>
      <c r="BP35" s="96"/>
      <c r="BQ35" s="237"/>
      <c r="BR35" s="163"/>
      <c r="BY35" s="163"/>
      <c r="CE35" s="163"/>
      <c r="CG35" s="264"/>
      <c r="CK35" s="163"/>
      <c r="CM35" s="264"/>
      <c r="CQ35" s="163"/>
      <c r="CW35" s="163"/>
      <c r="DC35" s="163"/>
      <c r="DI35" s="237"/>
    </row>
    <row r="36" spans="1:113" ht="15.75">
      <c r="A36" s="1" t="s">
        <v>26</v>
      </c>
      <c r="B36" s="48">
        <v>4963.8599999999997</v>
      </c>
      <c r="C36" s="48">
        <v>4820</v>
      </c>
      <c r="D36" s="48">
        <v>5106.6249350171365</v>
      </c>
      <c r="E36" s="48">
        <v>5322.7245895148699</v>
      </c>
      <c r="F36" s="48">
        <v>5406.823229264558</v>
      </c>
      <c r="G36" s="48">
        <v>5631.9023785880872</v>
      </c>
      <c r="H36" s="48">
        <v>6033.7713681805208</v>
      </c>
      <c r="I36" s="48">
        <v>5976.0752231836304</v>
      </c>
      <c r="J36" s="48">
        <v>5553.0056032524762</v>
      </c>
      <c r="K36" s="87">
        <v>5878.826479771923</v>
      </c>
      <c r="L36" s="239">
        <f t="shared" si="3"/>
        <v>5.867468895198102</v>
      </c>
      <c r="M36" s="244">
        <f t="shared" si="5"/>
        <v>25.663800784444561</v>
      </c>
      <c r="N36" s="49">
        <v>2047.29</v>
      </c>
      <c r="O36" s="49">
        <v>2211.37</v>
      </c>
      <c r="P36" s="49">
        <v>2289.85</v>
      </c>
      <c r="Q36" s="49">
        <v>2758.61</v>
      </c>
      <c r="R36" s="49">
        <v>3043.44</v>
      </c>
      <c r="S36" s="49">
        <v>3417.57</v>
      </c>
      <c r="T36" s="49">
        <v>3423.15</v>
      </c>
      <c r="U36" s="49">
        <v>3265.79</v>
      </c>
      <c r="V36" s="49">
        <v>3278.91</v>
      </c>
      <c r="W36" s="49">
        <v>3444.32</v>
      </c>
      <c r="X36" s="49">
        <v>3585.58</v>
      </c>
      <c r="Y36" s="48">
        <f>3233.62+458.39</f>
        <v>3692.0099999999998</v>
      </c>
      <c r="Z36" s="57">
        <v>3877.18</v>
      </c>
      <c r="AA36" s="57">
        <v>3526.22</v>
      </c>
      <c r="AB36" s="48">
        <v>3738.45</v>
      </c>
      <c r="AC36" s="48">
        <v>3855.24</v>
      </c>
      <c r="AD36" s="48">
        <v>4160.08</v>
      </c>
      <c r="AE36" s="48">
        <v>4541.3176864256911</v>
      </c>
      <c r="AF36" s="48">
        <v>4678.2179458793198</v>
      </c>
      <c r="AG36" s="48"/>
      <c r="AH36" s="48"/>
      <c r="AI36" s="48"/>
      <c r="AJ36" s="323">
        <v>3603.1449096552474</v>
      </c>
      <c r="AK36" s="323">
        <v>204.66627575980212</v>
      </c>
      <c r="AL36" s="323">
        <v>72.331260143044531</v>
      </c>
      <c r="AM36" s="323">
        <v>661.17524086759749</v>
      </c>
      <c r="AN36" s="210">
        <f>SUM(AJ36:AM36)</f>
        <v>4541.3176864256911</v>
      </c>
      <c r="AO36" s="48"/>
      <c r="AP36" s="48">
        <v>3714.3041303826808</v>
      </c>
      <c r="AQ36" s="48">
        <v>173.97890411896964</v>
      </c>
      <c r="AR36" s="48">
        <v>127.25470274712106</v>
      </c>
      <c r="AS36" s="48">
        <v>662.68020863054812</v>
      </c>
      <c r="AT36" s="48">
        <f t="shared" si="6"/>
        <v>4678.2179458793198</v>
      </c>
      <c r="AU36" s="48"/>
      <c r="AV36" s="96">
        <v>3833.01</v>
      </c>
      <c r="AW36" s="96">
        <v>260.82</v>
      </c>
      <c r="AX36" s="163">
        <v>150.13</v>
      </c>
      <c r="AY36" s="163">
        <v>719.9</v>
      </c>
      <c r="AZ36" s="163">
        <f>SUM(AV36:AY36)</f>
        <v>4963.8599999999997</v>
      </c>
      <c r="BB36" s="3">
        <v>3762</v>
      </c>
      <c r="BC36" s="3">
        <v>185</v>
      </c>
      <c r="BD36" s="3">
        <v>142</v>
      </c>
      <c r="BE36" s="3">
        <v>731</v>
      </c>
      <c r="BF36" s="163">
        <f>SUM(BB36:BE36)</f>
        <v>4820</v>
      </c>
      <c r="BH36" s="237">
        <v>3972.3718123892991</v>
      </c>
      <c r="BI36" s="237">
        <v>244.43734271846893</v>
      </c>
      <c r="BJ36" s="96">
        <v>153.18884595035999</v>
      </c>
      <c r="BK36" s="237">
        <v>736.62693395900897</v>
      </c>
      <c r="BL36" s="163">
        <f>SUM(BH36:BK36)</f>
        <v>5106.6249350171365</v>
      </c>
      <c r="BN36" s="237">
        <v>3972.3718123892991</v>
      </c>
      <c r="BO36" s="237">
        <v>244.43734271846893</v>
      </c>
      <c r="BP36" s="96">
        <v>153.18884595035999</v>
      </c>
      <c r="BQ36" s="237">
        <v>736.62693395900897</v>
      </c>
      <c r="BR36" s="163">
        <f>SUM(BN36:BQ36)</f>
        <v>5106.6249350171365</v>
      </c>
      <c r="BS36" s="3">
        <f>BL36-BR36</f>
        <v>0</v>
      </c>
      <c r="BU36" s="3">
        <v>4140.9429349977872</v>
      </c>
      <c r="BV36" s="3">
        <v>264.93745720474186</v>
      </c>
      <c r="BW36" s="3">
        <v>130.24438828981997</v>
      </c>
      <c r="BX36" s="3">
        <v>786.59980902252141</v>
      </c>
      <c r="BY36" s="163">
        <f>SUM(BU36:BX36)</f>
        <v>5322.7245895148699</v>
      </c>
      <c r="CA36" s="3">
        <v>4225.145417841356</v>
      </c>
      <c r="CB36" s="3">
        <v>264.36922951979864</v>
      </c>
      <c r="CC36" s="3">
        <v>86.818938892949546</v>
      </c>
      <c r="CD36" s="3">
        <v>830.48964301045339</v>
      </c>
      <c r="CE36" s="163">
        <f>SUM(CA36:CD36)</f>
        <v>5406.823229264558</v>
      </c>
      <c r="CG36" s="263">
        <v>4336.1964367364844</v>
      </c>
      <c r="CH36" s="3">
        <v>321.45095489919868</v>
      </c>
      <c r="CI36" s="3">
        <v>130.65593838764056</v>
      </c>
      <c r="CJ36" s="3">
        <v>843.59904856476442</v>
      </c>
      <c r="CK36" s="163">
        <f>SUM(CG36:CJ36)</f>
        <v>5631.9023785880872</v>
      </c>
      <c r="CM36" s="263">
        <v>4506.6974464438736</v>
      </c>
      <c r="CN36" s="3">
        <v>306.22297400742644</v>
      </c>
      <c r="CO36" s="3">
        <v>162.12820565552695</v>
      </c>
      <c r="CP36" s="3">
        <v>1058.7227420736933</v>
      </c>
      <c r="CQ36" s="163">
        <f>SUM(CM36:CP36)</f>
        <v>6033.7713681805208</v>
      </c>
      <c r="CS36" s="3">
        <v>4534.6184567138225</v>
      </c>
      <c r="CT36" s="3">
        <v>295.95255001602351</v>
      </c>
      <c r="CU36" s="3">
        <v>152.15999175937372</v>
      </c>
      <c r="CV36" s="3">
        <v>993.34422469441029</v>
      </c>
      <c r="CW36" s="162">
        <f t="shared" si="1"/>
        <v>5976.0752231836304</v>
      </c>
      <c r="CY36" s="3">
        <v>4314.3372194966842</v>
      </c>
      <c r="CZ36" s="3">
        <v>160.78030571454528</v>
      </c>
      <c r="DA36" s="3">
        <v>106.0919074225493</v>
      </c>
      <c r="DB36" s="3">
        <v>971.79617061869726</v>
      </c>
      <c r="DC36" s="162">
        <f t="shared" ref="DC36:DC39" si="11">SUM(CY36:DB36)</f>
        <v>5553.0056032524762</v>
      </c>
      <c r="DE36" s="3">
        <v>4580.3110349352864</v>
      </c>
      <c r="DF36" s="3">
        <v>171.90673364105351</v>
      </c>
      <c r="DG36" s="3">
        <v>151.13083310706853</v>
      </c>
      <c r="DH36" s="3">
        <v>975.47787808851479</v>
      </c>
      <c r="DI36" s="237">
        <f t="shared" si="7"/>
        <v>5878.826479771923</v>
      </c>
    </row>
    <row r="37" spans="1:113" ht="15.75">
      <c r="A37" s="1" t="s">
        <v>27</v>
      </c>
      <c r="B37" s="48">
        <v>4626.84</v>
      </c>
      <c r="C37" s="48">
        <v>4819</v>
      </c>
      <c r="D37" s="48">
        <v>5096.7062001853092</v>
      </c>
      <c r="E37" s="48">
        <v>5319.9290908809426</v>
      </c>
      <c r="F37" s="48">
        <v>5840.5787427915902</v>
      </c>
      <c r="G37" s="48">
        <v>5941.322254228513</v>
      </c>
      <c r="H37" s="48">
        <v>6088.1099254781566</v>
      </c>
      <c r="I37" s="48">
        <v>6029.9550590146664</v>
      </c>
      <c r="J37" s="48">
        <v>5984.460585888226</v>
      </c>
      <c r="K37" s="87">
        <v>5958.134054861318</v>
      </c>
      <c r="L37" s="239">
        <f t="shared" si="3"/>
        <v>-0.43991485362921101</v>
      </c>
      <c r="M37" s="244">
        <f t="shared" si="5"/>
        <v>33.952172993345002</v>
      </c>
      <c r="N37" s="49">
        <v>1873.62</v>
      </c>
      <c r="O37" s="49">
        <v>2062.8200000000002</v>
      </c>
      <c r="P37" s="49">
        <v>2276.64</v>
      </c>
      <c r="Q37" s="49">
        <v>2471.4499999999998</v>
      </c>
      <c r="R37" s="49">
        <v>2690.4</v>
      </c>
      <c r="S37" s="49">
        <v>2889.12</v>
      </c>
      <c r="T37" s="49">
        <v>3101.57</v>
      </c>
      <c r="U37" s="49">
        <v>3154.69</v>
      </c>
      <c r="V37" s="49">
        <v>3165.86</v>
      </c>
      <c r="W37" s="49">
        <v>3265.74</v>
      </c>
      <c r="X37" s="49">
        <v>3462.82</v>
      </c>
      <c r="Y37" s="48">
        <f>3054.16+457.04</f>
        <v>3511.2</v>
      </c>
      <c r="Z37" s="57">
        <v>3550.21</v>
      </c>
      <c r="AA37" s="57">
        <v>3368.62</v>
      </c>
      <c r="AB37" s="48">
        <v>3604.86</v>
      </c>
      <c r="AC37" s="48">
        <v>3827.8</v>
      </c>
      <c r="AD37" s="48">
        <v>3993.55</v>
      </c>
      <c r="AE37" s="48">
        <v>4312.789330196043</v>
      </c>
      <c r="AF37" s="48">
        <v>4447.9562531302345</v>
      </c>
      <c r="AG37" s="48"/>
      <c r="AH37" s="48"/>
      <c r="AI37" s="48"/>
      <c r="AJ37" s="323">
        <v>3355.9675339353839</v>
      </c>
      <c r="AK37" s="323">
        <v>203.12490678854942</v>
      </c>
      <c r="AL37" s="323">
        <v>96.056411145028022</v>
      </c>
      <c r="AM37" s="323">
        <v>657.64047832708104</v>
      </c>
      <c r="AN37" s="210">
        <f>SUM(AJ37:AM37)</f>
        <v>4312.789330196043</v>
      </c>
      <c r="AO37" s="48"/>
      <c r="AP37" s="48">
        <v>3430.085642306758</v>
      </c>
      <c r="AQ37" s="48">
        <v>233.77616287076395</v>
      </c>
      <c r="AR37" s="48">
        <v>87.839677021738183</v>
      </c>
      <c r="AS37" s="48">
        <v>696.2547709309739</v>
      </c>
      <c r="AT37" s="48">
        <f t="shared" si="6"/>
        <v>4447.9562531302345</v>
      </c>
      <c r="AU37" s="48"/>
      <c r="AV37" s="96">
        <v>3515.17</v>
      </c>
      <c r="AW37" s="96">
        <v>316.23</v>
      </c>
      <c r="AX37" s="163">
        <v>99.33</v>
      </c>
      <c r="AY37" s="163">
        <v>696.11</v>
      </c>
      <c r="AZ37" s="163">
        <f>SUM(AV37:AY37)</f>
        <v>4626.84</v>
      </c>
      <c r="BB37" s="3">
        <v>3617</v>
      </c>
      <c r="BC37" s="3">
        <v>385</v>
      </c>
      <c r="BD37" s="3">
        <v>95</v>
      </c>
      <c r="BE37" s="3">
        <v>722</v>
      </c>
      <c r="BF37" s="163">
        <f>SUM(BB37:BE37)</f>
        <v>4819</v>
      </c>
      <c r="BH37" s="237">
        <v>3868.5980346649494</v>
      </c>
      <c r="BI37" s="237">
        <v>342.33147224029346</v>
      </c>
      <c r="BJ37" s="96">
        <v>102.94678669358873</v>
      </c>
      <c r="BK37" s="237">
        <v>782.82990658647793</v>
      </c>
      <c r="BL37" s="163">
        <f>SUM(BH37:BK37)</f>
        <v>5096.7062001853092</v>
      </c>
      <c r="BN37" s="237">
        <v>3868.5980346649494</v>
      </c>
      <c r="BO37" s="237">
        <v>342.33147224029346</v>
      </c>
      <c r="BP37" s="96">
        <v>102.94678669358873</v>
      </c>
      <c r="BQ37" s="237">
        <v>782.82990658647793</v>
      </c>
      <c r="BR37" s="163">
        <f>SUM(BN37:BQ37)</f>
        <v>5096.7062001853092</v>
      </c>
      <c r="BS37" s="3">
        <f>BL37-BR37</f>
        <v>0</v>
      </c>
      <c r="BU37" s="3">
        <v>4054.877645164006</v>
      </c>
      <c r="BV37" s="3">
        <v>383.65166301934255</v>
      </c>
      <c r="BW37" s="3">
        <v>99.833161615388974</v>
      </c>
      <c r="BX37" s="3">
        <v>781.56662108220428</v>
      </c>
      <c r="BY37" s="163">
        <f>SUM(BU37:BX37)</f>
        <v>5319.9290908809426</v>
      </c>
      <c r="CA37" s="3">
        <v>4399.2719504684828</v>
      </c>
      <c r="CB37" s="3">
        <v>420.66465140527868</v>
      </c>
      <c r="CC37" s="3">
        <v>118.13430824350021</v>
      </c>
      <c r="CD37" s="3">
        <v>902.50783267432757</v>
      </c>
      <c r="CE37" s="163">
        <f>SUM(CA37:CD37)</f>
        <v>5840.5787427915902</v>
      </c>
      <c r="CG37" s="263">
        <v>4497.5632948560424</v>
      </c>
      <c r="CH37" s="3">
        <v>389.60065506766722</v>
      </c>
      <c r="CI37" s="3">
        <v>131.76297930140063</v>
      </c>
      <c r="CJ37" s="3">
        <v>922.39532500340317</v>
      </c>
      <c r="CK37" s="163">
        <f>SUM(CG37:CJ37)</f>
        <v>5941.322254228513</v>
      </c>
      <c r="CM37" s="263">
        <v>4606.2191079145096</v>
      </c>
      <c r="CN37" s="3">
        <v>314.49294811929212</v>
      </c>
      <c r="CO37" s="3">
        <v>155.33315661190233</v>
      </c>
      <c r="CP37" s="3">
        <v>1012.0647128324529</v>
      </c>
      <c r="CQ37" s="163">
        <f>SUM(CM37:CP37)</f>
        <v>6088.1099254781566</v>
      </c>
      <c r="CS37" s="3">
        <v>4559.1784070368822</v>
      </c>
      <c r="CT37" s="3">
        <v>309.54214387700819</v>
      </c>
      <c r="CU37" s="3">
        <v>145.39994126712165</v>
      </c>
      <c r="CV37" s="3">
        <v>1015.8345668336541</v>
      </c>
      <c r="CW37" s="162">
        <f t="shared" si="1"/>
        <v>6029.9550590146664</v>
      </c>
      <c r="CY37" s="3">
        <v>4528.4750016250018</v>
      </c>
      <c r="CZ37" s="3">
        <v>337.87971658802059</v>
      </c>
      <c r="DA37" s="3">
        <v>130.53231623959311</v>
      </c>
      <c r="DB37" s="3">
        <v>987.57355143561051</v>
      </c>
      <c r="DC37" s="162">
        <f t="shared" si="11"/>
        <v>5984.460585888226</v>
      </c>
      <c r="DE37" s="3">
        <v>4540.3208307468085</v>
      </c>
      <c r="DF37" s="3">
        <v>304.35650004948144</v>
      </c>
      <c r="DG37" s="3">
        <v>140.80654818133564</v>
      </c>
      <c r="DH37" s="3">
        <v>972.6501758836921</v>
      </c>
      <c r="DI37" s="237">
        <f t="shared" si="7"/>
        <v>5958.134054861318</v>
      </c>
    </row>
    <row r="38" spans="1:113" ht="15.75">
      <c r="A38" s="1" t="s">
        <v>28</v>
      </c>
      <c r="B38" s="48">
        <v>4797.17</v>
      </c>
      <c r="C38" s="48">
        <v>4961</v>
      </c>
      <c r="D38" s="48">
        <v>5294.2542590888697</v>
      </c>
      <c r="E38" s="48">
        <v>5810.1127282100906</v>
      </c>
      <c r="F38" s="48">
        <v>6282.1917682771546</v>
      </c>
      <c r="G38" s="48">
        <v>6430.1153223434076</v>
      </c>
      <c r="H38" s="48">
        <v>6650.685961953066</v>
      </c>
      <c r="I38" s="48">
        <v>6425.8167524766104</v>
      </c>
      <c r="J38" s="48">
        <v>6196.9288689994773</v>
      </c>
      <c r="K38" s="87">
        <v>6357.2524815683164</v>
      </c>
      <c r="L38" s="239">
        <f t="shared" si="3"/>
        <v>2.5871462454711707</v>
      </c>
      <c r="M38" s="244">
        <f t="shared" si="5"/>
        <v>35.864924957411517</v>
      </c>
      <c r="N38" s="49">
        <v>1809.28</v>
      </c>
      <c r="O38" s="49">
        <v>1975.29</v>
      </c>
      <c r="P38" s="49">
        <v>2129.9499999999998</v>
      </c>
      <c r="Q38" s="49">
        <v>2346.56</v>
      </c>
      <c r="R38" s="49">
        <v>2558.8200000000002</v>
      </c>
      <c r="S38" s="49">
        <v>2803.1</v>
      </c>
      <c r="T38" s="49">
        <v>3061.92</v>
      </c>
      <c r="U38" s="49">
        <v>3011.39</v>
      </c>
      <c r="V38" s="49">
        <v>3126.7</v>
      </c>
      <c r="W38" s="49">
        <v>3194.18</v>
      </c>
      <c r="X38" s="49">
        <v>3372.48</v>
      </c>
      <c r="Y38" s="48">
        <f>2936.13+424.19</f>
        <v>3360.32</v>
      </c>
      <c r="Z38" s="57">
        <v>3571.91</v>
      </c>
      <c r="AA38" s="57">
        <v>3404.32</v>
      </c>
      <c r="AB38" s="48">
        <v>3713.24</v>
      </c>
      <c r="AC38" s="48">
        <v>3941.14</v>
      </c>
      <c r="AD38" s="48">
        <v>4326.2</v>
      </c>
      <c r="AE38" s="48">
        <v>4545.7479514305069</v>
      </c>
      <c r="AF38" s="48">
        <v>4679.0976284431563</v>
      </c>
      <c r="AG38" s="48"/>
      <c r="AH38" s="48"/>
      <c r="AI38" s="48"/>
      <c r="AJ38" s="323">
        <v>3502.7063530648647</v>
      </c>
      <c r="AK38" s="323">
        <v>202.62363211102982</v>
      </c>
      <c r="AL38" s="323">
        <v>92.103271432579987</v>
      </c>
      <c r="AM38" s="323">
        <v>748.31469482203158</v>
      </c>
      <c r="AN38" s="210">
        <f>SUM(AJ38:AM38)</f>
        <v>4545.7479514305069</v>
      </c>
      <c r="AO38" s="48"/>
      <c r="AP38" s="48">
        <v>3593.0967231086565</v>
      </c>
      <c r="AQ38" s="48">
        <v>211.7092225838116</v>
      </c>
      <c r="AR38" s="48">
        <v>94.886845156556817</v>
      </c>
      <c r="AS38" s="48">
        <v>779.40483759413121</v>
      </c>
      <c r="AT38" s="48">
        <f t="shared" si="6"/>
        <v>4679.0976284431563</v>
      </c>
      <c r="AU38" s="48"/>
      <c r="AV38" s="96">
        <v>3669.49</v>
      </c>
      <c r="AW38" s="96">
        <v>241.82</v>
      </c>
      <c r="AX38" s="163">
        <v>86.77</v>
      </c>
      <c r="AY38" s="163">
        <v>799.09</v>
      </c>
      <c r="AZ38" s="163">
        <f>SUM(AV38:AY38)</f>
        <v>4797.17</v>
      </c>
      <c r="BB38" s="3">
        <v>3792</v>
      </c>
      <c r="BC38" s="3">
        <v>222</v>
      </c>
      <c r="BD38" s="3">
        <v>104</v>
      </c>
      <c r="BE38" s="3">
        <v>843</v>
      </c>
      <c r="BF38" s="163">
        <f>SUM(BB38:BE38)</f>
        <v>4961</v>
      </c>
      <c r="BH38" s="237">
        <v>4027.2624625365693</v>
      </c>
      <c r="BI38" s="237">
        <v>260.43084864669646</v>
      </c>
      <c r="BJ38" s="96">
        <v>105.68228017076852</v>
      </c>
      <c r="BK38" s="237">
        <v>900.87866773483552</v>
      </c>
      <c r="BL38" s="163">
        <f>SUM(BH38:BK38)</f>
        <v>5294.2542590888697</v>
      </c>
      <c r="BN38" s="237">
        <v>4027.2624625365693</v>
      </c>
      <c r="BO38" s="237">
        <v>260.43084864669646</v>
      </c>
      <c r="BP38" s="96">
        <v>105.68228017076852</v>
      </c>
      <c r="BQ38" s="237">
        <v>900.87866773483552</v>
      </c>
      <c r="BR38" s="163">
        <f>SUM(BN38:BQ38)</f>
        <v>5294.2542590888697</v>
      </c>
      <c r="BS38" s="3">
        <f>BL38-BR38</f>
        <v>0</v>
      </c>
      <c r="BU38" s="3">
        <v>4408.2232954393585</v>
      </c>
      <c r="BV38" s="3">
        <v>290.77868767708588</v>
      </c>
      <c r="BW38" s="3">
        <v>107.39358650272311</v>
      </c>
      <c r="BX38" s="3">
        <v>1003.7171585909226</v>
      </c>
      <c r="BY38" s="163">
        <f>SUM(BU38:BX38)</f>
        <v>5810.1127282100906</v>
      </c>
      <c r="CA38" s="3">
        <v>4684.3638163397109</v>
      </c>
      <c r="CB38" s="3">
        <v>308.89446036831362</v>
      </c>
      <c r="CC38" s="3">
        <v>162.35669764273715</v>
      </c>
      <c r="CD38" s="3">
        <v>1126.5767939263928</v>
      </c>
      <c r="CE38" s="163">
        <f>SUM(CA38:CD38)</f>
        <v>6282.1917682771546</v>
      </c>
      <c r="CG38" s="263">
        <v>4851.967061211767</v>
      </c>
      <c r="CH38" s="3">
        <v>288.22357470582432</v>
      </c>
      <c r="CI38" s="3">
        <v>129.40218122511911</v>
      </c>
      <c r="CJ38" s="3">
        <v>1160.522505200697</v>
      </c>
      <c r="CK38" s="163">
        <f>SUM(CG38:CJ38)</f>
        <v>6430.1153223434076</v>
      </c>
      <c r="CM38" s="263">
        <v>4944.6085655016686</v>
      </c>
      <c r="CN38" s="3">
        <v>310.6168100910993</v>
      </c>
      <c r="CO38" s="3">
        <v>150.23451164205309</v>
      </c>
      <c r="CP38" s="3">
        <v>1245.2260747182452</v>
      </c>
      <c r="CQ38" s="163">
        <f>SUM(CM38:CP38)</f>
        <v>6650.685961953066</v>
      </c>
      <c r="CS38" s="3">
        <v>4809.1463529045504</v>
      </c>
      <c r="CT38" s="3">
        <v>266.01518144246478</v>
      </c>
      <c r="CU38" s="3">
        <v>123.91145221412819</v>
      </c>
      <c r="CV38" s="3">
        <v>1226.7437659154671</v>
      </c>
      <c r="CW38" s="162">
        <f t="shared" si="1"/>
        <v>6425.8167524766104</v>
      </c>
      <c r="CY38" s="3">
        <v>4672.3809685165088</v>
      </c>
      <c r="CZ38" s="3">
        <v>212.10726961253405</v>
      </c>
      <c r="DA38" s="3">
        <v>126.39251729992678</v>
      </c>
      <c r="DB38" s="3">
        <v>1186.0481135705079</v>
      </c>
      <c r="DC38" s="162">
        <f t="shared" si="11"/>
        <v>6196.9288689994773</v>
      </c>
      <c r="DE38" s="3">
        <v>4777.3853747069279</v>
      </c>
      <c r="DF38" s="3">
        <v>229.36975650405356</v>
      </c>
      <c r="DG38" s="3">
        <v>139.1091070873704</v>
      </c>
      <c r="DH38" s="3">
        <v>1211.3882432699641</v>
      </c>
      <c r="DI38" s="237">
        <f t="shared" si="7"/>
        <v>6357.2524815683164</v>
      </c>
    </row>
    <row r="39" spans="1:113" ht="15.75">
      <c r="A39" s="17" t="s">
        <v>29</v>
      </c>
      <c r="B39" s="88">
        <v>6079.91</v>
      </c>
      <c r="C39" s="88">
        <v>6412</v>
      </c>
      <c r="D39" s="88">
        <v>6808.7318616775046</v>
      </c>
      <c r="E39" s="88">
        <v>7442.49479206674</v>
      </c>
      <c r="F39" s="88">
        <v>8152.4626598857249</v>
      </c>
      <c r="G39" s="88">
        <v>8575.6309788061681</v>
      </c>
      <c r="H39" s="88">
        <v>8554.2350707446622</v>
      </c>
      <c r="I39" s="88">
        <v>8621.4258116899528</v>
      </c>
      <c r="J39" s="88">
        <v>8666.4085852362823</v>
      </c>
      <c r="K39" s="377">
        <v>8495.2894428106865</v>
      </c>
      <c r="L39" s="245">
        <f>(K39-J39)*100/J39</f>
        <v>-1.9745104415813828</v>
      </c>
      <c r="M39" s="244">
        <f t="shared" si="5"/>
        <v>39.645254855506295</v>
      </c>
      <c r="N39" s="49">
        <v>2268.3000000000002</v>
      </c>
      <c r="O39" s="49">
        <v>2438.4899999999998</v>
      </c>
      <c r="P39" s="49">
        <v>2807.39</v>
      </c>
      <c r="Q39" s="49">
        <v>2974.11</v>
      </c>
      <c r="R39" s="49">
        <v>3148.62</v>
      </c>
      <c r="S39" s="49">
        <v>3398.76</v>
      </c>
      <c r="T39" s="49">
        <v>3595.32</v>
      </c>
      <c r="U39" s="49">
        <v>3654.59</v>
      </c>
      <c r="V39" s="49">
        <v>3726.03</v>
      </c>
      <c r="W39" s="49">
        <v>3840.38</v>
      </c>
      <c r="X39" s="49">
        <v>3875.69</v>
      </c>
      <c r="Y39" s="48">
        <f>3406.86+449.39</f>
        <v>3856.25</v>
      </c>
      <c r="Z39" s="58">
        <v>4034.53</v>
      </c>
      <c r="AA39" s="58">
        <v>3881.84</v>
      </c>
      <c r="AB39" s="88">
        <v>4144.5200000000004</v>
      </c>
      <c r="AC39" s="88">
        <v>4383.22</v>
      </c>
      <c r="AD39" s="88">
        <v>4886.01</v>
      </c>
      <c r="AE39" s="88">
        <v>5391.7819082770529</v>
      </c>
      <c r="AF39" s="88">
        <v>6083.4787774213528</v>
      </c>
      <c r="AG39" s="88"/>
      <c r="AH39" s="88"/>
      <c r="AI39" s="88"/>
      <c r="AJ39" s="88">
        <v>4191.6317653525994</v>
      </c>
      <c r="AK39" s="88">
        <v>271.25481074289303</v>
      </c>
      <c r="AL39" s="88">
        <v>116.56236217999059</v>
      </c>
      <c r="AM39" s="88">
        <v>812.33297000157052</v>
      </c>
      <c r="AN39" s="210">
        <f>SUM(AJ39:AM39)</f>
        <v>5391.7819082770529</v>
      </c>
      <c r="AO39" s="88"/>
      <c r="AP39" s="88">
        <v>4662.2823694539074</v>
      </c>
      <c r="AQ39" s="88">
        <v>372.86914919547428</v>
      </c>
      <c r="AR39" s="88">
        <v>132.34593111723174</v>
      </c>
      <c r="AS39" s="88">
        <v>915.98132765473974</v>
      </c>
      <c r="AT39" s="48">
        <f t="shared" si="6"/>
        <v>6083.4787774213528</v>
      </c>
      <c r="AU39" s="88"/>
      <c r="AV39" s="97">
        <v>4640.8</v>
      </c>
      <c r="AW39" s="97">
        <v>370.29</v>
      </c>
      <c r="AX39" s="163">
        <v>140.94999999999999</v>
      </c>
      <c r="AY39" s="163">
        <v>927.87</v>
      </c>
      <c r="AZ39" s="163">
        <f>SUM(AV39:AY39)</f>
        <v>6079.91</v>
      </c>
      <c r="BB39" s="3">
        <v>4878</v>
      </c>
      <c r="BC39" s="3">
        <v>351</v>
      </c>
      <c r="BD39" s="3">
        <v>160</v>
      </c>
      <c r="BE39" s="3">
        <v>1023</v>
      </c>
      <c r="BF39" s="163">
        <f>SUM(BB39:BE39)</f>
        <v>6412</v>
      </c>
      <c r="BH39" s="237">
        <v>5158.8272638280741</v>
      </c>
      <c r="BI39" s="237">
        <v>341.73737545435921</v>
      </c>
      <c r="BJ39" s="97">
        <v>193.28025254403204</v>
      </c>
      <c r="BK39" s="237">
        <v>1114.8869698510387</v>
      </c>
      <c r="BL39" s="163">
        <f>SUM(BH39:BK39)</f>
        <v>6808.7318616775046</v>
      </c>
      <c r="BN39" s="237">
        <v>5158.8272638280741</v>
      </c>
      <c r="BO39" s="237">
        <v>341.73737545435921</v>
      </c>
      <c r="BP39" s="97">
        <v>193.28025254403204</v>
      </c>
      <c r="BQ39" s="237">
        <v>1114.8869698510387</v>
      </c>
      <c r="BR39" s="163">
        <f>SUM(BN39:BQ39)</f>
        <v>6808.7318616775046</v>
      </c>
      <c r="BS39" s="3">
        <f>BL39-BR39</f>
        <v>0</v>
      </c>
      <c r="BU39" s="3">
        <v>5524.5874933676178</v>
      </c>
      <c r="BV39" s="3">
        <v>409.37900265614741</v>
      </c>
      <c r="BW39" s="3">
        <v>244.22462673747131</v>
      </c>
      <c r="BX39" s="3">
        <v>1264.3036693055033</v>
      </c>
      <c r="BY39" s="163">
        <f>SUM(BU39:BX39)</f>
        <v>7442.49479206674</v>
      </c>
      <c r="CA39" s="3">
        <v>6087.4722629861681</v>
      </c>
      <c r="CB39" s="3">
        <v>365.44018167613848</v>
      </c>
      <c r="CC39" s="3">
        <v>274.93808305632569</v>
      </c>
      <c r="CD39" s="3">
        <v>1424.6121321670928</v>
      </c>
      <c r="CE39" s="163">
        <f>SUM(CA39:CD39)</f>
        <v>8152.4626598857249</v>
      </c>
      <c r="CG39" s="265">
        <v>6437.6311208187326</v>
      </c>
      <c r="CH39" s="3">
        <v>385.11276415108904</v>
      </c>
      <c r="CI39" s="3">
        <v>248.7053131222697</v>
      </c>
      <c r="CJ39" s="3">
        <v>1504.1817807140762</v>
      </c>
      <c r="CK39" s="163">
        <f>SUM(CG39:CJ39)</f>
        <v>8575.6309788061681</v>
      </c>
      <c r="CM39" s="265">
        <v>6384.3985300616359</v>
      </c>
      <c r="CN39" s="3">
        <v>390.69616932201427</v>
      </c>
      <c r="CO39" s="3">
        <v>194.77518005969685</v>
      </c>
      <c r="CP39" s="3">
        <v>1584.3651913013143</v>
      </c>
      <c r="CQ39" s="163">
        <f>SUM(CM39:CP39)</f>
        <v>8554.2350707446622</v>
      </c>
      <c r="CS39" s="3">
        <v>6343.3681173742743</v>
      </c>
      <c r="CT39" s="3">
        <v>485.45647442465031</v>
      </c>
      <c r="CU39" s="3">
        <v>197.27223962337092</v>
      </c>
      <c r="CV39" s="3">
        <v>1595.3289802676568</v>
      </c>
      <c r="CW39" s="162">
        <f t="shared" si="1"/>
        <v>8621.4258116899528</v>
      </c>
      <c r="CY39" s="3">
        <v>6373.7778983253756</v>
      </c>
      <c r="CZ39" s="3">
        <v>438.79787552698474</v>
      </c>
      <c r="DA39" s="3">
        <v>234.58783975104421</v>
      </c>
      <c r="DB39" s="3">
        <v>1619.2449716328777</v>
      </c>
      <c r="DC39" s="162">
        <f t="shared" si="11"/>
        <v>8666.4085852362823</v>
      </c>
      <c r="DE39" s="3">
        <v>6401.7398154631319</v>
      </c>
      <c r="DF39" s="3">
        <v>329.50505687034183</v>
      </c>
      <c r="DG39" s="3">
        <v>189.20292676095784</v>
      </c>
      <c r="DH39" s="3">
        <v>1574.8416437162552</v>
      </c>
      <c r="DI39" s="237">
        <f t="shared" si="7"/>
        <v>8495.2894428106865</v>
      </c>
    </row>
    <row r="40" spans="1:113">
      <c r="A40" s="1" t="s">
        <v>297</v>
      </c>
      <c r="B40" s="18"/>
      <c r="C40" s="18"/>
      <c r="D40" s="18"/>
      <c r="E40" s="210"/>
      <c r="F40" s="210"/>
      <c r="G40" s="210"/>
      <c r="H40" s="210"/>
      <c r="I40" s="210"/>
      <c r="J40" s="210"/>
      <c r="K40" s="210"/>
      <c r="L40" s="288"/>
      <c r="M40" s="18"/>
      <c r="N40" s="37"/>
      <c r="O40" s="18"/>
      <c r="P40" s="18"/>
      <c r="Q40" s="18"/>
      <c r="Y40" s="18"/>
    </row>
    <row r="41" spans="1:113">
      <c r="E41" s="210"/>
      <c r="F41" s="210"/>
      <c r="G41" s="210"/>
      <c r="H41" s="210"/>
      <c r="I41" s="210"/>
      <c r="J41" s="210"/>
      <c r="K41" s="210"/>
      <c r="L41" s="288"/>
      <c r="N41" s="30"/>
    </row>
    <row r="42" spans="1:113">
      <c r="A42" s="1" t="s">
        <v>235</v>
      </c>
      <c r="O42" s="14"/>
      <c r="P42" s="14"/>
      <c r="Q42" s="14"/>
    </row>
    <row r="43" spans="1:113">
      <c r="O43" s="14"/>
      <c r="P43" s="14"/>
      <c r="Q43" s="14"/>
    </row>
    <row r="44" spans="1:113">
      <c r="O44" s="14"/>
      <c r="P44" s="14"/>
      <c r="Q44" s="14"/>
    </row>
    <row r="45" spans="1:113">
      <c r="O45" s="14"/>
      <c r="P45" s="14"/>
      <c r="Q45" s="14"/>
    </row>
    <row r="46" spans="1:113">
      <c r="O46" s="14"/>
      <c r="P46" s="14"/>
      <c r="Q46" s="14"/>
    </row>
  </sheetData>
  <sheetProtection password="CAF5" sheet="1" objects="1" scenarios="1"/>
  <mergeCells count="1">
    <mergeCell ref="A4:M4"/>
  </mergeCells>
  <phoneticPr fontId="2" type="noConversion"/>
  <pageMargins left="0.54" right="0.54" top="0.74" bottom="0.48" header="0.5" footer="0.32"/>
  <pageSetup scale="74" orientation="landscape" horizontalDpi="4294967292" verticalDpi="4294967292" r:id="rId1"/>
  <headerFooter scaleWithDoc="0" alignWithMargins="0">
    <oddFooter>&amp;L&amp;"Arial,Italic"&amp;10MSDE - LFRO  12 / 2014&amp;C&amp;"Arial,Regular"&amp;10- 16 -&amp;R&amp;"Arial,Italic"&amp;10Selected Financial Data - Part 4</oddFooter>
  </headerFooter>
  <rowBreaks count="1" manualBreakCount="1">
    <brk id="41" max="16383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BP46"/>
  <sheetViews>
    <sheetView workbookViewId="0"/>
  </sheetViews>
  <sheetFormatPr defaultColWidth="10" defaultRowHeight="12.75"/>
  <cols>
    <col min="1" max="1" width="12.875" style="1" customWidth="1"/>
    <col min="2" max="4" width="12.625" style="1" customWidth="1"/>
    <col min="5" max="5" width="12.625" style="59" customWidth="1"/>
    <col min="6" max="11" width="12.625" style="61" customWidth="1"/>
    <col min="12" max="12" width="6.625" style="61" customWidth="1"/>
    <col min="13" max="13" width="6.625" style="1" customWidth="1"/>
    <col min="14" max="14" width="9.5" style="1" customWidth="1"/>
    <col min="15" max="21" width="10.125" style="1" customWidth="1"/>
    <col min="22" max="22" width="8.625" style="1" bestFit="1" customWidth="1"/>
    <col min="23" max="24" width="12.75" style="1" customWidth="1"/>
    <col min="25" max="25" width="12.625" style="1" customWidth="1"/>
    <col min="26" max="26" width="11.125" style="1" bestFit="1" customWidth="1"/>
    <col min="27" max="28" width="11.125" style="1" customWidth="1"/>
    <col min="29" max="29" width="8.375" style="1" bestFit="1" customWidth="1"/>
    <col min="30" max="33" width="8.375" style="1" customWidth="1"/>
    <col min="34" max="34" width="11.125" style="3" bestFit="1" customWidth="1"/>
    <col min="35" max="35" width="10.125" style="3" customWidth="1"/>
    <col min="36" max="36" width="3.25" style="3" customWidth="1"/>
    <col min="37" max="37" width="11.125" style="3" bestFit="1" customWidth="1"/>
    <col min="38" max="38" width="10.125" style="3" customWidth="1"/>
    <col min="39" max="39" width="2.875" style="3" customWidth="1"/>
    <col min="40" max="40" width="12.125" style="3" customWidth="1"/>
    <col min="41" max="41" width="10.125" style="3" customWidth="1"/>
    <col min="42" max="42" width="3.5" style="3" customWidth="1"/>
    <col min="43" max="43" width="11.125" style="3" bestFit="1" customWidth="1"/>
    <col min="44" max="45" width="10.125" style="3" customWidth="1"/>
    <col min="46" max="46" width="11.125" style="3" bestFit="1" customWidth="1"/>
    <col min="47" max="47" width="10.125" style="3" customWidth="1"/>
    <col min="48" max="48" width="5.625" style="3" customWidth="1"/>
    <col min="49" max="49" width="11.125" style="3" bestFit="1" customWidth="1"/>
    <col min="50" max="50" width="10.125" style="3" customWidth="1"/>
    <col min="51" max="51" width="4.75" style="3" customWidth="1"/>
    <col min="52" max="52" width="11.125" style="3" bestFit="1" customWidth="1"/>
    <col min="53" max="54" width="10" style="3"/>
    <col min="55" max="55" width="11.125" style="3" bestFit="1" customWidth="1"/>
    <col min="56" max="57" width="10" style="3"/>
    <col min="58" max="58" width="15.25" style="3" bestFit="1" customWidth="1"/>
    <col min="59" max="60" width="10" style="3"/>
    <col min="61" max="61" width="15.25" style="3" bestFit="1" customWidth="1"/>
    <col min="62" max="62" width="10" style="3"/>
    <col min="63" max="63" width="7.625" style="3" customWidth="1"/>
    <col min="64" max="64" width="16" style="3" customWidth="1"/>
    <col min="65" max="65" width="14.375" style="3" customWidth="1"/>
    <col min="66" max="16384" width="10" style="3"/>
  </cols>
  <sheetData>
    <row r="1" spans="1:68" ht="15.75" customHeight="1">
      <c r="A1" s="118" t="s">
        <v>99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2"/>
      <c r="O1" s="2"/>
      <c r="P1" s="2"/>
      <c r="Q1" s="2"/>
      <c r="Y1" s="117"/>
    </row>
    <row r="2" spans="1:68">
      <c r="A2" s="115"/>
      <c r="B2" s="115"/>
      <c r="C2" s="115"/>
      <c r="D2" s="115"/>
      <c r="E2" s="118"/>
      <c r="F2" s="118"/>
      <c r="G2" s="118"/>
      <c r="H2" s="118"/>
      <c r="I2" s="118"/>
      <c r="J2" s="118"/>
      <c r="K2" s="118"/>
      <c r="L2" s="118"/>
      <c r="M2" s="115"/>
      <c r="N2" s="2"/>
      <c r="O2" s="2"/>
      <c r="P2" s="2"/>
      <c r="Q2" s="2"/>
      <c r="Y2" s="115"/>
    </row>
    <row r="3" spans="1:68" ht="15.75">
      <c r="A3" s="115" t="s">
        <v>236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86"/>
      <c r="O3" s="86"/>
      <c r="P3" s="86"/>
      <c r="Q3" s="86"/>
      <c r="Y3" s="119"/>
    </row>
    <row r="4" spans="1:68">
      <c r="A4" s="405" t="s">
        <v>367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115"/>
      <c r="O4" s="199"/>
      <c r="P4" s="199"/>
      <c r="Q4" s="10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2"/>
      <c r="AK4" s="1"/>
    </row>
    <row r="5" spans="1:68" ht="13.5" thickBot="1">
      <c r="D5" s="11"/>
      <c r="E5" s="11"/>
      <c r="F5" s="59"/>
      <c r="G5" s="59"/>
      <c r="H5" s="59"/>
      <c r="I5" s="59"/>
      <c r="J5" s="59"/>
      <c r="K5" s="59"/>
      <c r="L5" s="59"/>
      <c r="N5" s="7"/>
      <c r="O5" s="7"/>
      <c r="P5" s="7"/>
      <c r="Q5" s="7"/>
      <c r="AH5" s="40" t="s">
        <v>161</v>
      </c>
      <c r="AK5" s="40" t="s">
        <v>168</v>
      </c>
      <c r="AN5" s="40" t="s">
        <v>184</v>
      </c>
      <c r="AQ5" s="3" t="s">
        <v>194</v>
      </c>
      <c r="AT5" s="3" t="s">
        <v>208</v>
      </c>
      <c r="AW5" s="3" t="s">
        <v>243</v>
      </c>
      <c r="AZ5" s="3" t="s">
        <v>256</v>
      </c>
      <c r="BC5" s="3" t="s">
        <v>269</v>
      </c>
      <c r="BF5" s="3" t="s">
        <v>283</v>
      </c>
      <c r="BI5" s="3" t="s">
        <v>320</v>
      </c>
      <c r="BL5" s="3" t="s">
        <v>330</v>
      </c>
      <c r="BO5" s="3" t="s">
        <v>360</v>
      </c>
    </row>
    <row r="6" spans="1:68" ht="13.5" thickTop="1">
      <c r="A6" s="5"/>
      <c r="B6" s="60"/>
      <c r="C6" s="5"/>
      <c r="D6" s="5"/>
      <c r="E6" s="5"/>
      <c r="F6" s="215"/>
      <c r="G6" s="215"/>
      <c r="H6" s="215"/>
      <c r="I6" s="215"/>
      <c r="J6" s="215"/>
      <c r="K6" s="21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0"/>
      <c r="AE6" s="63"/>
      <c r="AF6" s="63"/>
      <c r="AG6" s="7"/>
      <c r="AH6" s="1" t="s">
        <v>119</v>
      </c>
      <c r="AI6" s="1"/>
      <c r="AK6" s="1" t="s">
        <v>119</v>
      </c>
      <c r="AN6" s="1" t="s">
        <v>119</v>
      </c>
      <c r="AQ6" s="3" t="s">
        <v>119</v>
      </c>
      <c r="AT6" s="3" t="s">
        <v>119</v>
      </c>
      <c r="AW6" s="3" t="s">
        <v>119</v>
      </c>
      <c r="AZ6" s="3" t="s">
        <v>119</v>
      </c>
      <c r="BC6" s="3" t="s">
        <v>119</v>
      </c>
      <c r="BF6" s="3" t="s">
        <v>119</v>
      </c>
      <c r="BI6" s="3" t="s">
        <v>119</v>
      </c>
      <c r="BL6" s="3" t="s">
        <v>119</v>
      </c>
      <c r="BO6" s="3" t="s">
        <v>119</v>
      </c>
    </row>
    <row r="7" spans="1:68" ht="12.75" customHeight="1">
      <c r="A7" s="7"/>
      <c r="B7" s="59"/>
      <c r="E7" s="1"/>
      <c r="F7" s="295"/>
      <c r="G7" s="295"/>
      <c r="H7" s="295"/>
      <c r="I7" s="295"/>
      <c r="J7" s="295"/>
      <c r="K7" s="295"/>
      <c r="L7" s="6" t="s">
        <v>34</v>
      </c>
      <c r="M7" s="6"/>
      <c r="O7" s="7"/>
      <c r="P7" s="7"/>
      <c r="Q7" s="7"/>
      <c r="T7" s="7"/>
      <c r="U7" s="7"/>
      <c r="V7" s="7"/>
      <c r="W7" s="7"/>
      <c r="X7" s="7"/>
      <c r="Y7" s="7"/>
      <c r="Z7" s="7"/>
      <c r="AA7" s="7"/>
      <c r="AC7" s="7"/>
      <c r="AD7" s="59"/>
      <c r="AE7" s="59"/>
      <c r="AF7" s="59"/>
      <c r="AG7" s="7"/>
      <c r="AH7" s="1" t="s">
        <v>89</v>
      </c>
      <c r="AI7" s="1"/>
      <c r="AK7" s="1" t="s">
        <v>89</v>
      </c>
      <c r="AN7" s="1" t="s">
        <v>89</v>
      </c>
      <c r="AQ7" s="3" t="s">
        <v>89</v>
      </c>
      <c r="AT7" s="3" t="s">
        <v>89</v>
      </c>
      <c r="AW7" s="3" t="s">
        <v>89</v>
      </c>
      <c r="AZ7" s="3" t="s">
        <v>89</v>
      </c>
      <c r="BC7" s="3" t="s">
        <v>89</v>
      </c>
      <c r="BF7" s="3" t="s">
        <v>89</v>
      </c>
      <c r="BI7" s="3" t="s">
        <v>89</v>
      </c>
      <c r="BL7" s="3" t="s">
        <v>89</v>
      </c>
      <c r="BO7" s="3" t="s">
        <v>89</v>
      </c>
    </row>
    <row r="8" spans="1:68" ht="12.75" customHeight="1">
      <c r="A8" s="7"/>
      <c r="B8" s="63"/>
      <c r="C8" s="7"/>
      <c r="D8" s="7"/>
      <c r="E8" s="7"/>
      <c r="F8" s="295"/>
      <c r="G8" s="295"/>
      <c r="H8" s="295"/>
      <c r="I8" s="295"/>
      <c r="J8" s="295"/>
      <c r="K8" s="295"/>
      <c r="L8" s="10" t="s">
        <v>85</v>
      </c>
      <c r="M8" s="10" t="s">
        <v>86</v>
      </c>
      <c r="N8" s="17"/>
      <c r="O8" s="17"/>
      <c r="P8" s="17"/>
      <c r="Q8" s="7"/>
      <c r="T8" s="7"/>
      <c r="U8" s="7"/>
      <c r="V8" s="7"/>
      <c r="W8" s="7"/>
      <c r="X8" s="7"/>
      <c r="Y8" s="7"/>
      <c r="Z8" s="7"/>
      <c r="AA8" s="7"/>
      <c r="AB8" s="7"/>
      <c r="AC8" s="7"/>
      <c r="AD8" s="63"/>
      <c r="AE8" s="63"/>
      <c r="AF8" s="63"/>
      <c r="AG8" s="7"/>
      <c r="AH8" s="1" t="s">
        <v>120</v>
      </c>
      <c r="AI8" s="1"/>
      <c r="AK8" s="1" t="s">
        <v>120</v>
      </c>
      <c r="AN8" s="1" t="s">
        <v>120</v>
      </c>
      <c r="AQ8" s="3" t="s">
        <v>120</v>
      </c>
      <c r="AT8" s="3" t="s">
        <v>120</v>
      </c>
      <c r="AW8" s="3" t="s">
        <v>120</v>
      </c>
      <c r="AZ8" s="3" t="s">
        <v>120</v>
      </c>
      <c r="BC8" s="3" t="s">
        <v>120</v>
      </c>
      <c r="BF8" s="3" t="s">
        <v>120</v>
      </c>
      <c r="BI8" s="3" t="s">
        <v>120</v>
      </c>
      <c r="BL8" s="3" t="s">
        <v>120</v>
      </c>
      <c r="BO8" s="3" t="s">
        <v>120</v>
      </c>
    </row>
    <row r="9" spans="1:68" ht="13.5" thickBot="1">
      <c r="A9" s="8" t="s">
        <v>1</v>
      </c>
      <c r="B9" s="397" t="s">
        <v>184</v>
      </c>
      <c r="C9" s="397" t="s">
        <v>194</v>
      </c>
      <c r="D9" s="397" t="s">
        <v>208</v>
      </c>
      <c r="E9" s="397" t="s">
        <v>243</v>
      </c>
      <c r="F9" s="397" t="s">
        <v>256</v>
      </c>
      <c r="G9" s="397" t="s">
        <v>269</v>
      </c>
      <c r="H9" s="397" t="s">
        <v>283</v>
      </c>
      <c r="I9" s="397" t="s">
        <v>303</v>
      </c>
      <c r="J9" s="397" t="s">
        <v>330</v>
      </c>
      <c r="K9" s="397" t="s">
        <v>360</v>
      </c>
      <c r="L9" s="9" t="s">
        <v>84</v>
      </c>
      <c r="M9" s="9" t="s">
        <v>84</v>
      </c>
      <c r="N9" s="66" t="s">
        <v>55</v>
      </c>
      <c r="O9" s="66" t="s">
        <v>53</v>
      </c>
      <c r="P9" s="66" t="s">
        <v>73</v>
      </c>
      <c r="Q9" s="9" t="s">
        <v>74</v>
      </c>
      <c r="R9" s="9" t="s">
        <v>75</v>
      </c>
      <c r="S9" s="9" t="s">
        <v>76</v>
      </c>
      <c r="T9" s="9" t="s">
        <v>77</v>
      </c>
      <c r="U9" s="9" t="s">
        <v>50</v>
      </c>
      <c r="V9" s="9" t="s">
        <v>54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08" t="s">
        <v>105</v>
      </c>
      <c r="AE9" s="352" t="s">
        <v>161</v>
      </c>
      <c r="AF9" s="26" t="s">
        <v>168</v>
      </c>
      <c r="AG9" s="310"/>
      <c r="AH9" s="1"/>
      <c r="AI9" s="1"/>
    </row>
    <row r="10" spans="1:68" ht="15.75">
      <c r="A10" s="7" t="s">
        <v>5</v>
      </c>
      <c r="B10" s="11">
        <f t="shared" ref="B10:K10" si="0">SUM(B12:B39)</f>
        <v>382106</v>
      </c>
      <c r="C10" s="11">
        <f t="shared" si="0"/>
        <v>418461</v>
      </c>
      <c r="D10" s="11">
        <f t="shared" si="0"/>
        <v>469096.99900000001</v>
      </c>
      <c r="E10" s="11">
        <f t="shared" si="0"/>
        <v>547383.44384624995</v>
      </c>
      <c r="F10" s="11">
        <f t="shared" si="0"/>
        <v>639117.95200000005</v>
      </c>
      <c r="G10" s="11">
        <f t="shared" si="0"/>
        <v>728060.01199999999</v>
      </c>
      <c r="H10" s="11">
        <f t="shared" si="0"/>
        <v>772370.44200000004</v>
      </c>
      <c r="I10" s="11">
        <f t="shared" si="0"/>
        <v>756096.11299999978</v>
      </c>
      <c r="J10" s="11">
        <f t="shared" si="0"/>
        <v>704670.6100000001</v>
      </c>
      <c r="K10" s="11">
        <f t="shared" si="0"/>
        <v>673570.995</v>
      </c>
      <c r="L10" s="239">
        <f>(K10-J10)*100/J10</f>
        <v>-4.4133549148587452</v>
      </c>
      <c r="M10" s="244">
        <f>((K10-AF10)*100)/AF10</f>
        <v>88.691750122403505</v>
      </c>
      <c r="N10" s="67">
        <f t="shared" ref="N10:S10" si="1">SUM(N12:N39)</f>
        <v>54322</v>
      </c>
      <c r="O10" s="67">
        <f t="shared" si="1"/>
        <v>59642</v>
      </c>
      <c r="P10" s="67">
        <f t="shared" si="1"/>
        <v>65476</v>
      </c>
      <c r="Q10" s="11">
        <f t="shared" si="1"/>
        <v>72208</v>
      </c>
      <c r="R10" s="11">
        <f t="shared" si="1"/>
        <v>79239</v>
      </c>
      <c r="S10" s="11">
        <f t="shared" si="1"/>
        <v>86994</v>
      </c>
      <c r="T10" s="11">
        <f t="shared" ref="T10:Z10" si="2">SUM(T12:T39)</f>
        <v>94400</v>
      </c>
      <c r="U10" s="11">
        <f t="shared" si="2"/>
        <v>102582</v>
      </c>
      <c r="V10" s="11">
        <f t="shared" si="2"/>
        <v>111795</v>
      </c>
      <c r="W10" s="11">
        <f t="shared" si="2"/>
        <v>117635</v>
      </c>
      <c r="X10" s="11">
        <f t="shared" si="2"/>
        <v>121072</v>
      </c>
      <c r="Y10" s="11">
        <f t="shared" si="2"/>
        <v>123319</v>
      </c>
      <c r="Z10" s="11">
        <f t="shared" si="2"/>
        <v>127364</v>
      </c>
      <c r="AA10" s="11">
        <f>SUM(AA12:AA39)</f>
        <v>130462</v>
      </c>
      <c r="AB10" s="11">
        <f>SUM(AB12:AB39)</f>
        <v>134108</v>
      </c>
      <c r="AC10" s="11">
        <f>SUM(AC12:AC39)</f>
        <v>138965.27000000002</v>
      </c>
      <c r="AD10" s="11">
        <f t="shared" ref="AD10:AF10" si="3">SUM(AD12:AD39)</f>
        <v>142702</v>
      </c>
      <c r="AE10" s="11">
        <f t="shared" si="3"/>
        <v>339646</v>
      </c>
      <c r="AF10" s="11">
        <f t="shared" si="3"/>
        <v>356968.96899999998</v>
      </c>
      <c r="AG10" s="11"/>
      <c r="AH10" s="11">
        <f>SUM(AH12:AH39)</f>
        <v>339642268</v>
      </c>
      <c r="AI10" s="1"/>
      <c r="AK10" s="11">
        <f>SUM(AK12:AK39)</f>
        <v>356968969</v>
      </c>
      <c r="AN10" s="11">
        <f>SUM(AN12:AN39)</f>
        <v>382105908</v>
      </c>
      <c r="AQ10" s="11">
        <f>SUM(AQ12:AQ39)</f>
        <v>418460091.5</v>
      </c>
      <c r="AR10" s="11">
        <f>SUM(AR12:AR39)</f>
        <v>418460.09149999998</v>
      </c>
      <c r="AT10" s="11">
        <f>SUM(AT12:AT39)</f>
        <v>469096999</v>
      </c>
      <c r="AU10" s="11">
        <f>SUM(AU12:AU39)</f>
        <v>469096.99900000001</v>
      </c>
      <c r="AW10" s="11">
        <f>SUM(AW12:AW39)</f>
        <v>547383443.84625006</v>
      </c>
      <c r="AX10" s="11">
        <f>SUM(AX12:AX39)</f>
        <v>547383.44384624995</v>
      </c>
      <c r="AZ10" s="11">
        <f>SUM(AZ12:AZ39)</f>
        <v>639117952</v>
      </c>
      <c r="BA10" s="11">
        <f>SUM(BA12:BA39)</f>
        <v>639117.95200000005</v>
      </c>
      <c r="BC10" s="11">
        <f>SUM(BC12:BC39)</f>
        <v>728060012</v>
      </c>
      <c r="BD10" s="11">
        <f>SUM(BD12:BD39)</f>
        <v>728060.01199999999</v>
      </c>
      <c r="BF10" s="275">
        <f>SUM(BF12:BF39)</f>
        <v>772370442</v>
      </c>
      <c r="BG10" s="11">
        <f>SUM(BG12:BG39)</f>
        <v>772370.44200000004</v>
      </c>
      <c r="BI10" s="275">
        <f>SUM(BI12:BI39)</f>
        <v>756096113</v>
      </c>
      <c r="BJ10" s="11">
        <f>SUM(BJ12:BJ39)</f>
        <v>756096.11299999978</v>
      </c>
      <c r="BL10" s="275">
        <f>SUM(BL12:BL39)</f>
        <v>704670610</v>
      </c>
      <c r="BM10" s="11">
        <f>SUM(BM12:BM39)</f>
        <v>704670.6100000001</v>
      </c>
      <c r="BO10" s="3">
        <f>SUM(BO12:BO39)</f>
        <v>673570995</v>
      </c>
      <c r="BP10" s="3">
        <f>SUM(BP12:BP39)</f>
        <v>673570.995</v>
      </c>
    </row>
    <row r="11" spans="1:68" ht="15.75">
      <c r="B11" s="59"/>
      <c r="C11" s="59"/>
      <c r="D11" s="59"/>
      <c r="F11" s="59"/>
      <c r="G11" s="59"/>
      <c r="H11" s="59"/>
      <c r="I11" s="59"/>
      <c r="J11" s="59"/>
      <c r="K11" s="59"/>
      <c r="L11" s="1"/>
      <c r="M11" s="89"/>
      <c r="O11" s="14"/>
      <c r="R11" s="14"/>
      <c r="S11" s="14"/>
      <c r="X11" s="14"/>
      <c r="Y11" s="14"/>
      <c r="Z11" s="61"/>
      <c r="AA11" s="83"/>
      <c r="AB11" s="61"/>
      <c r="AC11" s="61"/>
      <c r="AD11" s="59"/>
      <c r="AE11" s="59"/>
      <c r="AF11" s="59"/>
      <c r="AG11" s="61"/>
      <c r="AH11" s="1"/>
      <c r="AI11" s="1"/>
      <c r="BF11" s="275">
        <v>772370442</v>
      </c>
    </row>
    <row r="12" spans="1:68" ht="15.75">
      <c r="A12" s="1" t="s">
        <v>6</v>
      </c>
      <c r="B12" s="63">
        <v>2604</v>
      </c>
      <c r="C12" s="63">
        <v>2679</v>
      </c>
      <c r="D12" s="63">
        <v>2769.308</v>
      </c>
      <c r="E12" s="63">
        <v>2926.1089999999999</v>
      </c>
      <c r="F12" s="63">
        <v>3095.2930000000001</v>
      </c>
      <c r="G12" s="63">
        <v>3411.03</v>
      </c>
      <c r="H12" s="63">
        <v>3816.56</v>
      </c>
      <c r="I12" s="63">
        <v>4010.11</v>
      </c>
      <c r="J12" s="63">
        <v>4014.5709999999999</v>
      </c>
      <c r="K12" s="63">
        <v>3962.462</v>
      </c>
      <c r="L12" s="239">
        <f t="shared" ref="L12:L39" si="4">(K12-J12)*100/J12</f>
        <v>-1.2979967224393323</v>
      </c>
      <c r="M12" s="244">
        <f>((K12-AF12)*100)/AF12</f>
        <v>54.470205968747003</v>
      </c>
      <c r="N12" s="14">
        <v>715</v>
      </c>
      <c r="O12" s="14">
        <v>775</v>
      </c>
      <c r="P12" s="14">
        <v>844</v>
      </c>
      <c r="Q12" s="27">
        <v>854</v>
      </c>
      <c r="R12" s="27">
        <v>853</v>
      </c>
      <c r="S12" s="27">
        <v>901</v>
      </c>
      <c r="T12" s="27">
        <v>991</v>
      </c>
      <c r="U12" s="27">
        <v>1131</v>
      </c>
      <c r="V12" s="27">
        <v>1168</v>
      </c>
      <c r="W12" s="27">
        <v>1189</v>
      </c>
      <c r="X12" s="14">
        <v>1204</v>
      </c>
      <c r="Y12" s="14">
        <v>1184</v>
      </c>
      <c r="Z12" s="61">
        <v>1175</v>
      </c>
      <c r="AA12" s="83">
        <v>1177</v>
      </c>
      <c r="AB12" s="61">
        <v>1320</v>
      </c>
      <c r="AC12" s="61">
        <v>1556.36</v>
      </c>
      <c r="AD12" s="63">
        <v>1510</v>
      </c>
      <c r="AE12" s="63">
        <v>2605</v>
      </c>
      <c r="AF12" s="63">
        <v>2565.1950000000002</v>
      </c>
      <c r="AG12" s="61"/>
      <c r="AH12" s="128">
        <v>2604574</v>
      </c>
      <c r="AI12" s="1">
        <f>AH12/1000</f>
        <v>2604.5740000000001</v>
      </c>
      <c r="AK12" s="3">
        <v>2565195</v>
      </c>
      <c r="AL12" s="1">
        <f>AK12/1000</f>
        <v>2565.1950000000002</v>
      </c>
      <c r="AN12" s="3">
        <v>2604327</v>
      </c>
      <c r="AO12" s="1">
        <f>AN12/1000</f>
        <v>2604.3270000000002</v>
      </c>
      <c r="AQ12" s="3">
        <v>2679375</v>
      </c>
      <c r="AR12" s="1">
        <f>AQ12/1000</f>
        <v>2679.375</v>
      </c>
      <c r="AT12" s="3">
        <v>2769308</v>
      </c>
      <c r="AU12" s="1">
        <f>AT12/1000</f>
        <v>2769.308</v>
      </c>
      <c r="AW12" s="3">
        <v>2926109</v>
      </c>
      <c r="AX12" s="1">
        <f>AW12/1000</f>
        <v>2926.1089999999999</v>
      </c>
      <c r="AZ12" s="3">
        <v>3095293</v>
      </c>
      <c r="BA12" s="1">
        <f>AZ12/1000</f>
        <v>3095.2930000000001</v>
      </c>
      <c r="BC12" s="3">
        <v>3411030</v>
      </c>
      <c r="BD12" s="1">
        <f>BC12/1000</f>
        <v>3411.03</v>
      </c>
      <c r="BF12" s="276">
        <v>3816560</v>
      </c>
      <c r="BG12" s="1">
        <f>BF12/1000</f>
        <v>3816.56</v>
      </c>
      <c r="BI12" s="324">
        <v>4010110</v>
      </c>
      <c r="BJ12" s="1">
        <f>BI12/1000</f>
        <v>4010.11</v>
      </c>
      <c r="BL12" s="324">
        <v>4014571</v>
      </c>
      <c r="BM12" s="1">
        <f>BL12/1000</f>
        <v>4014.5709999999999</v>
      </c>
      <c r="BO12" s="3">
        <v>3962462</v>
      </c>
      <c r="BP12" s="3">
        <f>BO12/1000</f>
        <v>3962.462</v>
      </c>
    </row>
    <row r="13" spans="1:68" ht="15.75">
      <c r="A13" s="1" t="s">
        <v>7</v>
      </c>
      <c r="B13" s="63">
        <v>41298</v>
      </c>
      <c r="C13" s="63">
        <v>46070</v>
      </c>
      <c r="D13" s="63">
        <v>52254.68</v>
      </c>
      <c r="E13" s="63">
        <v>60826.688000000002</v>
      </c>
      <c r="F13" s="63">
        <v>71787.490000000005</v>
      </c>
      <c r="G13" s="63">
        <v>81956.148000000001</v>
      </c>
      <c r="H13" s="63">
        <v>86849.623000000007</v>
      </c>
      <c r="I13" s="63">
        <v>84987.819000000003</v>
      </c>
      <c r="J13" s="63">
        <v>79589.953999999998</v>
      </c>
      <c r="K13" s="63">
        <v>76293.86</v>
      </c>
      <c r="L13" s="239">
        <f t="shared" si="4"/>
        <v>-4.1413442706600856</v>
      </c>
      <c r="M13" s="244">
        <f t="shared" ref="M13:M39" si="5">((K13-AF13)*100)/AF13</f>
        <v>100.14683512743689</v>
      </c>
      <c r="N13" s="14">
        <v>4883</v>
      </c>
      <c r="O13" s="14">
        <v>5671</v>
      </c>
      <c r="P13" s="14">
        <v>6196</v>
      </c>
      <c r="Q13" s="27">
        <v>6866</v>
      </c>
      <c r="R13" s="27">
        <v>7439</v>
      </c>
      <c r="S13" s="27">
        <v>8221</v>
      </c>
      <c r="T13" s="27">
        <v>9041</v>
      </c>
      <c r="U13" s="27">
        <v>9931</v>
      </c>
      <c r="V13" s="27">
        <v>11346</v>
      </c>
      <c r="W13" s="27">
        <v>12161</v>
      </c>
      <c r="X13" s="14">
        <v>12607</v>
      </c>
      <c r="Y13" s="14">
        <v>12968</v>
      </c>
      <c r="Z13" s="61">
        <v>13328</v>
      </c>
      <c r="AA13" s="83">
        <v>13676</v>
      </c>
      <c r="AB13" s="61">
        <v>14081</v>
      </c>
      <c r="AC13" s="61">
        <v>14589.16</v>
      </c>
      <c r="AD13" s="63">
        <v>14939</v>
      </c>
      <c r="AE13" s="63">
        <v>35809</v>
      </c>
      <c r="AF13" s="63">
        <v>38118.944000000003</v>
      </c>
      <c r="AG13" s="61"/>
      <c r="AH13" s="128">
        <v>35808505</v>
      </c>
      <c r="AI13" s="1">
        <f>AH13/1000</f>
        <v>35808.504999999997</v>
      </c>
      <c r="AK13" s="3">
        <v>38118944</v>
      </c>
      <c r="AL13" s="1">
        <f>AK13/1000</f>
        <v>38118.944000000003</v>
      </c>
      <c r="AN13" s="3">
        <v>41297966</v>
      </c>
      <c r="AO13" s="1">
        <f>AN13/1000</f>
        <v>41297.966</v>
      </c>
      <c r="AQ13" s="3">
        <v>46069922</v>
      </c>
      <c r="AR13" s="1">
        <f>AQ13/1000</f>
        <v>46069.921999999999</v>
      </c>
      <c r="AT13" s="3">
        <v>52254680</v>
      </c>
      <c r="AU13" s="1">
        <f>AT13/1000</f>
        <v>52254.68</v>
      </c>
      <c r="AW13" s="3">
        <v>60826688</v>
      </c>
      <c r="AX13" s="1">
        <f>AW13/1000</f>
        <v>60826.688000000002</v>
      </c>
      <c r="AZ13" s="3">
        <v>71787490</v>
      </c>
      <c r="BA13" s="1">
        <f>AZ13/1000</f>
        <v>71787.490000000005</v>
      </c>
      <c r="BC13" s="3">
        <v>81956148</v>
      </c>
      <c r="BD13" s="1">
        <f>BC13/1000</f>
        <v>81956.148000000001</v>
      </c>
      <c r="BF13" s="276">
        <v>86849623</v>
      </c>
      <c r="BG13" s="1">
        <f>BF13/1000</f>
        <v>86849.623000000007</v>
      </c>
      <c r="BI13" s="324">
        <v>84987819</v>
      </c>
      <c r="BJ13" s="1">
        <f>BI13/1000</f>
        <v>84987.819000000003</v>
      </c>
      <c r="BL13" s="324">
        <v>79589954</v>
      </c>
      <c r="BM13" s="1">
        <f t="shared" ref="BM13:BM39" si="6">BL13/1000</f>
        <v>79589.953999999998</v>
      </c>
      <c r="BO13" s="3">
        <v>76293860</v>
      </c>
      <c r="BP13" s="3">
        <f t="shared" ref="BP13:BP39" si="7">BO13/1000</f>
        <v>76293.86</v>
      </c>
    </row>
    <row r="14" spans="1:68" ht="15.75">
      <c r="A14" s="1" t="s">
        <v>8</v>
      </c>
      <c r="B14" s="63">
        <v>20219</v>
      </c>
      <c r="C14" s="63">
        <v>21578</v>
      </c>
      <c r="D14" s="63">
        <v>22617.991999999998</v>
      </c>
      <c r="E14" s="63">
        <v>25256.647871749999</v>
      </c>
      <c r="F14" s="63">
        <v>29032.305</v>
      </c>
      <c r="G14" s="63">
        <v>33564.629999999997</v>
      </c>
      <c r="H14" s="63">
        <v>38190.377</v>
      </c>
      <c r="I14" s="63">
        <v>39149.24</v>
      </c>
      <c r="J14" s="63">
        <v>37515.837</v>
      </c>
      <c r="K14" s="63">
        <v>35123.385000000002</v>
      </c>
      <c r="L14" s="239">
        <f t="shared" si="4"/>
        <v>-6.3771787898534624</v>
      </c>
      <c r="M14" s="244">
        <f t="shared" si="5"/>
        <v>78.526106088063344</v>
      </c>
      <c r="N14" s="14">
        <v>5108</v>
      </c>
      <c r="O14" s="14">
        <v>5514</v>
      </c>
      <c r="P14" s="14">
        <v>5967</v>
      </c>
      <c r="Q14" s="27">
        <v>6521</v>
      </c>
      <c r="R14" s="27">
        <v>7035</v>
      </c>
      <c r="S14" s="27">
        <v>7582</v>
      </c>
      <c r="T14" s="27">
        <v>7895</v>
      </c>
      <c r="U14" s="27">
        <v>8217</v>
      </c>
      <c r="V14" s="27">
        <v>8310</v>
      </c>
      <c r="W14" s="27">
        <v>8456</v>
      </c>
      <c r="X14" s="14">
        <v>8512</v>
      </c>
      <c r="Y14" s="14">
        <v>8443</v>
      </c>
      <c r="Z14" s="61">
        <v>8394</v>
      </c>
      <c r="AA14" s="83">
        <v>8365</v>
      </c>
      <c r="AB14" s="61">
        <v>8526</v>
      </c>
      <c r="AC14" s="61">
        <v>8579.7199999999993</v>
      </c>
      <c r="AD14" s="63">
        <v>8722</v>
      </c>
      <c r="AE14" s="63">
        <v>19176</v>
      </c>
      <c r="AF14" s="63">
        <v>19674.089</v>
      </c>
      <c r="AG14" s="61"/>
      <c r="AH14" s="128">
        <v>19176195</v>
      </c>
      <c r="AI14" s="1">
        <f>AH14/1000</f>
        <v>19176.195</v>
      </c>
      <c r="AK14" s="3">
        <v>19674089</v>
      </c>
      <c r="AL14" s="1">
        <f>AK14/1000</f>
        <v>19674.089</v>
      </c>
      <c r="AN14" s="3">
        <v>20218975</v>
      </c>
      <c r="AO14" s="1">
        <f>AN14/1000</f>
        <v>20218.974999999999</v>
      </c>
      <c r="AQ14" s="3">
        <v>21577606</v>
      </c>
      <c r="AR14" s="1">
        <f>AQ14/1000</f>
        <v>21577.606</v>
      </c>
      <c r="AT14" s="3">
        <v>22617992</v>
      </c>
      <c r="AU14" s="1">
        <f>AT14/1000</f>
        <v>22617.991999999998</v>
      </c>
      <c r="AW14" s="3">
        <v>25256647.871750001</v>
      </c>
      <c r="AX14" s="1">
        <f>AW14/1000</f>
        <v>25256.647871749999</v>
      </c>
      <c r="AZ14" s="3">
        <v>29032305</v>
      </c>
      <c r="BA14" s="1">
        <f>AZ14/1000</f>
        <v>29032.305</v>
      </c>
      <c r="BC14" s="3">
        <v>33564630</v>
      </c>
      <c r="BD14" s="1">
        <f>BC14/1000</f>
        <v>33564.629999999997</v>
      </c>
      <c r="BF14" s="276">
        <v>38190377</v>
      </c>
      <c r="BG14" s="1">
        <f>BF14/1000</f>
        <v>38190.377</v>
      </c>
      <c r="BI14" s="324">
        <v>39149240</v>
      </c>
      <c r="BJ14" s="1">
        <f>BI14/1000</f>
        <v>39149.24</v>
      </c>
      <c r="BL14" s="324">
        <v>37515837</v>
      </c>
      <c r="BM14" s="1">
        <f t="shared" si="6"/>
        <v>37515.837</v>
      </c>
      <c r="BO14" s="3">
        <v>35123385</v>
      </c>
      <c r="BP14" s="3">
        <f t="shared" si="7"/>
        <v>35123.385000000002</v>
      </c>
    </row>
    <row r="15" spans="1:68" ht="15.75">
      <c r="A15" s="1" t="s">
        <v>9</v>
      </c>
      <c r="B15" s="63">
        <v>47861</v>
      </c>
      <c r="C15" s="63">
        <v>50534</v>
      </c>
      <c r="D15" s="63">
        <v>55260.330999999998</v>
      </c>
      <c r="E15" s="63">
        <v>62365.607000000004</v>
      </c>
      <c r="F15" s="63">
        <v>72129.48</v>
      </c>
      <c r="G15" s="63">
        <v>81732.183000000005</v>
      </c>
      <c r="H15" s="63">
        <v>88989.97</v>
      </c>
      <c r="I15" s="63">
        <v>89397.035000000003</v>
      </c>
      <c r="J15" s="63">
        <v>84302.273000000001</v>
      </c>
      <c r="K15" s="63">
        <v>80753.433000000005</v>
      </c>
      <c r="L15" s="239">
        <f t="shared" si="4"/>
        <v>-4.2096611084258626</v>
      </c>
      <c r="M15" s="244">
        <f t="shared" si="5"/>
        <v>75.462485325332736</v>
      </c>
      <c r="N15" s="14">
        <v>8081</v>
      </c>
      <c r="O15" s="14">
        <v>8689</v>
      </c>
      <c r="P15" s="14">
        <v>9494</v>
      </c>
      <c r="Q15" s="27">
        <v>10427</v>
      </c>
      <c r="R15" s="27">
        <v>11273</v>
      </c>
      <c r="S15" s="27">
        <v>12291</v>
      </c>
      <c r="T15" s="27">
        <v>13186</v>
      </c>
      <c r="U15" s="27">
        <v>14131</v>
      </c>
      <c r="V15" s="27">
        <v>15207</v>
      </c>
      <c r="W15" s="27">
        <v>15717</v>
      </c>
      <c r="X15" s="14">
        <v>16220</v>
      </c>
      <c r="Y15" s="14">
        <v>16535</v>
      </c>
      <c r="Z15" s="61">
        <v>16987</v>
      </c>
      <c r="AA15" s="83">
        <v>17355</v>
      </c>
      <c r="AB15" s="61">
        <v>17833</v>
      </c>
      <c r="AC15" s="61">
        <v>18450.830000000002</v>
      </c>
      <c r="AD15" s="63">
        <v>18972</v>
      </c>
      <c r="AE15" s="63">
        <v>44465</v>
      </c>
      <c r="AF15" s="63">
        <v>46023.19</v>
      </c>
      <c r="AG15" s="61"/>
      <c r="AH15" s="128">
        <v>44464713</v>
      </c>
      <c r="AI15" s="1">
        <f>AH15/1000</f>
        <v>44464.713000000003</v>
      </c>
      <c r="AK15" s="3">
        <v>46023190</v>
      </c>
      <c r="AL15" s="1">
        <f>AK15/1000</f>
        <v>46023.19</v>
      </c>
      <c r="AN15" s="3">
        <v>47861367</v>
      </c>
      <c r="AO15" s="1">
        <f>AN15/1000</f>
        <v>47861.366999999998</v>
      </c>
      <c r="AQ15" s="3">
        <v>50533574</v>
      </c>
      <c r="AR15" s="1">
        <f>AQ15/1000</f>
        <v>50533.574000000001</v>
      </c>
      <c r="AT15" s="3">
        <v>55260331</v>
      </c>
      <c r="AU15" s="1">
        <f>AT15/1000</f>
        <v>55260.330999999998</v>
      </c>
      <c r="AW15" s="3">
        <v>62365607</v>
      </c>
      <c r="AX15" s="1">
        <f>AW15/1000</f>
        <v>62365.607000000004</v>
      </c>
      <c r="AZ15" s="3">
        <v>72129480</v>
      </c>
      <c r="BA15" s="1">
        <f>AZ15/1000</f>
        <v>72129.48</v>
      </c>
      <c r="BC15" s="3">
        <v>81732183</v>
      </c>
      <c r="BD15" s="1">
        <f>BC15/1000</f>
        <v>81732.183000000005</v>
      </c>
      <c r="BF15" s="276">
        <v>88989970</v>
      </c>
      <c r="BG15" s="1">
        <f>BF15/1000</f>
        <v>88989.97</v>
      </c>
      <c r="BI15" s="324">
        <v>89397035</v>
      </c>
      <c r="BJ15" s="1">
        <f>BI15/1000</f>
        <v>89397.035000000003</v>
      </c>
      <c r="BL15" s="324">
        <v>84302273</v>
      </c>
      <c r="BM15" s="1">
        <f t="shared" si="6"/>
        <v>84302.273000000001</v>
      </c>
      <c r="BO15" s="3">
        <v>80753433</v>
      </c>
      <c r="BP15" s="3">
        <f t="shared" si="7"/>
        <v>80753.433000000005</v>
      </c>
    </row>
    <row r="16" spans="1:68" ht="15.75">
      <c r="A16" s="1" t="s">
        <v>10</v>
      </c>
      <c r="B16" s="63">
        <v>6820</v>
      </c>
      <c r="C16" s="63">
        <v>7507</v>
      </c>
      <c r="D16" s="63">
        <v>8273.2800000000007</v>
      </c>
      <c r="E16" s="63">
        <v>9742.4169999999995</v>
      </c>
      <c r="F16" s="63">
        <v>11667.003000000001</v>
      </c>
      <c r="G16" s="63">
        <v>12916.675999999999</v>
      </c>
      <c r="H16" s="63">
        <v>13951.302</v>
      </c>
      <c r="I16" s="63">
        <v>14209.661</v>
      </c>
      <c r="J16" s="63">
        <v>13333.624</v>
      </c>
      <c r="K16" s="63">
        <v>12553.694</v>
      </c>
      <c r="L16" s="239">
        <f t="shared" si="4"/>
        <v>-5.8493474842248459</v>
      </c>
      <c r="M16" s="244">
        <f t="shared" si="5"/>
        <v>98.10303123646824</v>
      </c>
      <c r="N16" s="14">
        <v>1217</v>
      </c>
      <c r="O16" s="14">
        <v>1257</v>
      </c>
      <c r="P16" s="14">
        <v>1324</v>
      </c>
      <c r="Q16" s="27">
        <v>1400</v>
      </c>
      <c r="R16" s="27">
        <v>1508</v>
      </c>
      <c r="S16" s="27">
        <v>1642</v>
      </c>
      <c r="T16" s="27">
        <v>1584</v>
      </c>
      <c r="U16" s="27">
        <v>1882</v>
      </c>
      <c r="V16" s="27">
        <v>2132</v>
      </c>
      <c r="W16" s="27">
        <v>2288</v>
      </c>
      <c r="X16" s="14">
        <v>2458</v>
      </c>
      <c r="Y16" s="14">
        <v>2530</v>
      </c>
      <c r="Z16" s="61">
        <v>2713</v>
      </c>
      <c r="AA16" s="83">
        <v>2819</v>
      </c>
      <c r="AB16" s="61">
        <v>2905</v>
      </c>
      <c r="AC16" s="61">
        <v>3013.17</v>
      </c>
      <c r="AD16" s="63">
        <v>2933</v>
      </c>
      <c r="AE16" s="63">
        <v>5993</v>
      </c>
      <c r="AF16" s="63">
        <v>6336.9520000000002</v>
      </c>
      <c r="AG16" s="61"/>
      <c r="AH16" s="128">
        <v>5993478</v>
      </c>
      <c r="AI16" s="1">
        <f>AH16/1000</f>
        <v>5993.4780000000001</v>
      </c>
      <c r="AK16" s="3">
        <v>6336952</v>
      </c>
      <c r="AL16" s="1">
        <f>AK16/1000</f>
        <v>6336.9520000000002</v>
      </c>
      <c r="AN16" s="3">
        <v>6819523</v>
      </c>
      <c r="AO16" s="1">
        <f>AN16/1000</f>
        <v>6819.5230000000001</v>
      </c>
      <c r="AQ16" s="3">
        <v>7506646</v>
      </c>
      <c r="AR16" s="1">
        <f>AQ16/1000</f>
        <v>7506.6459999999997</v>
      </c>
      <c r="AT16" s="3">
        <v>8273280</v>
      </c>
      <c r="AU16" s="1">
        <f>AT16/1000</f>
        <v>8273.2800000000007</v>
      </c>
      <c r="AW16" s="3">
        <v>9742417</v>
      </c>
      <c r="AX16" s="1">
        <f>AW16/1000</f>
        <v>9742.4169999999995</v>
      </c>
      <c r="AZ16" s="3">
        <v>11667003</v>
      </c>
      <c r="BA16" s="1">
        <f>AZ16/1000</f>
        <v>11667.003000000001</v>
      </c>
      <c r="BC16" s="3">
        <v>12916676</v>
      </c>
      <c r="BD16" s="1">
        <f>BC16/1000</f>
        <v>12916.675999999999</v>
      </c>
      <c r="BF16" s="276">
        <v>13951302</v>
      </c>
      <c r="BG16" s="1">
        <f>BF16/1000</f>
        <v>13951.302</v>
      </c>
      <c r="BI16" s="324">
        <v>14209661</v>
      </c>
      <c r="BJ16" s="1">
        <f>BI16/1000</f>
        <v>14209.661</v>
      </c>
      <c r="BL16" s="324">
        <v>13333624</v>
      </c>
      <c r="BM16" s="1">
        <f t="shared" si="6"/>
        <v>13333.624</v>
      </c>
      <c r="BO16" s="3">
        <v>12553694</v>
      </c>
      <c r="BP16" s="3">
        <f t="shared" si="7"/>
        <v>12553.694</v>
      </c>
    </row>
    <row r="17" spans="1:68" ht="15.75">
      <c r="B17" s="59"/>
      <c r="C17" s="59"/>
      <c r="D17" s="59"/>
      <c r="F17" s="59"/>
      <c r="G17" s="59"/>
      <c r="H17" s="59"/>
      <c r="I17" s="59"/>
      <c r="J17" s="59"/>
      <c r="K17" s="63"/>
      <c r="L17" s="239"/>
      <c r="M17" s="244"/>
      <c r="N17" s="14"/>
      <c r="P17" s="14"/>
      <c r="Q17" s="27"/>
      <c r="R17" s="27"/>
      <c r="S17" s="27"/>
      <c r="T17" s="27"/>
      <c r="U17" s="27"/>
      <c r="V17" s="27"/>
      <c r="W17" s="27"/>
      <c r="X17" s="14"/>
      <c r="Y17" s="14"/>
      <c r="Z17" s="61"/>
      <c r="AA17" s="83"/>
      <c r="AB17" s="61"/>
      <c r="AC17" s="61"/>
      <c r="AD17" s="59"/>
      <c r="AE17" s="59"/>
      <c r="AF17" s="59"/>
      <c r="AG17" s="61"/>
      <c r="AH17" s="128"/>
      <c r="AI17" s="1"/>
      <c r="BF17" s="276"/>
      <c r="BI17" s="324"/>
      <c r="BL17" s="324"/>
      <c r="BM17" s="1"/>
    </row>
    <row r="18" spans="1:68" ht="15.75">
      <c r="A18" s="1" t="s">
        <v>11</v>
      </c>
      <c r="B18" s="63">
        <v>1451</v>
      </c>
      <c r="C18" s="63">
        <v>1598</v>
      </c>
      <c r="D18" s="63">
        <v>1732.039</v>
      </c>
      <c r="E18" s="63">
        <v>2089.0160000000001</v>
      </c>
      <c r="F18" s="63">
        <v>2466.4</v>
      </c>
      <c r="G18" s="63">
        <v>2869.8690000000001</v>
      </c>
      <c r="H18" s="63">
        <v>3199.3229999999999</v>
      </c>
      <c r="I18" s="63">
        <v>3182.6869999999999</v>
      </c>
      <c r="J18" s="63">
        <v>2949.8420000000001</v>
      </c>
      <c r="K18" s="63">
        <v>2810.3159999999998</v>
      </c>
      <c r="L18" s="239">
        <f t="shared" si="4"/>
        <v>-4.7299482480756696</v>
      </c>
      <c r="M18" s="244">
        <f t="shared" si="5"/>
        <v>103.59990813677764</v>
      </c>
      <c r="N18" s="14">
        <v>178</v>
      </c>
      <c r="O18" s="14">
        <v>201</v>
      </c>
      <c r="P18" s="14">
        <v>222</v>
      </c>
      <c r="Q18" s="27">
        <v>242</v>
      </c>
      <c r="R18" s="27">
        <v>265</v>
      </c>
      <c r="S18" s="27">
        <v>303</v>
      </c>
      <c r="T18" s="27">
        <v>320</v>
      </c>
      <c r="U18" s="27">
        <v>351</v>
      </c>
      <c r="V18" s="27">
        <v>382</v>
      </c>
      <c r="W18" s="27">
        <v>418</v>
      </c>
      <c r="X18" s="14">
        <v>437</v>
      </c>
      <c r="Y18" s="14">
        <v>447</v>
      </c>
      <c r="Z18" s="61">
        <v>466</v>
      </c>
      <c r="AA18" s="83">
        <v>508</v>
      </c>
      <c r="AB18" s="61">
        <v>505</v>
      </c>
      <c r="AC18" s="61">
        <v>525.76</v>
      </c>
      <c r="AD18" s="63">
        <v>554</v>
      </c>
      <c r="AE18" s="63">
        <v>1319</v>
      </c>
      <c r="AF18" s="63">
        <v>1380.3130000000001</v>
      </c>
      <c r="AG18" s="61"/>
      <c r="AH18" s="128">
        <v>1318953</v>
      </c>
      <c r="AI18" s="1">
        <f>AH18/1000</f>
        <v>1318.953</v>
      </c>
      <c r="AK18" s="3">
        <v>1380313</v>
      </c>
      <c r="AL18" s="1">
        <f>AK18/1000</f>
        <v>1380.3130000000001</v>
      </c>
      <c r="AN18" s="3">
        <v>1451362</v>
      </c>
      <c r="AO18" s="1">
        <f>AN18/1000</f>
        <v>1451.3620000000001</v>
      </c>
      <c r="AQ18" s="3">
        <v>1597825</v>
      </c>
      <c r="AR18" s="1">
        <f>AQ18/1000</f>
        <v>1597.825</v>
      </c>
      <c r="AT18" s="3">
        <v>1732039</v>
      </c>
      <c r="AU18" s="1">
        <f>AT18/1000</f>
        <v>1732.039</v>
      </c>
      <c r="AW18" s="3">
        <v>2089016</v>
      </c>
      <c r="AX18" s="1">
        <f>AW18/1000</f>
        <v>2089.0160000000001</v>
      </c>
      <c r="AZ18" s="3">
        <v>2466400</v>
      </c>
      <c r="BA18" s="1">
        <f>AZ18/1000</f>
        <v>2466.4</v>
      </c>
      <c r="BC18" s="3">
        <v>2869869</v>
      </c>
      <c r="BD18" s="1">
        <f>BC18/1000</f>
        <v>2869.8690000000001</v>
      </c>
      <c r="BF18" s="276">
        <v>3199323</v>
      </c>
      <c r="BG18" s="1">
        <f>BF18/1000</f>
        <v>3199.3229999999999</v>
      </c>
      <c r="BI18" s="324">
        <v>3182687</v>
      </c>
      <c r="BJ18" s="1">
        <f>BI18/1000</f>
        <v>3182.6869999999999</v>
      </c>
      <c r="BL18" s="324">
        <v>2949842</v>
      </c>
      <c r="BM18" s="1">
        <f t="shared" si="6"/>
        <v>2949.8420000000001</v>
      </c>
      <c r="BO18" s="3">
        <v>2810316</v>
      </c>
      <c r="BP18" s="3">
        <f t="shared" si="7"/>
        <v>2810.3159999999998</v>
      </c>
    </row>
    <row r="19" spans="1:68" ht="15.75">
      <c r="A19" s="1" t="s">
        <v>12</v>
      </c>
      <c r="B19" s="63">
        <v>10941</v>
      </c>
      <c r="C19" s="63">
        <v>11890</v>
      </c>
      <c r="D19" s="63">
        <v>13331.645</v>
      </c>
      <c r="E19" s="63">
        <v>15453.866</v>
      </c>
      <c r="F19" s="63">
        <v>17935.277999999998</v>
      </c>
      <c r="G19" s="63">
        <v>20329.009999999998</v>
      </c>
      <c r="H19" s="63">
        <v>22093.993999999999</v>
      </c>
      <c r="I19" s="63">
        <v>20915.008999999998</v>
      </c>
      <c r="J19" s="63">
        <v>19678.687000000002</v>
      </c>
      <c r="K19" s="63">
        <v>18861.957999999999</v>
      </c>
      <c r="L19" s="239">
        <f t="shared" si="4"/>
        <v>-4.1503226307730943</v>
      </c>
      <c r="M19" s="244">
        <f t="shared" si="5"/>
        <v>83.512375535144258</v>
      </c>
      <c r="N19" s="14">
        <v>1212</v>
      </c>
      <c r="O19" s="14">
        <v>1307</v>
      </c>
      <c r="P19" s="14">
        <v>1395</v>
      </c>
      <c r="Q19" s="27">
        <v>1556</v>
      </c>
      <c r="R19" s="27">
        <v>1708</v>
      </c>
      <c r="S19" s="27">
        <v>1920</v>
      </c>
      <c r="T19" s="27">
        <v>2124</v>
      </c>
      <c r="U19" s="27">
        <v>2355</v>
      </c>
      <c r="V19" s="27">
        <v>2607</v>
      </c>
      <c r="W19" s="27">
        <v>2862</v>
      </c>
      <c r="X19" s="14">
        <v>3071</v>
      </c>
      <c r="Y19" s="14">
        <v>3198</v>
      </c>
      <c r="Z19" s="61">
        <v>3351</v>
      </c>
      <c r="AA19" s="83">
        <v>3453</v>
      </c>
      <c r="AB19" s="61">
        <v>3580</v>
      </c>
      <c r="AC19" s="61">
        <v>3793.98</v>
      </c>
      <c r="AD19" s="63">
        <v>3957</v>
      </c>
      <c r="AE19" s="63">
        <v>9666</v>
      </c>
      <c r="AF19" s="63">
        <v>10278.303</v>
      </c>
      <c r="AG19" s="61"/>
      <c r="AH19" s="128">
        <v>9665960</v>
      </c>
      <c r="AI19" s="1">
        <f>AH19/1000</f>
        <v>9665.9599999999991</v>
      </c>
      <c r="AK19" s="3">
        <v>10278303</v>
      </c>
      <c r="AL19" s="1">
        <f>AK19/1000</f>
        <v>10278.303</v>
      </c>
      <c r="AN19" s="3">
        <v>10941349</v>
      </c>
      <c r="AO19" s="1">
        <f>AN19/1000</f>
        <v>10941.349</v>
      </c>
      <c r="AQ19" s="3">
        <v>11890136</v>
      </c>
      <c r="AR19" s="1">
        <f>AQ19/1000</f>
        <v>11890.136</v>
      </c>
      <c r="AT19" s="3">
        <v>13331645</v>
      </c>
      <c r="AU19" s="1">
        <f>AT19/1000</f>
        <v>13331.645</v>
      </c>
      <c r="AW19" s="3">
        <v>15453866</v>
      </c>
      <c r="AX19" s="1">
        <f>AW19/1000</f>
        <v>15453.866</v>
      </c>
      <c r="AZ19" s="3">
        <v>17935278</v>
      </c>
      <c r="BA19" s="1">
        <f>AZ19/1000</f>
        <v>17935.277999999998</v>
      </c>
      <c r="BC19" s="3">
        <v>20329010</v>
      </c>
      <c r="BD19" s="1">
        <f>BC19/1000</f>
        <v>20329.009999999998</v>
      </c>
      <c r="BF19" s="276">
        <v>22093994</v>
      </c>
      <c r="BG19" s="1">
        <f>BF19/1000</f>
        <v>22093.993999999999</v>
      </c>
      <c r="BI19" s="324">
        <v>20915009</v>
      </c>
      <c r="BJ19" s="1">
        <f>BI19/1000</f>
        <v>20915.008999999998</v>
      </c>
      <c r="BL19" s="324">
        <v>19678687</v>
      </c>
      <c r="BM19" s="1">
        <f t="shared" si="6"/>
        <v>19678.687000000002</v>
      </c>
      <c r="BO19" s="3">
        <v>18861958</v>
      </c>
      <c r="BP19" s="3">
        <f t="shared" si="7"/>
        <v>18861.957999999999</v>
      </c>
    </row>
    <row r="20" spans="1:68" ht="15.75">
      <c r="A20" s="1" t="s">
        <v>13</v>
      </c>
      <c r="B20" s="63">
        <v>5621</v>
      </c>
      <c r="C20" s="63">
        <v>6266</v>
      </c>
      <c r="D20" s="63">
        <v>6771.7489999999998</v>
      </c>
      <c r="E20" s="63">
        <v>7932.0029999999997</v>
      </c>
      <c r="F20" s="63">
        <v>9206.0869999999995</v>
      </c>
      <c r="G20" s="63">
        <v>10469.664000000001</v>
      </c>
      <c r="H20" s="63">
        <v>11184.512000000001</v>
      </c>
      <c r="I20" s="63">
        <v>11067.074000000001</v>
      </c>
      <c r="J20" s="63">
        <v>10558.891</v>
      </c>
      <c r="K20" s="63">
        <v>9967.4699999999993</v>
      </c>
      <c r="L20" s="239">
        <f t="shared" si="4"/>
        <v>-5.6011658800152428</v>
      </c>
      <c r="M20" s="244">
        <f t="shared" si="5"/>
        <v>90.849643918584349</v>
      </c>
      <c r="N20" s="14">
        <v>588</v>
      </c>
      <c r="O20" s="14">
        <v>635</v>
      </c>
      <c r="P20" s="14">
        <v>701</v>
      </c>
      <c r="Q20" s="27">
        <v>769</v>
      </c>
      <c r="R20" s="27">
        <v>871</v>
      </c>
      <c r="S20" s="27">
        <v>984</v>
      </c>
      <c r="T20" s="27">
        <v>1099</v>
      </c>
      <c r="U20" s="27">
        <v>1238</v>
      </c>
      <c r="V20" s="27">
        <v>1403</v>
      </c>
      <c r="W20" s="27">
        <v>1520</v>
      </c>
      <c r="X20" s="14">
        <v>1633</v>
      </c>
      <c r="Y20" s="14">
        <v>1688</v>
      </c>
      <c r="Z20" s="61">
        <v>1753</v>
      </c>
      <c r="AA20" s="83">
        <v>1806</v>
      </c>
      <c r="AB20" s="61">
        <v>1865</v>
      </c>
      <c r="AC20" s="61">
        <v>1952.55</v>
      </c>
      <c r="AD20" s="63">
        <v>2025</v>
      </c>
      <c r="AE20" s="63">
        <v>4924</v>
      </c>
      <c r="AF20" s="63">
        <v>5222.6819999999998</v>
      </c>
      <c r="AG20" s="61"/>
      <c r="AH20" s="128">
        <v>4924083</v>
      </c>
      <c r="AI20" s="1">
        <f>AH20/1000</f>
        <v>4924.0829999999996</v>
      </c>
      <c r="AK20" s="3">
        <v>5222682</v>
      </c>
      <c r="AL20" s="1">
        <f>AK20/1000</f>
        <v>5222.6819999999998</v>
      </c>
      <c r="AN20" s="3">
        <v>5620734</v>
      </c>
      <c r="AO20" s="1">
        <f>AN20/1000</f>
        <v>5620.7340000000004</v>
      </c>
      <c r="AQ20" s="3">
        <v>6266367</v>
      </c>
      <c r="AR20" s="1">
        <f>AQ20/1000</f>
        <v>6266.3670000000002</v>
      </c>
      <c r="AT20" s="3">
        <v>6771749</v>
      </c>
      <c r="AU20" s="1">
        <f>AT20/1000</f>
        <v>6771.7489999999998</v>
      </c>
      <c r="AW20" s="3">
        <v>7932003</v>
      </c>
      <c r="AX20" s="1">
        <f>AW20/1000</f>
        <v>7932.0029999999997</v>
      </c>
      <c r="AZ20" s="3">
        <v>9206087</v>
      </c>
      <c r="BA20" s="1">
        <f>AZ20/1000</f>
        <v>9206.0869999999995</v>
      </c>
      <c r="BC20" s="3">
        <v>10469664</v>
      </c>
      <c r="BD20" s="1">
        <f>BC20/1000</f>
        <v>10469.664000000001</v>
      </c>
      <c r="BF20" s="276">
        <v>11184512</v>
      </c>
      <c r="BG20" s="1">
        <f>BF20/1000</f>
        <v>11184.512000000001</v>
      </c>
      <c r="BI20" s="324">
        <v>11067074</v>
      </c>
      <c r="BJ20" s="1">
        <f>BI20/1000</f>
        <v>11067.074000000001</v>
      </c>
      <c r="BL20" s="324">
        <v>10558891</v>
      </c>
      <c r="BM20" s="1">
        <f t="shared" si="6"/>
        <v>10558.891</v>
      </c>
      <c r="BO20" s="3">
        <v>9967470</v>
      </c>
      <c r="BP20" s="3">
        <f t="shared" si="7"/>
        <v>9967.4699999999993</v>
      </c>
    </row>
    <row r="21" spans="1:68" ht="15.75">
      <c r="A21" s="1" t="s">
        <v>14</v>
      </c>
      <c r="B21" s="63">
        <v>9310</v>
      </c>
      <c r="C21" s="63">
        <v>10097</v>
      </c>
      <c r="D21" s="63">
        <v>11238.385</v>
      </c>
      <c r="E21" s="63">
        <v>13304.60542175</v>
      </c>
      <c r="F21" s="63">
        <v>16016.996999999999</v>
      </c>
      <c r="G21" s="63">
        <v>18586.394</v>
      </c>
      <c r="H21" s="63">
        <v>19882.782999999999</v>
      </c>
      <c r="I21" s="63">
        <v>18794.704000000002</v>
      </c>
      <c r="J21" s="63">
        <v>17521.348000000002</v>
      </c>
      <c r="K21" s="63">
        <v>16693.575000000001</v>
      </c>
      <c r="L21" s="239">
        <f t="shared" si="4"/>
        <v>-4.7243682392473509</v>
      </c>
      <c r="M21" s="244">
        <f t="shared" si="5"/>
        <v>92.488857581716175</v>
      </c>
      <c r="N21" s="14">
        <v>1110</v>
      </c>
      <c r="O21" s="14">
        <v>1261</v>
      </c>
      <c r="P21" s="14">
        <v>1371</v>
      </c>
      <c r="Q21" s="27">
        <v>1517</v>
      </c>
      <c r="R21" s="27">
        <v>1646</v>
      </c>
      <c r="S21" s="27">
        <v>1806</v>
      </c>
      <c r="T21" s="27">
        <v>1941</v>
      </c>
      <c r="U21" s="27">
        <v>2111</v>
      </c>
      <c r="V21" s="27">
        <v>2310</v>
      </c>
      <c r="W21" s="27">
        <v>2549</v>
      </c>
      <c r="X21" s="14">
        <v>2735</v>
      </c>
      <c r="Y21" s="14">
        <v>2849</v>
      </c>
      <c r="Z21" s="61">
        <v>3033</v>
      </c>
      <c r="AA21" s="83">
        <v>3095</v>
      </c>
      <c r="AB21" s="61">
        <v>3208</v>
      </c>
      <c r="AC21" s="61">
        <v>3345.26</v>
      </c>
      <c r="AD21" s="63">
        <v>3384</v>
      </c>
      <c r="AE21" s="63">
        <v>8204</v>
      </c>
      <c r="AF21" s="63">
        <v>8672.4889999999996</v>
      </c>
      <c r="AG21" s="61"/>
      <c r="AH21" s="128">
        <v>8204465</v>
      </c>
      <c r="AI21" s="1">
        <f>AH21/1000</f>
        <v>8204.4650000000001</v>
      </c>
      <c r="AK21" s="3">
        <v>8672489</v>
      </c>
      <c r="AL21" s="1">
        <f>AK21/1000</f>
        <v>8672.4889999999996</v>
      </c>
      <c r="AN21" s="3">
        <v>9310426</v>
      </c>
      <c r="AO21" s="1">
        <f>AN21/1000</f>
        <v>9310.4259999999995</v>
      </c>
      <c r="AQ21" s="3">
        <v>10097010</v>
      </c>
      <c r="AR21" s="1">
        <f>AQ21/1000</f>
        <v>10097.01</v>
      </c>
      <c r="AT21" s="3">
        <v>11238385</v>
      </c>
      <c r="AU21" s="1">
        <f>AT21/1000</f>
        <v>11238.385</v>
      </c>
      <c r="AW21" s="3">
        <v>13304605.42175</v>
      </c>
      <c r="AX21" s="1">
        <f>AW21/1000</f>
        <v>13304.60542175</v>
      </c>
      <c r="AZ21" s="3">
        <v>16016997</v>
      </c>
      <c r="BA21" s="1">
        <f>AZ21/1000</f>
        <v>16016.996999999999</v>
      </c>
      <c r="BC21" s="3">
        <v>18586394</v>
      </c>
      <c r="BD21" s="1">
        <f>BC21/1000</f>
        <v>18586.394</v>
      </c>
      <c r="BF21" s="276">
        <v>19882783</v>
      </c>
      <c r="BG21" s="1">
        <f>BF21/1000</f>
        <v>19882.782999999999</v>
      </c>
      <c r="BI21" s="324">
        <v>18794704</v>
      </c>
      <c r="BJ21" s="1">
        <f>BI21/1000</f>
        <v>18794.704000000002</v>
      </c>
      <c r="BL21" s="324">
        <v>17521348</v>
      </c>
      <c r="BM21" s="1">
        <f t="shared" si="6"/>
        <v>17521.348000000002</v>
      </c>
      <c r="BO21" s="3">
        <v>16693575</v>
      </c>
      <c r="BP21" s="3">
        <f t="shared" si="7"/>
        <v>16693.575000000001</v>
      </c>
    </row>
    <row r="22" spans="1:68" ht="15.75">
      <c r="A22" s="1" t="s">
        <v>15</v>
      </c>
      <c r="B22" s="63">
        <v>1818</v>
      </c>
      <c r="C22" s="63">
        <v>1935</v>
      </c>
      <c r="D22" s="63">
        <v>2118.4569999999999</v>
      </c>
      <c r="E22" s="63">
        <v>2400.9169999999999</v>
      </c>
      <c r="F22" s="63">
        <v>2827.83</v>
      </c>
      <c r="G22" s="63">
        <v>3234.8119999999999</v>
      </c>
      <c r="H22" s="63">
        <v>3527.71</v>
      </c>
      <c r="I22" s="63">
        <v>3544.326</v>
      </c>
      <c r="J22" s="63">
        <v>3229.4859999999999</v>
      </c>
      <c r="K22" s="63">
        <v>3119.674</v>
      </c>
      <c r="L22" s="239">
        <f t="shared" si="4"/>
        <v>-3.4002934213060501</v>
      </c>
      <c r="M22" s="244">
        <f t="shared" si="5"/>
        <v>89.197627262345691</v>
      </c>
      <c r="N22" s="14">
        <v>308</v>
      </c>
      <c r="O22" s="14">
        <v>334</v>
      </c>
      <c r="P22" s="14">
        <v>367</v>
      </c>
      <c r="Q22" s="27">
        <v>393</v>
      </c>
      <c r="R22" s="27">
        <v>418</v>
      </c>
      <c r="S22" s="27">
        <v>445</v>
      </c>
      <c r="T22" s="27">
        <v>483</v>
      </c>
      <c r="U22" s="27">
        <v>520</v>
      </c>
      <c r="V22" s="27">
        <v>563</v>
      </c>
      <c r="W22" s="27">
        <v>598</v>
      </c>
      <c r="X22" s="14">
        <v>613</v>
      </c>
      <c r="Y22" s="14">
        <v>629</v>
      </c>
      <c r="Z22" s="61">
        <v>647</v>
      </c>
      <c r="AA22" s="83">
        <v>664</v>
      </c>
      <c r="AB22" s="61">
        <v>678</v>
      </c>
      <c r="AC22" s="61">
        <v>685.4</v>
      </c>
      <c r="AD22" s="63">
        <v>697</v>
      </c>
      <c r="AE22" s="63">
        <v>1562</v>
      </c>
      <c r="AF22" s="63">
        <v>1648.8969999999999</v>
      </c>
      <c r="AG22" s="61"/>
      <c r="AH22" s="128">
        <v>1562057</v>
      </c>
      <c r="AI22" s="1">
        <f>AH22/1000</f>
        <v>1562.057</v>
      </c>
      <c r="AK22" s="3">
        <v>1648897</v>
      </c>
      <c r="AL22" s="1">
        <f>AK22/1000</f>
        <v>1648.8969999999999</v>
      </c>
      <c r="AN22" s="3">
        <v>1817529</v>
      </c>
      <c r="AO22" s="1">
        <f>AN22/1000</f>
        <v>1817.529</v>
      </c>
      <c r="AQ22" s="3">
        <v>1934858</v>
      </c>
      <c r="AR22" s="1">
        <f>AQ22/1000</f>
        <v>1934.8579999999999</v>
      </c>
      <c r="AT22" s="3">
        <v>2118457</v>
      </c>
      <c r="AU22" s="1">
        <f>AT22/1000</f>
        <v>2118.4569999999999</v>
      </c>
      <c r="AW22" s="3">
        <v>2400917</v>
      </c>
      <c r="AX22" s="1">
        <f>AW22/1000</f>
        <v>2400.9169999999999</v>
      </c>
      <c r="AZ22" s="3">
        <v>2827830</v>
      </c>
      <c r="BA22" s="1">
        <f>AZ22/1000</f>
        <v>2827.83</v>
      </c>
      <c r="BC22" s="3">
        <v>3234812</v>
      </c>
      <c r="BD22" s="1">
        <f>BC22/1000</f>
        <v>3234.8119999999999</v>
      </c>
      <c r="BF22" s="276">
        <v>3527710</v>
      </c>
      <c r="BG22" s="1">
        <f>BF22/1000</f>
        <v>3527.71</v>
      </c>
      <c r="BI22" s="324">
        <v>3544326</v>
      </c>
      <c r="BJ22" s="1">
        <f>BI22/1000</f>
        <v>3544.326</v>
      </c>
      <c r="BL22" s="324">
        <v>3229486</v>
      </c>
      <c r="BM22" s="1">
        <f t="shared" si="6"/>
        <v>3229.4859999999999</v>
      </c>
      <c r="BO22" s="3">
        <v>3119674</v>
      </c>
      <c r="BP22" s="3">
        <f t="shared" si="7"/>
        <v>3119.674</v>
      </c>
    </row>
    <row r="23" spans="1:68" ht="15.75">
      <c r="B23" s="59"/>
      <c r="C23" s="59"/>
      <c r="D23" s="59"/>
      <c r="F23" s="59"/>
      <c r="G23" s="59"/>
      <c r="H23" s="59"/>
      <c r="I23" s="59"/>
      <c r="J23" s="59"/>
      <c r="K23" s="63"/>
      <c r="L23" s="239"/>
      <c r="M23" s="244"/>
      <c r="N23" s="14"/>
      <c r="P23" s="14"/>
      <c r="Q23" s="27"/>
      <c r="R23" s="27"/>
      <c r="S23" s="27"/>
      <c r="T23" s="27"/>
      <c r="U23" s="27"/>
      <c r="V23" s="27"/>
      <c r="W23" s="27"/>
      <c r="X23" s="14"/>
      <c r="Y23" s="14"/>
      <c r="Z23" s="61"/>
      <c r="AA23" s="83"/>
      <c r="AB23" s="61"/>
      <c r="AC23" s="61"/>
      <c r="AD23" s="59"/>
      <c r="AE23" s="59"/>
      <c r="AF23" s="59"/>
      <c r="AG23" s="61"/>
      <c r="AH23" s="164"/>
      <c r="AI23" s="1"/>
      <c r="BF23" s="277"/>
      <c r="BI23" s="300"/>
      <c r="BL23" s="300"/>
      <c r="BM23" s="1"/>
    </row>
    <row r="24" spans="1:68" ht="15.75">
      <c r="A24" s="1" t="s">
        <v>16</v>
      </c>
      <c r="B24" s="63">
        <v>14952</v>
      </c>
      <c r="C24" s="63">
        <v>16411</v>
      </c>
      <c r="D24" s="63">
        <v>18632.544000000002</v>
      </c>
      <c r="E24" s="63">
        <v>22292.911</v>
      </c>
      <c r="F24" s="63">
        <v>26577.953000000001</v>
      </c>
      <c r="G24" s="63">
        <v>30138.087</v>
      </c>
      <c r="H24" s="63">
        <v>31969.351999999999</v>
      </c>
      <c r="I24" s="63">
        <v>29761.665000000001</v>
      </c>
      <c r="J24" s="63">
        <v>27154.307000000001</v>
      </c>
      <c r="K24" s="63">
        <v>25893.045999999998</v>
      </c>
      <c r="L24" s="239">
        <f t="shared" si="4"/>
        <v>-4.6447917083650934</v>
      </c>
      <c r="M24" s="244">
        <f t="shared" si="5"/>
        <v>84.855378926438547</v>
      </c>
      <c r="N24" s="14">
        <v>1428</v>
      </c>
      <c r="O24" s="14">
        <v>1564</v>
      </c>
      <c r="P24" s="14">
        <v>1736</v>
      </c>
      <c r="Q24" s="27">
        <v>1903</v>
      </c>
      <c r="R24" s="27">
        <v>2153</v>
      </c>
      <c r="S24" s="27">
        <v>2418</v>
      </c>
      <c r="T24" s="27">
        <v>2708</v>
      </c>
      <c r="U24" s="27">
        <v>3018</v>
      </c>
      <c r="V24" s="27">
        <v>3394</v>
      </c>
      <c r="W24" s="27">
        <v>3785</v>
      </c>
      <c r="X24" s="14">
        <v>4043</v>
      </c>
      <c r="Y24" s="14">
        <v>4175</v>
      </c>
      <c r="Z24" s="61">
        <v>4410</v>
      </c>
      <c r="AA24" s="83">
        <v>4551</v>
      </c>
      <c r="AB24" s="61">
        <v>4732</v>
      </c>
      <c r="AC24" s="61">
        <v>5026.38</v>
      </c>
      <c r="AD24" s="63">
        <v>5197</v>
      </c>
      <c r="AE24" s="63">
        <v>13224</v>
      </c>
      <c r="AF24" s="63">
        <v>14007.191000000001</v>
      </c>
      <c r="AG24" s="61"/>
      <c r="AH24" s="128">
        <v>13223600</v>
      </c>
      <c r="AI24" s="1">
        <f>AH24/1000</f>
        <v>13223.6</v>
      </c>
      <c r="AK24" s="3">
        <v>14007191</v>
      </c>
      <c r="AL24" s="1">
        <f>AK24/1000</f>
        <v>14007.191000000001</v>
      </c>
      <c r="AN24" s="3">
        <v>14951629</v>
      </c>
      <c r="AO24" s="1">
        <f>AN24/1000</f>
        <v>14951.629000000001</v>
      </c>
      <c r="AQ24" s="3">
        <v>16410859</v>
      </c>
      <c r="AR24" s="1">
        <f>AQ24/1000</f>
        <v>16410.859</v>
      </c>
      <c r="AT24" s="3">
        <v>18632544</v>
      </c>
      <c r="AU24" s="1">
        <f>AT24/1000</f>
        <v>18632.544000000002</v>
      </c>
      <c r="AW24" s="3">
        <v>22292911</v>
      </c>
      <c r="AX24" s="1">
        <f>AW24/1000</f>
        <v>22292.911</v>
      </c>
      <c r="AZ24" s="3">
        <v>26577953</v>
      </c>
      <c r="BA24" s="1">
        <f>AZ24/1000</f>
        <v>26577.953000000001</v>
      </c>
      <c r="BC24" s="3">
        <v>30138087</v>
      </c>
      <c r="BD24" s="1">
        <f>BC24/1000</f>
        <v>30138.087</v>
      </c>
      <c r="BF24" s="276">
        <v>31969352</v>
      </c>
      <c r="BG24" s="1">
        <f>BF24/1000</f>
        <v>31969.351999999999</v>
      </c>
      <c r="BI24" s="324">
        <v>29761665</v>
      </c>
      <c r="BJ24" s="1">
        <f>BI24/1000</f>
        <v>29761.665000000001</v>
      </c>
      <c r="BL24" s="324">
        <v>27154307</v>
      </c>
      <c r="BM24" s="1">
        <f t="shared" si="6"/>
        <v>27154.307000000001</v>
      </c>
      <c r="BO24" s="3">
        <v>25893046</v>
      </c>
      <c r="BP24" s="3">
        <f t="shared" si="7"/>
        <v>25893.045999999998</v>
      </c>
    </row>
    <row r="25" spans="1:68" ht="15.75">
      <c r="A25" s="1" t="s">
        <v>17</v>
      </c>
      <c r="B25" s="63">
        <v>2316</v>
      </c>
      <c r="C25" s="63">
        <v>2513</v>
      </c>
      <c r="D25" s="63">
        <v>2806.8829999999998</v>
      </c>
      <c r="E25" s="63">
        <v>3371.9670000000001</v>
      </c>
      <c r="F25" s="63">
        <v>3865.703</v>
      </c>
      <c r="G25" s="63">
        <v>4356.3220000000001</v>
      </c>
      <c r="H25" s="63">
        <v>4689.7939999999999</v>
      </c>
      <c r="I25" s="63">
        <v>4975.9489999999996</v>
      </c>
      <c r="J25" s="63">
        <v>4978.2139999999999</v>
      </c>
      <c r="K25" s="63">
        <v>4834.7929999999997</v>
      </c>
      <c r="L25" s="239">
        <f t="shared" si="4"/>
        <v>-2.8809729754486302</v>
      </c>
      <c r="M25" s="244">
        <f t="shared" si="5"/>
        <v>127.08665640857996</v>
      </c>
      <c r="N25" s="14">
        <v>307</v>
      </c>
      <c r="O25" s="14">
        <v>337</v>
      </c>
      <c r="P25" s="14">
        <v>369</v>
      </c>
      <c r="Q25" s="27">
        <v>392</v>
      </c>
      <c r="R25" s="27">
        <v>437</v>
      </c>
      <c r="S25" s="27">
        <v>480</v>
      </c>
      <c r="T25" s="27">
        <v>515</v>
      </c>
      <c r="U25" s="27">
        <v>563</v>
      </c>
      <c r="V25" s="27">
        <v>615</v>
      </c>
      <c r="W25" s="27">
        <v>666</v>
      </c>
      <c r="X25" s="14">
        <v>668</v>
      </c>
      <c r="Y25" s="14">
        <v>701</v>
      </c>
      <c r="Z25" s="61">
        <v>743</v>
      </c>
      <c r="AA25" s="83">
        <v>759</v>
      </c>
      <c r="AB25" s="61">
        <v>790</v>
      </c>
      <c r="AC25" s="61">
        <v>823.1</v>
      </c>
      <c r="AD25" s="63">
        <v>871</v>
      </c>
      <c r="AE25" s="63">
        <v>1983</v>
      </c>
      <c r="AF25" s="63">
        <v>2129.0520000000001</v>
      </c>
      <c r="AG25" s="61"/>
      <c r="AH25" s="128">
        <v>1982674</v>
      </c>
      <c r="AI25" s="1">
        <f>AH25/1000</f>
        <v>1982.674</v>
      </c>
      <c r="AK25" s="3">
        <v>2129052</v>
      </c>
      <c r="AL25" s="1">
        <f>AK25/1000</f>
        <v>2129.0520000000001</v>
      </c>
      <c r="AN25" s="3">
        <v>2315500</v>
      </c>
      <c r="AO25" s="1">
        <f>AN25/1000</f>
        <v>2315.5</v>
      </c>
      <c r="AQ25" s="3">
        <v>2513160</v>
      </c>
      <c r="AR25" s="1">
        <f>AQ25/1000</f>
        <v>2513.16</v>
      </c>
      <c r="AT25" s="3">
        <v>2806883</v>
      </c>
      <c r="AU25" s="1">
        <f>AT25/1000</f>
        <v>2806.8829999999998</v>
      </c>
      <c r="AW25" s="3">
        <v>3371967</v>
      </c>
      <c r="AX25" s="1">
        <f>AW25/1000</f>
        <v>3371.9670000000001</v>
      </c>
      <c r="AZ25" s="3">
        <v>3865703</v>
      </c>
      <c r="BA25" s="1">
        <f>AZ25/1000</f>
        <v>3865.703</v>
      </c>
      <c r="BC25" s="3">
        <v>4356322</v>
      </c>
      <c r="BD25" s="1">
        <f>BC25/1000</f>
        <v>4356.3220000000001</v>
      </c>
      <c r="BF25" s="276">
        <v>4689794</v>
      </c>
      <c r="BG25" s="1">
        <f>BF25/1000</f>
        <v>4689.7939999999999</v>
      </c>
      <c r="BI25" s="324">
        <v>4975949</v>
      </c>
      <c r="BJ25" s="1">
        <f>BI25/1000</f>
        <v>4975.9489999999996</v>
      </c>
      <c r="BL25" s="324">
        <v>4978214</v>
      </c>
      <c r="BM25" s="1">
        <f t="shared" si="6"/>
        <v>4978.2139999999999</v>
      </c>
      <c r="BO25" s="3">
        <v>4834793</v>
      </c>
      <c r="BP25" s="3">
        <f t="shared" si="7"/>
        <v>4834.7929999999997</v>
      </c>
    </row>
    <row r="26" spans="1:68" ht="15.75">
      <c r="A26" s="1" t="s">
        <v>18</v>
      </c>
      <c r="B26" s="63">
        <v>14428</v>
      </c>
      <c r="C26" s="63">
        <v>15621</v>
      </c>
      <c r="D26" s="63">
        <v>17087.626</v>
      </c>
      <c r="E26" s="63">
        <v>19926.361000000001</v>
      </c>
      <c r="F26" s="63">
        <v>22974.307000000001</v>
      </c>
      <c r="G26" s="63">
        <v>26162.244999999999</v>
      </c>
      <c r="H26" s="63">
        <v>28453.135999999999</v>
      </c>
      <c r="I26" s="63">
        <v>28580.598999999998</v>
      </c>
      <c r="J26" s="63">
        <v>27471.469000000001</v>
      </c>
      <c r="K26" s="63">
        <v>26819.052</v>
      </c>
      <c r="L26" s="239">
        <f t="shared" si="4"/>
        <v>-2.3748893806880194</v>
      </c>
      <c r="M26" s="244">
        <f t="shared" si="5"/>
        <v>96.610943845797607</v>
      </c>
      <c r="N26" s="14">
        <v>1567</v>
      </c>
      <c r="O26" s="14">
        <v>1684</v>
      </c>
      <c r="P26" s="14">
        <v>1843</v>
      </c>
      <c r="Q26" s="27">
        <v>2056</v>
      </c>
      <c r="R26" s="27">
        <v>2300</v>
      </c>
      <c r="S26" s="27">
        <v>2563</v>
      </c>
      <c r="T26" s="27">
        <v>2822</v>
      </c>
      <c r="U26" s="27">
        <v>3136</v>
      </c>
      <c r="V26" s="27">
        <v>3479</v>
      </c>
      <c r="W26" s="27">
        <v>3785</v>
      </c>
      <c r="X26" s="14">
        <v>4075</v>
      </c>
      <c r="Y26" s="14">
        <v>4299</v>
      </c>
      <c r="Z26" s="61">
        <v>4553</v>
      </c>
      <c r="AA26" s="83">
        <v>4793</v>
      </c>
      <c r="AB26" s="61">
        <v>5001</v>
      </c>
      <c r="AC26" s="61">
        <v>5261.7</v>
      </c>
      <c r="AD26" s="63">
        <v>5463</v>
      </c>
      <c r="AE26" s="63">
        <v>12898</v>
      </c>
      <c r="AF26" s="63">
        <v>13640.671</v>
      </c>
      <c r="AG26" s="61"/>
      <c r="AH26" s="128">
        <v>12897679</v>
      </c>
      <c r="AI26" s="1">
        <f>AH26/1000</f>
        <v>12897.679</v>
      </c>
      <c r="AK26" s="3">
        <v>13640671</v>
      </c>
      <c r="AL26" s="1">
        <f>AK26/1000</f>
        <v>13640.671</v>
      </c>
      <c r="AN26" s="3">
        <v>14428277</v>
      </c>
      <c r="AO26" s="1">
        <f>AN26/1000</f>
        <v>14428.277</v>
      </c>
      <c r="AQ26" s="3">
        <v>15621361</v>
      </c>
      <c r="AR26" s="1">
        <f>AQ26/1000</f>
        <v>15621.361000000001</v>
      </c>
      <c r="AT26" s="3">
        <v>17087626</v>
      </c>
      <c r="AU26" s="1">
        <f>AT26/1000</f>
        <v>17087.626</v>
      </c>
      <c r="AW26" s="3">
        <v>19926361</v>
      </c>
      <c r="AX26" s="1">
        <f>AW26/1000</f>
        <v>19926.361000000001</v>
      </c>
      <c r="AZ26" s="3">
        <v>22974307</v>
      </c>
      <c r="BA26" s="1">
        <f>AZ26/1000</f>
        <v>22974.307000000001</v>
      </c>
      <c r="BC26" s="3">
        <v>26162245</v>
      </c>
      <c r="BD26" s="1">
        <f>BC26/1000</f>
        <v>26162.244999999999</v>
      </c>
      <c r="BF26" s="276">
        <v>28453136</v>
      </c>
      <c r="BG26" s="1">
        <f>BF26/1000</f>
        <v>28453.135999999999</v>
      </c>
      <c r="BI26" s="324">
        <v>28580599</v>
      </c>
      <c r="BJ26" s="1">
        <f>BI26/1000</f>
        <v>28580.598999999998</v>
      </c>
      <c r="BL26" s="324">
        <v>27471469</v>
      </c>
      <c r="BM26" s="1">
        <f t="shared" si="6"/>
        <v>27471.469000000001</v>
      </c>
      <c r="BO26" s="3">
        <v>26819052</v>
      </c>
      <c r="BP26" s="3">
        <f t="shared" si="7"/>
        <v>26819.052</v>
      </c>
    </row>
    <row r="27" spans="1:68" ht="15.75">
      <c r="A27" s="1" t="s">
        <v>19</v>
      </c>
      <c r="B27" s="63">
        <v>24297</v>
      </c>
      <c r="C27" s="63">
        <v>27064</v>
      </c>
      <c r="D27" s="63">
        <v>30451.238000000001</v>
      </c>
      <c r="E27" s="63">
        <v>36224.837</v>
      </c>
      <c r="F27" s="63">
        <v>42056.222999999998</v>
      </c>
      <c r="G27" s="63">
        <v>47667.75</v>
      </c>
      <c r="H27" s="63">
        <v>50049.686000000002</v>
      </c>
      <c r="I27" s="63">
        <v>48043.284</v>
      </c>
      <c r="J27" s="63">
        <v>44986.078999999998</v>
      </c>
      <c r="K27" s="63">
        <v>44000.080999999998</v>
      </c>
      <c r="L27" s="239">
        <f t="shared" si="4"/>
        <v>-2.191784707442495</v>
      </c>
      <c r="M27" s="244">
        <f t="shared" si="5"/>
        <v>95.175436222950609</v>
      </c>
      <c r="N27" s="14">
        <v>2363</v>
      </c>
      <c r="O27" s="14">
        <v>2653</v>
      </c>
      <c r="P27" s="14">
        <v>3012</v>
      </c>
      <c r="Q27" s="27">
        <v>3387</v>
      </c>
      <c r="R27" s="27">
        <v>3979</v>
      </c>
      <c r="S27" s="27">
        <v>4482</v>
      </c>
      <c r="T27" s="27">
        <v>4930</v>
      </c>
      <c r="U27" s="27">
        <v>5344</v>
      </c>
      <c r="V27" s="27">
        <v>5907</v>
      </c>
      <c r="W27" s="27">
        <v>6270</v>
      </c>
      <c r="X27" s="14">
        <v>6519</v>
      </c>
      <c r="Y27" s="14">
        <v>6916</v>
      </c>
      <c r="Z27" s="61">
        <v>7102</v>
      </c>
      <c r="AA27" s="83">
        <v>7420</v>
      </c>
      <c r="AB27" s="61">
        <v>7742</v>
      </c>
      <c r="AC27" s="61">
        <v>8245.4500000000007</v>
      </c>
      <c r="AD27" s="63">
        <v>8665</v>
      </c>
      <c r="AE27" s="63">
        <v>21792</v>
      </c>
      <c r="AF27" s="63">
        <v>22543.862000000001</v>
      </c>
      <c r="AG27" s="61"/>
      <c r="AH27" s="128">
        <v>21791561</v>
      </c>
      <c r="AI27" s="1">
        <f>AH27/1000</f>
        <v>21791.561000000002</v>
      </c>
      <c r="AK27" s="3">
        <v>22543862</v>
      </c>
      <c r="AL27" s="1">
        <f>AK27/1000</f>
        <v>22543.862000000001</v>
      </c>
      <c r="AN27" s="3">
        <v>24297361</v>
      </c>
      <c r="AO27" s="1">
        <f>AN27/1000</f>
        <v>24297.361000000001</v>
      </c>
      <c r="AQ27" s="3">
        <v>27064279</v>
      </c>
      <c r="AR27" s="1">
        <f>AQ27/1000</f>
        <v>27064.278999999999</v>
      </c>
      <c r="AT27" s="3">
        <v>30451238</v>
      </c>
      <c r="AU27" s="1">
        <f>AT27/1000</f>
        <v>30451.238000000001</v>
      </c>
      <c r="AW27" s="3">
        <v>36224837</v>
      </c>
      <c r="AX27" s="1">
        <f>AW27/1000</f>
        <v>36224.837</v>
      </c>
      <c r="AZ27" s="3">
        <v>42056223</v>
      </c>
      <c r="BA27" s="1">
        <f>AZ27/1000</f>
        <v>42056.222999999998</v>
      </c>
      <c r="BC27" s="3">
        <v>47667750</v>
      </c>
      <c r="BD27" s="1">
        <f>BC27/1000</f>
        <v>47667.75</v>
      </c>
      <c r="BF27" s="276">
        <v>50049686</v>
      </c>
      <c r="BG27" s="1">
        <f>BF27/1000</f>
        <v>50049.686000000002</v>
      </c>
      <c r="BI27" s="324">
        <v>48043284</v>
      </c>
      <c r="BJ27" s="1">
        <f>BI27/1000</f>
        <v>48043.284</v>
      </c>
      <c r="BL27" s="324">
        <v>44986079</v>
      </c>
      <c r="BM27" s="1">
        <f t="shared" si="6"/>
        <v>44986.078999999998</v>
      </c>
      <c r="BO27" s="3">
        <v>44000081</v>
      </c>
      <c r="BP27" s="3">
        <f t="shared" si="7"/>
        <v>44000.080999999998</v>
      </c>
    </row>
    <row r="28" spans="1:68" ht="15.75">
      <c r="A28" s="1" t="s">
        <v>20</v>
      </c>
      <c r="B28" s="63">
        <v>1556</v>
      </c>
      <c r="C28" s="63">
        <v>1701</v>
      </c>
      <c r="D28" s="63">
        <v>1867.337</v>
      </c>
      <c r="E28" s="63">
        <v>2181.116</v>
      </c>
      <c r="F28" s="63">
        <v>2535.9940000000001</v>
      </c>
      <c r="G28" s="63">
        <v>2917.3780000000002</v>
      </c>
      <c r="H28" s="63">
        <v>3219.0729999999999</v>
      </c>
      <c r="I28" s="63">
        <v>3282.2660000000001</v>
      </c>
      <c r="J28" s="63">
        <v>3154.7829999999999</v>
      </c>
      <c r="K28" s="63">
        <v>3058.279</v>
      </c>
      <c r="L28" s="239">
        <f t="shared" si="4"/>
        <v>-3.058974262255119</v>
      </c>
      <c r="M28" s="244">
        <f t="shared" si="5"/>
        <v>110.32036888670351</v>
      </c>
      <c r="N28" s="14">
        <v>202</v>
      </c>
      <c r="O28" s="14">
        <v>216</v>
      </c>
      <c r="P28" s="27">
        <v>233</v>
      </c>
      <c r="Q28" s="27">
        <v>256</v>
      </c>
      <c r="R28" s="27">
        <v>281</v>
      </c>
      <c r="S28" s="27">
        <v>316</v>
      </c>
      <c r="T28" s="27">
        <v>346</v>
      </c>
      <c r="U28" s="27">
        <v>389</v>
      </c>
      <c r="V28" s="27">
        <v>434</v>
      </c>
      <c r="W28" s="27">
        <v>467</v>
      </c>
      <c r="X28" s="14">
        <v>488</v>
      </c>
      <c r="Y28" s="14">
        <v>502</v>
      </c>
      <c r="Z28" s="61">
        <v>517</v>
      </c>
      <c r="AA28" s="83">
        <v>530</v>
      </c>
      <c r="AB28" s="61">
        <v>538</v>
      </c>
      <c r="AC28" s="61">
        <v>548.27</v>
      </c>
      <c r="AD28" s="63">
        <v>560</v>
      </c>
      <c r="AE28" s="63">
        <v>1390</v>
      </c>
      <c r="AF28" s="63">
        <v>1454.105</v>
      </c>
      <c r="AG28" s="61"/>
      <c r="AH28" s="128">
        <v>1389818</v>
      </c>
      <c r="AI28" s="1">
        <f>AH28/1000</f>
        <v>1389.818</v>
      </c>
      <c r="AK28" s="3">
        <v>1454105</v>
      </c>
      <c r="AL28" s="1">
        <f>AK28/1000</f>
        <v>1454.105</v>
      </c>
      <c r="AN28" s="3">
        <v>1555850</v>
      </c>
      <c r="AO28" s="1">
        <f>AN28/1000</f>
        <v>1555.85</v>
      </c>
      <c r="AQ28" s="3">
        <v>1700633</v>
      </c>
      <c r="AR28" s="1">
        <f>AQ28/1000</f>
        <v>1700.633</v>
      </c>
      <c r="AT28" s="3">
        <v>1867337</v>
      </c>
      <c r="AU28" s="1">
        <f>AT28/1000</f>
        <v>1867.337</v>
      </c>
      <c r="AW28" s="3">
        <v>2181116</v>
      </c>
      <c r="AX28" s="1">
        <f>AW28/1000</f>
        <v>2181.116</v>
      </c>
      <c r="AZ28" s="3">
        <v>2535994</v>
      </c>
      <c r="BA28" s="1">
        <f>AZ28/1000</f>
        <v>2535.9940000000001</v>
      </c>
      <c r="BC28" s="3">
        <v>2917378</v>
      </c>
      <c r="BD28" s="1">
        <f>BC28/1000</f>
        <v>2917.3780000000002</v>
      </c>
      <c r="BF28" s="276">
        <v>3219073</v>
      </c>
      <c r="BG28" s="1">
        <f>BF28/1000</f>
        <v>3219.0729999999999</v>
      </c>
      <c r="BI28" s="324">
        <v>3282266</v>
      </c>
      <c r="BJ28" s="1">
        <f>BI28/1000</f>
        <v>3282.2660000000001</v>
      </c>
      <c r="BL28" s="324">
        <v>3154783</v>
      </c>
      <c r="BM28" s="1">
        <f t="shared" si="6"/>
        <v>3154.7829999999999</v>
      </c>
      <c r="BO28" s="3">
        <v>3058279</v>
      </c>
      <c r="BP28" s="3">
        <f t="shared" si="7"/>
        <v>3058.279</v>
      </c>
    </row>
    <row r="29" spans="1:68" ht="15.75">
      <c r="B29" s="59"/>
      <c r="C29" s="59"/>
      <c r="D29" s="59"/>
      <c r="F29" s="59"/>
      <c r="G29" s="59"/>
      <c r="H29" s="59"/>
      <c r="I29" s="59"/>
      <c r="J29" s="59"/>
      <c r="K29" s="63"/>
      <c r="L29" s="239"/>
      <c r="M29" s="244"/>
      <c r="N29" s="14"/>
      <c r="O29" s="14"/>
      <c r="Q29" s="27"/>
      <c r="R29" s="27"/>
      <c r="S29" s="27"/>
      <c r="T29" s="27"/>
      <c r="U29" s="27"/>
      <c r="V29" s="27"/>
      <c r="W29" s="27"/>
      <c r="X29" s="14"/>
      <c r="Y29" s="14"/>
      <c r="Z29" s="61"/>
      <c r="AA29" s="83"/>
      <c r="AB29" s="61"/>
      <c r="AC29" s="61"/>
      <c r="AD29" s="59"/>
      <c r="AE29" s="59"/>
      <c r="AF29" s="59"/>
      <c r="AG29" s="61"/>
      <c r="AH29" s="164"/>
      <c r="AI29" s="1"/>
      <c r="BF29" s="277"/>
      <c r="BI29" s="300"/>
      <c r="BL29" s="300"/>
      <c r="BM29" s="1"/>
    </row>
    <row r="30" spans="1:68" ht="15.75">
      <c r="A30" s="1" t="s">
        <v>21</v>
      </c>
      <c r="B30" s="63">
        <v>95287</v>
      </c>
      <c r="C30" s="63">
        <v>106670</v>
      </c>
      <c r="D30" s="63">
        <v>123700.452</v>
      </c>
      <c r="E30" s="63">
        <v>145815.228236</v>
      </c>
      <c r="F30" s="63">
        <v>168428.916</v>
      </c>
      <c r="G30" s="63">
        <v>186959.28400000001</v>
      </c>
      <c r="H30" s="63">
        <v>187664.56700000001</v>
      </c>
      <c r="I30" s="63">
        <v>179221.10699999999</v>
      </c>
      <c r="J30" s="63">
        <v>167750.57500000001</v>
      </c>
      <c r="K30" s="63">
        <v>163276.86799999999</v>
      </c>
      <c r="L30" s="239">
        <f t="shared" si="4"/>
        <v>-2.6668802774595699</v>
      </c>
      <c r="M30" s="244">
        <f t="shared" si="5"/>
        <v>87.257886293862398</v>
      </c>
      <c r="N30" s="14">
        <v>12905</v>
      </c>
      <c r="O30" s="14">
        <v>14257</v>
      </c>
      <c r="P30" s="27">
        <v>15799</v>
      </c>
      <c r="Q30" s="27">
        <v>17630</v>
      </c>
      <c r="R30" s="27">
        <v>19574</v>
      </c>
      <c r="S30" s="27">
        <v>21505</v>
      </c>
      <c r="T30" s="27">
        <v>23766</v>
      </c>
      <c r="U30" s="27">
        <v>25962</v>
      </c>
      <c r="V30" s="27">
        <v>28433</v>
      </c>
      <c r="W30" s="27">
        <v>29484</v>
      </c>
      <c r="X30" s="14">
        <v>29485</v>
      </c>
      <c r="Y30" s="14">
        <v>29322</v>
      </c>
      <c r="Z30" s="61">
        <v>30477</v>
      </c>
      <c r="AA30" s="83">
        <v>31226</v>
      </c>
      <c r="AB30" s="61">
        <v>31848</v>
      </c>
      <c r="AC30" s="61">
        <v>32719</v>
      </c>
      <c r="AD30" s="63">
        <v>33746</v>
      </c>
      <c r="AE30" s="63">
        <v>82145</v>
      </c>
      <c r="AF30" s="63">
        <v>87193.587</v>
      </c>
      <c r="AG30" s="61"/>
      <c r="AH30" s="128">
        <v>82144795</v>
      </c>
      <c r="AI30" s="1">
        <f>AH30/1000</f>
        <v>82144.794999999998</v>
      </c>
      <c r="AK30" s="3">
        <v>87193587</v>
      </c>
      <c r="AL30" s="1">
        <f>AK30/1000</f>
        <v>87193.587</v>
      </c>
      <c r="AN30" s="3">
        <v>95287116</v>
      </c>
      <c r="AO30" s="1">
        <f>AN30/1000</f>
        <v>95287.115999999995</v>
      </c>
      <c r="AQ30" s="3">
        <v>106670244</v>
      </c>
      <c r="AR30" s="1">
        <f>AQ30/1000</f>
        <v>106670.24400000001</v>
      </c>
      <c r="AT30" s="3">
        <v>123700452</v>
      </c>
      <c r="AU30" s="1">
        <f>AT30/1000</f>
        <v>123700.452</v>
      </c>
      <c r="AW30" s="3">
        <v>145815228.236</v>
      </c>
      <c r="AX30" s="1">
        <f>AW30/1000</f>
        <v>145815.228236</v>
      </c>
      <c r="AZ30" s="3">
        <v>168428916</v>
      </c>
      <c r="BA30" s="1">
        <f>AZ30/1000</f>
        <v>168428.916</v>
      </c>
      <c r="BC30" s="3">
        <v>186959284</v>
      </c>
      <c r="BD30" s="1">
        <f>BC30/1000</f>
        <v>186959.28400000001</v>
      </c>
      <c r="BF30" s="276">
        <v>187664567</v>
      </c>
      <c r="BG30" s="1">
        <f>BF30/1000</f>
        <v>187664.56700000001</v>
      </c>
      <c r="BI30" s="324">
        <v>179221107</v>
      </c>
      <c r="BJ30" s="1">
        <f>BI30/1000</f>
        <v>179221.10699999999</v>
      </c>
      <c r="BL30" s="324">
        <v>167750575</v>
      </c>
      <c r="BM30" s="1">
        <f t="shared" si="6"/>
        <v>167750.57500000001</v>
      </c>
      <c r="BO30" s="3">
        <v>163276868</v>
      </c>
      <c r="BP30" s="3">
        <f t="shared" si="7"/>
        <v>163276.86799999999</v>
      </c>
    </row>
    <row r="31" spans="1:68" ht="15.75">
      <c r="A31" s="1" t="s">
        <v>22</v>
      </c>
      <c r="B31" s="63">
        <v>45737</v>
      </c>
      <c r="C31" s="63">
        <v>48952</v>
      </c>
      <c r="D31" s="63">
        <v>54285.945</v>
      </c>
      <c r="E31" s="63">
        <v>62726.163826249998</v>
      </c>
      <c r="F31" s="63">
        <v>74432.899000000005</v>
      </c>
      <c r="G31" s="63">
        <v>88581.324999999997</v>
      </c>
      <c r="H31" s="63">
        <v>98867.717999999993</v>
      </c>
      <c r="I31" s="63">
        <v>99039.894</v>
      </c>
      <c r="J31" s="63">
        <v>86036.875</v>
      </c>
      <c r="K31" s="63">
        <v>79257.05</v>
      </c>
      <c r="L31" s="239">
        <f t="shared" si="4"/>
        <v>-7.880138603360475</v>
      </c>
      <c r="M31" s="244">
        <f t="shared" si="5"/>
        <v>81.199982679508423</v>
      </c>
      <c r="N31" s="14">
        <v>7685</v>
      </c>
      <c r="O31" s="14">
        <v>8322</v>
      </c>
      <c r="P31" s="27">
        <v>9098</v>
      </c>
      <c r="Q31" s="27">
        <v>9956</v>
      </c>
      <c r="R31" s="27">
        <v>10842</v>
      </c>
      <c r="S31" s="27">
        <v>11835</v>
      </c>
      <c r="T31" s="27">
        <v>12878</v>
      </c>
      <c r="U31" s="27">
        <v>13892</v>
      </c>
      <c r="V31" s="27">
        <v>15080</v>
      </c>
      <c r="W31" s="27">
        <v>15766</v>
      </c>
      <c r="X31" s="14">
        <v>16282</v>
      </c>
      <c r="Y31" s="14">
        <v>16624</v>
      </c>
      <c r="Z31" s="61">
        <v>16909</v>
      </c>
      <c r="AA31" s="83">
        <v>17113</v>
      </c>
      <c r="AB31" s="61">
        <v>17427</v>
      </c>
      <c r="AC31" s="61">
        <v>17791.02</v>
      </c>
      <c r="AD31" s="63">
        <v>17982</v>
      </c>
      <c r="AE31" s="63">
        <v>41878</v>
      </c>
      <c r="AF31" s="63">
        <v>43740.097999999998</v>
      </c>
      <c r="AG31" s="61"/>
      <c r="AH31" s="128">
        <v>41877508</v>
      </c>
      <c r="AI31" s="1">
        <f>AH31/1000</f>
        <v>41877.508000000002</v>
      </c>
      <c r="AK31" s="3">
        <v>43740098</v>
      </c>
      <c r="AL31" s="1">
        <f>AK31/1000</f>
        <v>43740.097999999998</v>
      </c>
      <c r="AN31" s="3">
        <v>45736798</v>
      </c>
      <c r="AO31" s="1">
        <f>AN31/1000</f>
        <v>45736.798000000003</v>
      </c>
      <c r="AQ31" s="3">
        <v>48951876</v>
      </c>
      <c r="AR31" s="1">
        <f>AQ31/1000</f>
        <v>48951.875999999997</v>
      </c>
      <c r="AT31" s="3">
        <v>54285945</v>
      </c>
      <c r="AU31" s="1">
        <f>AT31/1000</f>
        <v>54285.945</v>
      </c>
      <c r="AW31" s="3">
        <v>62726163.826250002</v>
      </c>
      <c r="AX31" s="1">
        <f>AW31/1000</f>
        <v>62726.163826249998</v>
      </c>
      <c r="AZ31" s="3">
        <v>74432899</v>
      </c>
      <c r="BA31" s="1">
        <f>AZ31/1000</f>
        <v>74432.899000000005</v>
      </c>
      <c r="BC31" s="3">
        <v>88581325</v>
      </c>
      <c r="BD31" s="1">
        <f>BC31/1000</f>
        <v>88581.324999999997</v>
      </c>
      <c r="BF31" s="276">
        <v>98867718</v>
      </c>
      <c r="BG31" s="1">
        <f>BF31/1000</f>
        <v>98867.717999999993</v>
      </c>
      <c r="BI31" s="324">
        <v>99039894</v>
      </c>
      <c r="BJ31" s="1">
        <f>BI31/1000</f>
        <v>99039.894</v>
      </c>
      <c r="BL31" s="324">
        <v>86036875</v>
      </c>
      <c r="BM31" s="1">
        <f t="shared" si="6"/>
        <v>86036.875</v>
      </c>
      <c r="BO31" s="3">
        <v>79257050</v>
      </c>
      <c r="BP31" s="3">
        <f t="shared" si="7"/>
        <v>79257.05</v>
      </c>
    </row>
    <row r="32" spans="1:68" ht="15.75">
      <c r="A32" s="1" t="s">
        <v>23</v>
      </c>
      <c r="B32" s="63">
        <v>4032</v>
      </c>
      <c r="C32" s="63">
        <v>4577</v>
      </c>
      <c r="D32" s="63">
        <v>5136.9840000000004</v>
      </c>
      <c r="E32" s="63">
        <v>6174.4407589999992</v>
      </c>
      <c r="F32" s="63">
        <v>7359.7309999999998</v>
      </c>
      <c r="G32" s="63">
        <v>8420.2729999999992</v>
      </c>
      <c r="H32" s="63">
        <v>9050.9490000000005</v>
      </c>
      <c r="I32" s="63">
        <v>8749.2440000000006</v>
      </c>
      <c r="J32" s="63">
        <v>8543.8760000000002</v>
      </c>
      <c r="K32" s="63">
        <v>8031.3549999999996</v>
      </c>
      <c r="L32" s="239">
        <f t="shared" si="4"/>
        <v>-5.9986942694393113</v>
      </c>
      <c r="M32" s="244">
        <f t="shared" si="5"/>
        <v>121.81841632904674</v>
      </c>
      <c r="N32" s="14">
        <v>371</v>
      </c>
      <c r="O32" s="14">
        <v>413</v>
      </c>
      <c r="P32" s="27">
        <v>460</v>
      </c>
      <c r="Q32" s="27">
        <v>516</v>
      </c>
      <c r="R32" s="27">
        <v>583</v>
      </c>
      <c r="S32" s="27">
        <v>660</v>
      </c>
      <c r="T32" s="27">
        <v>712</v>
      </c>
      <c r="U32" s="27">
        <v>788</v>
      </c>
      <c r="V32" s="27">
        <v>883</v>
      </c>
      <c r="W32" s="27">
        <v>962</v>
      </c>
      <c r="X32" s="14">
        <v>996</v>
      </c>
      <c r="Y32" s="14">
        <v>1032</v>
      </c>
      <c r="Z32" s="61">
        <v>1081</v>
      </c>
      <c r="AA32" s="83">
        <v>1120</v>
      </c>
      <c r="AB32" s="61">
        <v>1167</v>
      </c>
      <c r="AC32" s="61">
        <v>1221.51</v>
      </c>
      <c r="AD32" s="63">
        <v>1290</v>
      </c>
      <c r="AE32" s="63">
        <v>3341</v>
      </c>
      <c r="AF32" s="63">
        <v>3620.6889999999999</v>
      </c>
      <c r="AG32" s="61"/>
      <c r="AH32" s="128">
        <v>3340827</v>
      </c>
      <c r="AI32" s="1">
        <f>AH32/1000</f>
        <v>3340.8270000000002</v>
      </c>
      <c r="AK32" s="3">
        <v>3620689</v>
      </c>
      <c r="AL32" s="1">
        <f>AK32/1000</f>
        <v>3620.6889999999999</v>
      </c>
      <c r="AN32" s="3">
        <v>4032277</v>
      </c>
      <c r="AO32" s="1">
        <f>AN32/1000</f>
        <v>4032.277</v>
      </c>
      <c r="AQ32" s="3">
        <v>4576913</v>
      </c>
      <c r="AR32" s="1">
        <f>AQ32/1000</f>
        <v>4576.9129999999996</v>
      </c>
      <c r="AT32" s="3">
        <v>5136984</v>
      </c>
      <c r="AU32" s="1">
        <f>AT32/1000</f>
        <v>5136.9840000000004</v>
      </c>
      <c r="AW32" s="3">
        <v>6174440.7589999996</v>
      </c>
      <c r="AX32" s="1">
        <f>AW32/1000</f>
        <v>6174.4407589999992</v>
      </c>
      <c r="AZ32" s="3">
        <v>7359731</v>
      </c>
      <c r="BA32" s="1">
        <f>AZ32/1000</f>
        <v>7359.7309999999998</v>
      </c>
      <c r="BC32" s="3">
        <v>8420273</v>
      </c>
      <c r="BD32" s="1">
        <f>BC32/1000</f>
        <v>8420.2729999999992</v>
      </c>
      <c r="BF32" s="276">
        <v>9050949</v>
      </c>
      <c r="BG32" s="1">
        <f>BF32/1000</f>
        <v>9050.9490000000005</v>
      </c>
      <c r="BI32" s="324">
        <v>8749244</v>
      </c>
      <c r="BJ32" s="1">
        <f>BI32/1000</f>
        <v>8749.2440000000006</v>
      </c>
      <c r="BL32" s="324">
        <v>8543876</v>
      </c>
      <c r="BM32" s="1">
        <f t="shared" si="6"/>
        <v>8543.8760000000002</v>
      </c>
      <c r="BO32" s="3">
        <v>8031355</v>
      </c>
      <c r="BP32" s="3">
        <f t="shared" si="7"/>
        <v>8031.3549999999996</v>
      </c>
    </row>
    <row r="33" spans="1:68" ht="15.75">
      <c r="A33" s="1" t="s">
        <v>24</v>
      </c>
      <c r="B33" s="63">
        <v>5831</v>
      </c>
      <c r="C33" s="63">
        <v>6233</v>
      </c>
      <c r="D33" s="63">
        <v>6831.6040000000003</v>
      </c>
      <c r="E33" s="63">
        <v>8227.2938734999989</v>
      </c>
      <c r="F33" s="63">
        <v>9796.8410000000003</v>
      </c>
      <c r="G33" s="63">
        <v>11602.222</v>
      </c>
      <c r="H33" s="63">
        <v>12875.262000000001</v>
      </c>
      <c r="I33" s="63">
        <v>13182.755999999999</v>
      </c>
      <c r="J33" s="63">
        <v>12567.334999999999</v>
      </c>
      <c r="K33" s="63">
        <v>12191.008</v>
      </c>
      <c r="L33" s="239">
        <f t="shared" si="4"/>
        <v>-2.9944853065506676</v>
      </c>
      <c r="M33" s="244">
        <f t="shared" si="5"/>
        <v>120.3125468735373</v>
      </c>
      <c r="N33" s="14">
        <v>619</v>
      </c>
      <c r="O33" s="14">
        <v>696</v>
      </c>
      <c r="P33" s="27">
        <v>777</v>
      </c>
      <c r="Q33" s="27">
        <v>859</v>
      </c>
      <c r="R33" s="27">
        <v>950</v>
      </c>
      <c r="S33" s="27">
        <v>1053</v>
      </c>
      <c r="T33" s="27">
        <v>1140</v>
      </c>
      <c r="U33" s="27">
        <v>1255</v>
      </c>
      <c r="V33" s="27">
        <v>1391</v>
      </c>
      <c r="W33" s="27">
        <v>1537</v>
      </c>
      <c r="X33" s="14">
        <v>1612</v>
      </c>
      <c r="Y33" s="14">
        <v>1695</v>
      </c>
      <c r="Z33" s="61">
        <v>1798</v>
      </c>
      <c r="AA33" s="83">
        <v>1848</v>
      </c>
      <c r="AB33" s="61">
        <v>1958</v>
      </c>
      <c r="AC33" s="61">
        <v>2053.67</v>
      </c>
      <c r="AD33" s="63">
        <v>2150</v>
      </c>
      <c r="AE33" s="63">
        <v>5237</v>
      </c>
      <c r="AF33" s="63">
        <v>5533.5060000000003</v>
      </c>
      <c r="AG33" s="61"/>
      <c r="AH33" s="128">
        <v>5236506</v>
      </c>
      <c r="AI33" s="1">
        <f>AH33/1000</f>
        <v>5236.5060000000003</v>
      </c>
      <c r="AK33" s="3">
        <v>5533506</v>
      </c>
      <c r="AL33" s="1">
        <f>AK33/1000</f>
        <v>5533.5060000000003</v>
      </c>
      <c r="AN33" s="3">
        <v>5830982</v>
      </c>
      <c r="AO33" s="1">
        <f>AN33/1000</f>
        <v>5830.982</v>
      </c>
      <c r="AQ33" s="3">
        <v>6232750</v>
      </c>
      <c r="AR33" s="1">
        <f>AQ33/1000</f>
        <v>6232.75</v>
      </c>
      <c r="AT33" s="3">
        <v>6831604</v>
      </c>
      <c r="AU33" s="1">
        <f>AT33/1000</f>
        <v>6831.6040000000003</v>
      </c>
      <c r="AW33" s="3">
        <v>8227293.8734999998</v>
      </c>
      <c r="AX33" s="1">
        <f>AW33/1000</f>
        <v>8227.2938734999989</v>
      </c>
      <c r="AZ33" s="3">
        <v>9796841</v>
      </c>
      <c r="BA33" s="1">
        <f>AZ33/1000</f>
        <v>9796.8410000000003</v>
      </c>
      <c r="BC33" s="3">
        <v>11602222</v>
      </c>
      <c r="BD33" s="1">
        <f>BC33/1000</f>
        <v>11602.222</v>
      </c>
      <c r="BF33" s="276">
        <v>12875262</v>
      </c>
      <c r="BG33" s="1">
        <f>BF33/1000</f>
        <v>12875.262000000001</v>
      </c>
      <c r="BI33" s="324">
        <v>13182756</v>
      </c>
      <c r="BJ33" s="1">
        <f>BI33/1000</f>
        <v>13182.755999999999</v>
      </c>
      <c r="BL33" s="324">
        <v>12567335</v>
      </c>
      <c r="BM33" s="1">
        <f t="shared" si="6"/>
        <v>12567.334999999999</v>
      </c>
      <c r="BO33" s="3">
        <v>12191008</v>
      </c>
      <c r="BP33" s="3">
        <f t="shared" si="7"/>
        <v>12191.008</v>
      </c>
    </row>
    <row r="34" spans="1:68" ht="15.75">
      <c r="A34" s="1" t="s">
        <v>25</v>
      </c>
      <c r="B34" s="63">
        <v>799</v>
      </c>
      <c r="C34" s="63">
        <v>846</v>
      </c>
      <c r="D34" s="63">
        <v>959.97900000000004</v>
      </c>
      <c r="E34" s="63">
        <v>1180.3150000000001</v>
      </c>
      <c r="F34" s="63">
        <v>1398.223</v>
      </c>
      <c r="G34" s="63">
        <v>1632.4169999999999</v>
      </c>
      <c r="H34" s="63">
        <v>1757.5630000000001</v>
      </c>
      <c r="I34" s="63">
        <v>1769.2049999999999</v>
      </c>
      <c r="J34" s="63">
        <v>1686.855</v>
      </c>
      <c r="K34" s="63">
        <v>1483.0730000000001</v>
      </c>
      <c r="L34" s="239">
        <f t="shared" si="4"/>
        <v>-12.080587839500131</v>
      </c>
      <c r="M34" s="244">
        <f t="shared" si="5"/>
        <v>95.508276724850504</v>
      </c>
      <c r="N34" s="14">
        <v>163</v>
      </c>
      <c r="O34" s="14">
        <v>178</v>
      </c>
      <c r="P34" s="27">
        <v>188</v>
      </c>
      <c r="Q34" s="27">
        <v>202</v>
      </c>
      <c r="R34" s="27">
        <v>216</v>
      </c>
      <c r="S34" s="27">
        <v>228</v>
      </c>
      <c r="T34" s="27">
        <v>234</v>
      </c>
      <c r="U34" s="27">
        <v>244</v>
      </c>
      <c r="V34" s="27">
        <v>258</v>
      </c>
      <c r="W34" s="27">
        <v>268</v>
      </c>
      <c r="X34" s="14">
        <v>275</v>
      </c>
      <c r="Y34" s="36">
        <v>286</v>
      </c>
      <c r="Z34" s="61">
        <v>300</v>
      </c>
      <c r="AA34" s="83">
        <v>307</v>
      </c>
      <c r="AB34" s="61">
        <v>312</v>
      </c>
      <c r="AC34" s="61">
        <v>321.67</v>
      </c>
      <c r="AD34" s="63">
        <v>330</v>
      </c>
      <c r="AE34" s="63">
        <v>734</v>
      </c>
      <c r="AF34" s="63">
        <v>758.57299999999998</v>
      </c>
      <c r="AG34" s="61"/>
      <c r="AH34" s="128">
        <v>733783</v>
      </c>
      <c r="AI34" s="1">
        <f>AH34/1000</f>
        <v>733.78300000000002</v>
      </c>
      <c r="AK34" s="3">
        <v>758573</v>
      </c>
      <c r="AL34" s="1">
        <f>AK34/1000</f>
        <v>758.57299999999998</v>
      </c>
      <c r="AN34" s="3">
        <v>799003</v>
      </c>
      <c r="AO34" s="1">
        <f>AN34/1000</f>
        <v>799.00300000000004</v>
      </c>
      <c r="AQ34" s="3">
        <v>846332.5</v>
      </c>
      <c r="AR34" s="1">
        <f>AQ34/1000</f>
        <v>846.33249999999998</v>
      </c>
      <c r="AT34" s="3">
        <v>959979</v>
      </c>
      <c r="AU34" s="1">
        <f>AT34/1000</f>
        <v>959.97900000000004</v>
      </c>
      <c r="AW34" s="3">
        <v>1180315</v>
      </c>
      <c r="AX34" s="1">
        <f>AW34/1000</f>
        <v>1180.3150000000001</v>
      </c>
      <c r="AZ34" s="3">
        <v>1398223</v>
      </c>
      <c r="BA34" s="1">
        <f>AZ34/1000</f>
        <v>1398.223</v>
      </c>
      <c r="BC34" s="3">
        <v>1632417</v>
      </c>
      <c r="BD34" s="1">
        <f>BC34/1000</f>
        <v>1632.4169999999999</v>
      </c>
      <c r="BF34" s="276">
        <v>1757563</v>
      </c>
      <c r="BG34" s="1">
        <f>BF34/1000</f>
        <v>1757.5630000000001</v>
      </c>
      <c r="BI34" s="324">
        <v>1769205</v>
      </c>
      <c r="BJ34" s="1">
        <f>BI34/1000</f>
        <v>1769.2049999999999</v>
      </c>
      <c r="BL34" s="324">
        <v>1686855</v>
      </c>
      <c r="BM34" s="1">
        <f t="shared" si="6"/>
        <v>1686.855</v>
      </c>
      <c r="BO34" s="3">
        <v>1483073</v>
      </c>
      <c r="BP34" s="3">
        <f t="shared" si="7"/>
        <v>1483.0730000000001</v>
      </c>
    </row>
    <row r="35" spans="1:68" ht="15.75">
      <c r="B35" s="59"/>
      <c r="C35" s="59"/>
      <c r="D35" s="59"/>
      <c r="F35" s="59"/>
      <c r="G35" s="59"/>
      <c r="H35" s="59"/>
      <c r="I35" s="59"/>
      <c r="J35" s="59"/>
      <c r="K35" s="63"/>
      <c r="L35" s="239"/>
      <c r="M35" s="244"/>
      <c r="O35" s="14"/>
      <c r="P35" s="27"/>
      <c r="Q35" s="27"/>
      <c r="R35" s="27"/>
      <c r="S35" s="27"/>
      <c r="T35" s="27"/>
      <c r="U35" s="27"/>
      <c r="V35" s="27"/>
      <c r="W35" s="27"/>
      <c r="X35" s="14"/>
      <c r="Y35" s="36"/>
      <c r="Z35" s="61"/>
      <c r="AA35" s="83"/>
      <c r="AB35" s="61"/>
      <c r="AC35" s="61"/>
      <c r="AD35" s="59"/>
      <c r="AE35" s="59"/>
      <c r="AF35" s="59"/>
      <c r="AG35" s="61"/>
      <c r="AH35" s="128"/>
      <c r="AI35" s="1"/>
      <c r="BF35" s="276"/>
      <c r="BI35" s="324"/>
      <c r="BL35" s="324"/>
      <c r="BM35" s="1"/>
    </row>
    <row r="36" spans="1:68" ht="15.75">
      <c r="A36" s="1" t="s">
        <v>26</v>
      </c>
      <c r="B36" s="63">
        <v>4518</v>
      </c>
      <c r="C36" s="63">
        <v>5141</v>
      </c>
      <c r="D36" s="63">
        <v>5813.2250000000004</v>
      </c>
      <c r="E36" s="63">
        <v>6749.46</v>
      </c>
      <c r="F36" s="63">
        <v>7929.2510000000002</v>
      </c>
      <c r="G36" s="63">
        <v>9155.6280000000006</v>
      </c>
      <c r="H36" s="63">
        <v>10142.501</v>
      </c>
      <c r="I36" s="63">
        <v>10134.945</v>
      </c>
      <c r="J36" s="63">
        <v>9730.598</v>
      </c>
      <c r="K36" s="63">
        <v>9322.3520000000008</v>
      </c>
      <c r="L36" s="239">
        <f t="shared" si="4"/>
        <v>-4.1954872660446894</v>
      </c>
      <c r="M36" s="244">
        <f t="shared" si="5"/>
        <v>129.15176245022371</v>
      </c>
      <c r="N36" s="14">
        <v>491</v>
      </c>
      <c r="O36" s="14">
        <v>547</v>
      </c>
      <c r="P36" s="27">
        <v>612</v>
      </c>
      <c r="Q36" s="27">
        <v>678</v>
      </c>
      <c r="R36" s="27">
        <v>755</v>
      </c>
      <c r="S36" s="27">
        <v>838</v>
      </c>
      <c r="T36" s="27">
        <v>925</v>
      </c>
      <c r="U36" s="27">
        <v>1031</v>
      </c>
      <c r="V36" s="27">
        <v>1137</v>
      </c>
      <c r="W36" s="27">
        <v>1179</v>
      </c>
      <c r="X36" s="14">
        <v>1194</v>
      </c>
      <c r="Y36" s="36">
        <v>1208</v>
      </c>
      <c r="Z36" s="61">
        <v>1237</v>
      </c>
      <c r="AA36" s="83">
        <v>1273</v>
      </c>
      <c r="AB36" s="61">
        <v>1319</v>
      </c>
      <c r="AC36" s="61">
        <v>1373.72</v>
      </c>
      <c r="AD36" s="63">
        <v>1381</v>
      </c>
      <c r="AE36" s="63">
        <v>3751</v>
      </c>
      <c r="AF36" s="63">
        <v>4068.2</v>
      </c>
      <c r="AG36" s="61"/>
      <c r="AH36" s="128">
        <v>3750568</v>
      </c>
      <c r="AI36" s="1">
        <f>AH36/1000</f>
        <v>3750.5680000000002</v>
      </c>
      <c r="AK36" s="3">
        <v>4068200</v>
      </c>
      <c r="AL36" s="1">
        <f>AK36/1000</f>
        <v>4068.2</v>
      </c>
      <c r="AN36" s="3">
        <v>4517967</v>
      </c>
      <c r="AO36" s="1">
        <f>AN36/1000</f>
        <v>4517.9669999999996</v>
      </c>
      <c r="AQ36" s="3">
        <v>5141206.5</v>
      </c>
      <c r="AR36" s="1">
        <f>AQ36/1000</f>
        <v>5141.2065000000002</v>
      </c>
      <c r="AT36" s="3">
        <v>5813225</v>
      </c>
      <c r="AU36" s="1">
        <f>AT36/1000</f>
        <v>5813.2250000000004</v>
      </c>
      <c r="AW36" s="3">
        <v>6749460</v>
      </c>
      <c r="AX36" s="1">
        <f>AW36/1000</f>
        <v>6749.46</v>
      </c>
      <c r="AZ36" s="3">
        <v>7929251</v>
      </c>
      <c r="BA36" s="1">
        <f>AZ36/1000</f>
        <v>7929.2510000000002</v>
      </c>
      <c r="BC36" s="3">
        <v>9155628</v>
      </c>
      <c r="BD36" s="1">
        <f>BC36/1000</f>
        <v>9155.6280000000006</v>
      </c>
      <c r="BF36" s="276">
        <v>10142501</v>
      </c>
      <c r="BG36" s="1">
        <f>BF36/1000</f>
        <v>10142.501</v>
      </c>
      <c r="BI36" s="324">
        <v>10134945</v>
      </c>
      <c r="BJ36" s="1">
        <f>BI36/1000</f>
        <v>10134.945</v>
      </c>
      <c r="BL36" s="324">
        <v>9730598</v>
      </c>
      <c r="BM36" s="1">
        <f t="shared" si="6"/>
        <v>9730.598</v>
      </c>
      <c r="BO36" s="3">
        <v>9322352</v>
      </c>
      <c r="BP36" s="3">
        <f t="shared" si="7"/>
        <v>9322.3520000000008</v>
      </c>
    </row>
    <row r="37" spans="1:68" ht="15.75">
      <c r="A37" s="1" t="s">
        <v>27</v>
      </c>
      <c r="B37" s="63">
        <v>7673</v>
      </c>
      <c r="C37" s="63">
        <v>7952</v>
      </c>
      <c r="D37" s="63">
        <v>8658.0650000000005</v>
      </c>
      <c r="E37" s="63">
        <v>10114.170857999999</v>
      </c>
      <c r="F37" s="63">
        <v>11941.203</v>
      </c>
      <c r="G37" s="63">
        <v>13768.572</v>
      </c>
      <c r="H37" s="63">
        <v>14877.217000000001</v>
      </c>
      <c r="I37" s="63">
        <v>14221.239</v>
      </c>
      <c r="J37" s="63">
        <v>13266.687</v>
      </c>
      <c r="K37" s="63">
        <v>12823.001</v>
      </c>
      <c r="L37" s="239">
        <f t="shared" si="4"/>
        <v>-3.3443617083903443</v>
      </c>
      <c r="M37" s="244">
        <f t="shared" si="5"/>
        <v>82.788763602245524</v>
      </c>
      <c r="N37" s="14">
        <v>1074</v>
      </c>
      <c r="O37" s="14">
        <v>1130</v>
      </c>
      <c r="P37" s="27">
        <v>1202</v>
      </c>
      <c r="Q37" s="27">
        <v>1284</v>
      </c>
      <c r="R37" s="27">
        <v>1383</v>
      </c>
      <c r="S37" s="27">
        <v>1523</v>
      </c>
      <c r="T37" s="27">
        <v>1620</v>
      </c>
      <c r="U37" s="27">
        <v>1785</v>
      </c>
      <c r="V37" s="27">
        <v>1916</v>
      </c>
      <c r="W37" s="27">
        <v>2070</v>
      </c>
      <c r="X37" s="14">
        <v>2204</v>
      </c>
      <c r="Y37" s="36">
        <v>2310</v>
      </c>
      <c r="Z37" s="61">
        <v>2443</v>
      </c>
      <c r="AA37" s="83">
        <v>2569</v>
      </c>
      <c r="AB37" s="61">
        <v>2639</v>
      </c>
      <c r="AC37" s="61">
        <v>2760.17</v>
      </c>
      <c r="AD37" s="63">
        <v>2875</v>
      </c>
      <c r="AE37" s="63">
        <v>6885</v>
      </c>
      <c r="AF37" s="63">
        <v>7015.2020000000002</v>
      </c>
      <c r="AG37" s="61"/>
      <c r="AH37" s="128">
        <v>6885247</v>
      </c>
      <c r="AI37" s="1">
        <f>AH37/1000</f>
        <v>6885.2470000000003</v>
      </c>
      <c r="AK37" s="3">
        <v>7015202</v>
      </c>
      <c r="AL37" s="1">
        <f>AK37/1000</f>
        <v>7015.2020000000002</v>
      </c>
      <c r="AN37" s="3">
        <v>7673262</v>
      </c>
      <c r="AO37" s="1">
        <f>AN37/1000</f>
        <v>7673.2619999999997</v>
      </c>
      <c r="AQ37" s="3">
        <v>7951849</v>
      </c>
      <c r="AR37" s="1">
        <f>AQ37/1000</f>
        <v>7951.8490000000002</v>
      </c>
      <c r="AT37" s="3">
        <v>8658065</v>
      </c>
      <c r="AU37" s="1">
        <f>AT37/1000</f>
        <v>8658.0650000000005</v>
      </c>
      <c r="AW37" s="3">
        <v>10114170.857999999</v>
      </c>
      <c r="AX37" s="1">
        <f>AW37/1000</f>
        <v>10114.170857999999</v>
      </c>
      <c r="AZ37" s="3">
        <v>11941203</v>
      </c>
      <c r="BA37" s="1">
        <f>AZ37/1000</f>
        <v>11941.203</v>
      </c>
      <c r="BC37" s="3">
        <v>13768572</v>
      </c>
      <c r="BD37" s="1">
        <f>BC37/1000</f>
        <v>13768.572</v>
      </c>
      <c r="BF37" s="276">
        <v>14877217</v>
      </c>
      <c r="BG37" s="1">
        <f>BF37/1000</f>
        <v>14877.217000000001</v>
      </c>
      <c r="BI37" s="324">
        <v>14221239</v>
      </c>
      <c r="BJ37" s="1">
        <f>BI37/1000</f>
        <v>14221.239</v>
      </c>
      <c r="BL37" s="324">
        <v>13266687</v>
      </c>
      <c r="BM37" s="1">
        <f t="shared" si="6"/>
        <v>13266.687</v>
      </c>
      <c r="BO37" s="3">
        <v>12823001</v>
      </c>
      <c r="BP37" s="3">
        <f t="shared" si="7"/>
        <v>12823.001</v>
      </c>
    </row>
    <row r="38" spans="1:68" ht="15.75">
      <c r="A38" s="1" t="s">
        <v>28</v>
      </c>
      <c r="B38" s="63">
        <v>4336</v>
      </c>
      <c r="C38" s="63">
        <v>4619</v>
      </c>
      <c r="D38" s="63">
        <v>4933.3289999999997</v>
      </c>
      <c r="E38" s="63">
        <v>5617.482</v>
      </c>
      <c r="F38" s="63">
        <v>6317.8440000000001</v>
      </c>
      <c r="G38" s="63">
        <v>7211.174</v>
      </c>
      <c r="H38" s="63">
        <v>7774.8440000000001</v>
      </c>
      <c r="I38" s="63">
        <v>7695.9669999999996</v>
      </c>
      <c r="J38" s="63">
        <v>7116.9970000000003</v>
      </c>
      <c r="K38" s="63">
        <v>6668.152</v>
      </c>
      <c r="L38" s="239">
        <f t="shared" si="4"/>
        <v>-6.3066627680185938</v>
      </c>
      <c r="M38" s="244">
        <f t="shared" si="5"/>
        <v>62.473715578067242</v>
      </c>
      <c r="N38" s="14">
        <v>737</v>
      </c>
      <c r="O38" s="14">
        <v>776</v>
      </c>
      <c r="P38" s="27">
        <v>851</v>
      </c>
      <c r="Q38" s="27">
        <v>939</v>
      </c>
      <c r="R38" s="27">
        <v>1026</v>
      </c>
      <c r="S38" s="27">
        <v>1117</v>
      </c>
      <c r="T38" s="27">
        <v>1178</v>
      </c>
      <c r="U38" s="27">
        <v>1260</v>
      </c>
      <c r="V38" s="27">
        <v>1329</v>
      </c>
      <c r="W38" s="27">
        <v>1390</v>
      </c>
      <c r="X38" s="14">
        <v>1450</v>
      </c>
      <c r="Y38" s="14">
        <v>1469</v>
      </c>
      <c r="Z38" s="61">
        <v>1572</v>
      </c>
      <c r="AA38" s="83">
        <v>1615</v>
      </c>
      <c r="AB38" s="61">
        <v>1647</v>
      </c>
      <c r="AC38" s="61">
        <v>1741.53</v>
      </c>
      <c r="AD38" s="63">
        <v>1822</v>
      </c>
      <c r="AE38" s="63">
        <v>3964</v>
      </c>
      <c r="AF38" s="63">
        <v>4104.1419999999998</v>
      </c>
      <c r="AG38" s="61"/>
      <c r="AH38" s="128">
        <v>3963974</v>
      </c>
      <c r="AI38" s="1">
        <f>AH38/1000</f>
        <v>3963.9740000000002</v>
      </c>
      <c r="AK38" s="3">
        <v>4104142</v>
      </c>
      <c r="AL38" s="1">
        <f>AK38/1000</f>
        <v>4104.1419999999998</v>
      </c>
      <c r="AN38" s="3">
        <v>4335777</v>
      </c>
      <c r="AO38" s="1">
        <f>AN38/1000</f>
        <v>4335.777</v>
      </c>
      <c r="AQ38" s="3">
        <v>4618506.5</v>
      </c>
      <c r="AR38" s="1">
        <f>AQ38/1000</f>
        <v>4618.5065000000004</v>
      </c>
      <c r="AT38" s="3">
        <v>4933329</v>
      </c>
      <c r="AU38" s="1">
        <f>AT38/1000</f>
        <v>4933.3289999999997</v>
      </c>
      <c r="AW38" s="3">
        <v>5617482</v>
      </c>
      <c r="AX38" s="1">
        <f>AW38/1000</f>
        <v>5617.482</v>
      </c>
      <c r="AZ38" s="3">
        <v>6317844</v>
      </c>
      <c r="BA38" s="1">
        <f>AZ38/1000</f>
        <v>6317.8440000000001</v>
      </c>
      <c r="BC38" s="3">
        <v>7211174</v>
      </c>
      <c r="BD38" s="1">
        <f>BC38/1000</f>
        <v>7211.174</v>
      </c>
      <c r="BF38" s="276">
        <v>7774844</v>
      </c>
      <c r="BG38" s="1">
        <f>BF38/1000</f>
        <v>7774.8440000000001</v>
      </c>
      <c r="BI38" s="324">
        <v>7695967</v>
      </c>
      <c r="BJ38" s="1">
        <f>BI38/1000</f>
        <v>7695.9669999999996</v>
      </c>
      <c r="BL38" s="324">
        <v>7116997</v>
      </c>
      <c r="BM38" s="1">
        <f t="shared" si="6"/>
        <v>7116.9970000000003</v>
      </c>
      <c r="BO38" s="3">
        <v>6668152</v>
      </c>
      <c r="BP38" s="3">
        <f t="shared" si="7"/>
        <v>6668.152</v>
      </c>
    </row>
    <row r="39" spans="1:68" ht="16.5" thickBot="1">
      <c r="A39" s="1" t="s">
        <v>29</v>
      </c>
      <c r="B39" s="63">
        <v>8401</v>
      </c>
      <c r="C39" s="63">
        <v>10007</v>
      </c>
      <c r="D39" s="63">
        <v>11563.922</v>
      </c>
      <c r="E39" s="63">
        <v>14483.821</v>
      </c>
      <c r="F39" s="63">
        <v>17338.701000000001</v>
      </c>
      <c r="G39" s="63">
        <v>20416.919000000002</v>
      </c>
      <c r="H39" s="63">
        <v>19292.626</v>
      </c>
      <c r="I39" s="63">
        <v>18180.328000000001</v>
      </c>
      <c r="J39" s="63">
        <v>17531.447</v>
      </c>
      <c r="K39" s="63">
        <v>15773.058000000001</v>
      </c>
      <c r="L39" s="239">
        <f t="shared" si="4"/>
        <v>-10.029913674552928</v>
      </c>
      <c r="M39" s="244">
        <f t="shared" si="5"/>
        <v>117.88889875821882</v>
      </c>
      <c r="N39" s="14">
        <v>1010</v>
      </c>
      <c r="O39" s="14">
        <v>1225</v>
      </c>
      <c r="P39" s="27">
        <v>1415</v>
      </c>
      <c r="Q39" s="27">
        <v>1605</v>
      </c>
      <c r="R39" s="27">
        <v>1744</v>
      </c>
      <c r="S39" s="27">
        <v>1881</v>
      </c>
      <c r="T39" s="27">
        <v>1962</v>
      </c>
      <c r="U39" s="27">
        <v>2048</v>
      </c>
      <c r="V39" s="27">
        <v>2111</v>
      </c>
      <c r="W39" s="27">
        <v>2248</v>
      </c>
      <c r="X39" s="14">
        <v>2291</v>
      </c>
      <c r="Y39" s="14">
        <v>2309</v>
      </c>
      <c r="Z39" s="61">
        <v>2375</v>
      </c>
      <c r="AA39" s="83">
        <v>2420</v>
      </c>
      <c r="AB39" s="61">
        <v>2487</v>
      </c>
      <c r="AC39" s="61">
        <v>2585.89</v>
      </c>
      <c r="AD39" s="63">
        <v>2677</v>
      </c>
      <c r="AE39" s="63">
        <v>6701</v>
      </c>
      <c r="AF39" s="63">
        <v>7239.0370000000003</v>
      </c>
      <c r="AG39" s="61"/>
      <c r="AH39" s="129">
        <v>6700745</v>
      </c>
      <c r="AI39" s="1">
        <f>AH39/1000</f>
        <v>6700.7449999999999</v>
      </c>
      <c r="AK39" s="3">
        <v>7239037</v>
      </c>
      <c r="AL39" s="1">
        <f>AK39/1000</f>
        <v>7239.0370000000003</v>
      </c>
      <c r="AN39" s="3">
        <v>8400551</v>
      </c>
      <c r="AO39" s="1">
        <f>AN39/1000</f>
        <v>8400.5509999999995</v>
      </c>
      <c r="AQ39" s="3">
        <v>10006803</v>
      </c>
      <c r="AR39" s="1">
        <f>AQ39/1000</f>
        <v>10006.803</v>
      </c>
      <c r="AT39" s="3">
        <v>11563922</v>
      </c>
      <c r="AU39" s="1">
        <f>AT39/1000</f>
        <v>11563.922</v>
      </c>
      <c r="AW39" s="3">
        <v>14483821</v>
      </c>
      <c r="AX39" s="1">
        <f>AW39/1000</f>
        <v>14483.821</v>
      </c>
      <c r="AZ39" s="3">
        <v>17338701</v>
      </c>
      <c r="BA39" s="1">
        <f>AZ39/1000</f>
        <v>17338.701000000001</v>
      </c>
      <c r="BC39" s="3">
        <v>20416919</v>
      </c>
      <c r="BD39" s="1">
        <f>BC39/1000</f>
        <v>20416.919000000002</v>
      </c>
      <c r="BF39" s="278">
        <v>19292626</v>
      </c>
      <c r="BG39" s="1">
        <f>BF39/1000</f>
        <v>19292.626</v>
      </c>
      <c r="BI39" s="325">
        <v>18180328</v>
      </c>
      <c r="BJ39" s="1">
        <f>BI39/1000</f>
        <v>18180.328000000001</v>
      </c>
      <c r="BL39" s="325">
        <v>17531447</v>
      </c>
      <c r="BM39" s="1">
        <f t="shared" si="6"/>
        <v>17531.447</v>
      </c>
      <c r="BO39" s="3">
        <v>15773058</v>
      </c>
      <c r="BP39" s="3">
        <f t="shared" si="7"/>
        <v>15773.058000000001</v>
      </c>
    </row>
    <row r="40" spans="1:68">
      <c r="A40" s="18"/>
      <c r="B40" s="18"/>
      <c r="C40" s="18"/>
      <c r="D40" s="18"/>
      <c r="E40" s="64"/>
      <c r="F40" s="64"/>
      <c r="G40" s="64"/>
      <c r="H40" s="64"/>
      <c r="I40" s="64"/>
      <c r="J40" s="64"/>
      <c r="K40" s="64"/>
      <c r="L40" s="64"/>
      <c r="M40" s="18"/>
      <c r="N40" s="18"/>
      <c r="O40" s="18"/>
      <c r="P40" s="18"/>
      <c r="Q40" s="18"/>
      <c r="Y40" s="18"/>
      <c r="BD40" s="3">
        <f>SUM(BD12:BD39)</f>
        <v>728060.01199999999</v>
      </c>
    </row>
    <row r="41" spans="1:68">
      <c r="A41" s="1" t="s">
        <v>237</v>
      </c>
      <c r="F41" s="59"/>
      <c r="G41" s="59"/>
      <c r="H41" s="59"/>
      <c r="I41" s="59"/>
      <c r="J41" s="59"/>
      <c r="K41" s="59"/>
      <c r="L41" s="59"/>
    </row>
    <row r="42" spans="1:68">
      <c r="F42" s="59"/>
      <c r="G42" s="59"/>
      <c r="H42" s="59"/>
      <c r="I42" s="59"/>
      <c r="J42" s="59"/>
      <c r="K42" s="59"/>
      <c r="L42" s="59"/>
      <c r="O42" s="14"/>
      <c r="P42" s="14"/>
      <c r="Q42" s="14"/>
    </row>
    <row r="43" spans="1:68">
      <c r="O43" s="14"/>
      <c r="P43" s="14"/>
      <c r="Q43" s="14"/>
    </row>
    <row r="44" spans="1:68">
      <c r="O44" s="14"/>
      <c r="P44" s="14"/>
      <c r="Q44" s="14"/>
    </row>
    <row r="45" spans="1:68">
      <c r="O45" s="14"/>
      <c r="P45" s="14"/>
      <c r="Q45" s="14"/>
    </row>
    <row r="46" spans="1:68">
      <c r="O46" s="14"/>
      <c r="P46" s="14"/>
      <c r="Q46" s="14"/>
    </row>
  </sheetData>
  <sheetProtection password="CAF5" sheet="1" objects="1" scenarios="1"/>
  <mergeCells count="1">
    <mergeCell ref="A4:M4"/>
  </mergeCells>
  <phoneticPr fontId="2" type="noConversion"/>
  <pageMargins left="0.56000000000000005" right="0.5" top="1" bottom="0.97" header="0.5" footer="0.5"/>
  <pageSetup scale="78" orientation="landscape" horizontalDpi="4294967292" verticalDpi="4294967292" r:id="rId1"/>
  <headerFooter scaleWithDoc="0" alignWithMargins="0">
    <oddFooter>&amp;L&amp;"Arial,Italic"&amp;10MSDE - LFRO  12 / 2014&amp;C&amp;"Arial,Regular"&amp;10- 17 -&amp;R&amp;"Arial,Italic"&amp;10Selected Financial Data - Part 4</oddFooter>
  </headerFooter>
  <rowBreaks count="1" manualBreakCount="1">
    <brk id="4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AR67"/>
  <sheetViews>
    <sheetView topLeftCell="A2" zoomScaleNormal="100" workbookViewId="0">
      <selection activeCell="A2" sqref="A2"/>
    </sheetView>
  </sheetViews>
  <sheetFormatPr defaultColWidth="10" defaultRowHeight="12.75"/>
  <cols>
    <col min="1" max="1" width="12.875" style="1" customWidth="1"/>
    <col min="2" max="8" width="12.625" style="1" customWidth="1"/>
    <col min="9" max="9" width="12.125" style="1" customWidth="1"/>
    <col min="10" max="11" width="11.25" style="1" customWidth="1"/>
    <col min="12" max="12" width="7.625" style="1" customWidth="1"/>
    <col min="13" max="13" width="7.375" style="1" customWidth="1"/>
    <col min="14" max="14" width="9.125" style="1" customWidth="1"/>
    <col min="15" max="24" width="10.125" style="1" customWidth="1"/>
    <col min="25" max="25" width="12.625" style="1" customWidth="1"/>
    <col min="26" max="34" width="10.125" style="1" customWidth="1"/>
    <col min="35" max="53" width="10.125" style="3" customWidth="1"/>
    <col min="54" max="16384" width="10" style="3"/>
  </cols>
  <sheetData>
    <row r="1" spans="1:44" ht="15.75" customHeight="1">
      <c r="A1" s="115" t="s">
        <v>100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0"/>
      <c r="O1" s="2"/>
      <c r="P1" s="2"/>
      <c r="Q1" s="2"/>
      <c r="Y1" s="115"/>
    </row>
    <row r="2" spans="1:44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Q2" s="2"/>
      <c r="Y2" s="115"/>
    </row>
    <row r="3" spans="1:44">
      <c r="A3" s="115" t="s">
        <v>238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0"/>
      <c r="O3" s="10"/>
      <c r="P3" s="10"/>
      <c r="Q3" s="10"/>
      <c r="Y3" s="115"/>
    </row>
    <row r="4" spans="1:44">
      <c r="A4" s="405" t="s">
        <v>367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115"/>
      <c r="O4" s="199"/>
      <c r="P4" s="199"/>
      <c r="Q4" s="10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1"/>
    </row>
    <row r="5" spans="1:44" ht="13.5" thickBot="1"/>
    <row r="6" spans="1:44" ht="13.5" thickTop="1">
      <c r="A6" s="5"/>
      <c r="B6" s="5"/>
      <c r="C6" s="5"/>
      <c r="D6" s="5"/>
      <c r="E6" s="5"/>
      <c r="F6" s="5"/>
      <c r="G6" s="215"/>
      <c r="H6" s="215"/>
      <c r="I6" s="215"/>
      <c r="J6" s="215"/>
      <c r="K6" s="215"/>
      <c r="L6" s="5"/>
      <c r="M6" s="5"/>
      <c r="N6" s="5"/>
      <c r="O6" s="5"/>
      <c r="P6" s="5"/>
      <c r="Q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 t="s">
        <v>121</v>
      </c>
      <c r="AH6" s="5" t="s">
        <v>121</v>
      </c>
      <c r="AI6" s="5" t="s">
        <v>121</v>
      </c>
      <c r="AJ6" s="5" t="s">
        <v>121</v>
      </c>
      <c r="AK6" s="5" t="s">
        <v>121</v>
      </c>
      <c r="AL6" s="5" t="s">
        <v>121</v>
      </c>
      <c r="AM6" s="5" t="s">
        <v>121</v>
      </c>
      <c r="AN6" s="5" t="s">
        <v>121</v>
      </c>
      <c r="AO6" s="5" t="s">
        <v>121</v>
      </c>
      <c r="AP6" s="5" t="s">
        <v>121</v>
      </c>
      <c r="AQ6" s="5" t="s">
        <v>121</v>
      </c>
      <c r="AR6" s="5" t="s">
        <v>121</v>
      </c>
    </row>
    <row r="7" spans="1:44" ht="15.75">
      <c r="B7" s="61"/>
      <c r="C7" s="61"/>
      <c r="G7" s="216"/>
      <c r="H7" s="216"/>
      <c r="I7" s="216"/>
      <c r="J7" s="216"/>
      <c r="K7" s="216"/>
      <c r="L7" s="38" t="s">
        <v>34</v>
      </c>
      <c r="M7" s="38"/>
      <c r="AG7" s="1" t="s">
        <v>89</v>
      </c>
      <c r="AH7" s="1" t="s">
        <v>89</v>
      </c>
      <c r="AI7" s="1" t="s">
        <v>89</v>
      </c>
      <c r="AJ7" s="1" t="s">
        <v>89</v>
      </c>
      <c r="AK7" s="1" t="s">
        <v>89</v>
      </c>
      <c r="AL7" s="1" t="s">
        <v>89</v>
      </c>
      <c r="AM7" s="1" t="s">
        <v>89</v>
      </c>
      <c r="AN7" s="1" t="s">
        <v>89</v>
      </c>
      <c r="AO7" s="1" t="s">
        <v>89</v>
      </c>
      <c r="AP7" s="1" t="s">
        <v>89</v>
      </c>
      <c r="AQ7" s="1" t="s">
        <v>89</v>
      </c>
      <c r="AR7" s="1" t="s">
        <v>89</v>
      </c>
    </row>
    <row r="8" spans="1:44" ht="15.75">
      <c r="A8" s="7"/>
      <c r="B8" s="62"/>
      <c r="C8" s="62"/>
      <c r="D8" s="7"/>
      <c r="E8" s="7"/>
      <c r="F8" s="7"/>
      <c r="G8" s="216"/>
      <c r="H8" s="216"/>
      <c r="I8" s="216"/>
      <c r="L8" s="29" t="s">
        <v>85</v>
      </c>
      <c r="M8" s="29" t="s">
        <v>86</v>
      </c>
      <c r="O8" s="7"/>
      <c r="P8" s="7"/>
      <c r="Q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 t="s">
        <v>122</v>
      </c>
      <c r="AH8" s="7" t="s">
        <v>122</v>
      </c>
      <c r="AI8" s="7" t="s">
        <v>122</v>
      </c>
      <c r="AJ8" s="7" t="s">
        <v>122</v>
      </c>
      <c r="AK8" s="7" t="s">
        <v>122</v>
      </c>
      <c r="AL8" s="7" t="s">
        <v>122</v>
      </c>
      <c r="AM8" s="7" t="s">
        <v>122</v>
      </c>
      <c r="AN8" s="7" t="s">
        <v>122</v>
      </c>
      <c r="AO8" s="7" t="s">
        <v>122</v>
      </c>
      <c r="AP8" s="7" t="s">
        <v>122</v>
      </c>
      <c r="AQ8" s="7" t="s">
        <v>122</v>
      </c>
      <c r="AR8" s="7" t="s">
        <v>122</v>
      </c>
    </row>
    <row r="9" spans="1:44" ht="13.5" thickBot="1">
      <c r="A9" s="8" t="s">
        <v>1</v>
      </c>
      <c r="B9" s="396" t="s">
        <v>184</v>
      </c>
      <c r="C9" s="396" t="s">
        <v>194</v>
      </c>
      <c r="D9" s="396" t="s">
        <v>208</v>
      </c>
      <c r="E9" s="396" t="s">
        <v>243</v>
      </c>
      <c r="F9" s="396" t="s">
        <v>256</v>
      </c>
      <c r="G9" s="397" t="s">
        <v>269</v>
      </c>
      <c r="H9" s="397" t="s">
        <v>283</v>
      </c>
      <c r="I9" s="397" t="s">
        <v>303</v>
      </c>
      <c r="J9" s="397" t="s">
        <v>330</v>
      </c>
      <c r="K9" s="397" t="s">
        <v>360</v>
      </c>
      <c r="L9" s="40" t="s">
        <v>84</v>
      </c>
      <c r="M9" s="40" t="s">
        <v>84</v>
      </c>
      <c r="N9" s="10" t="s">
        <v>55</v>
      </c>
      <c r="O9" s="9" t="s">
        <v>53</v>
      </c>
      <c r="P9" s="9" t="s">
        <v>31</v>
      </c>
      <c r="Q9" s="9" t="s">
        <v>64</v>
      </c>
      <c r="R9" s="9" t="s">
        <v>32</v>
      </c>
      <c r="S9" s="9" t="s">
        <v>45</v>
      </c>
      <c r="T9" s="9" t="s">
        <v>3</v>
      </c>
      <c r="U9" s="9" t="s">
        <v>50</v>
      </c>
      <c r="V9" s="9" t="s">
        <v>33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07" t="s">
        <v>105</v>
      </c>
      <c r="AE9" s="352" t="s">
        <v>161</v>
      </c>
      <c r="AF9" s="26" t="s">
        <v>168</v>
      </c>
      <c r="AG9" s="1" t="s">
        <v>166</v>
      </c>
      <c r="AH9" s="1" t="s">
        <v>177</v>
      </c>
      <c r="AI9" s="1" t="s">
        <v>193</v>
      </c>
      <c r="AJ9" s="1" t="s">
        <v>207</v>
      </c>
      <c r="AK9" s="1" t="s">
        <v>222</v>
      </c>
      <c r="AL9" s="1" t="s">
        <v>245</v>
      </c>
      <c r="AM9" s="1" t="s">
        <v>267</v>
      </c>
      <c r="AN9" s="1" t="s">
        <v>275</v>
      </c>
      <c r="AO9" s="1" t="s">
        <v>284</v>
      </c>
      <c r="AP9" s="1" t="s">
        <v>314</v>
      </c>
      <c r="AQ9" s="1" t="s">
        <v>345</v>
      </c>
      <c r="AR9" s="1" t="s">
        <v>362</v>
      </c>
    </row>
    <row r="10" spans="1:44" ht="13.5" thickTop="1">
      <c r="A10" s="7" t="s">
        <v>5</v>
      </c>
      <c r="B10" s="84">
        <v>423674</v>
      </c>
      <c r="C10" s="84">
        <v>453837</v>
      </c>
      <c r="D10" s="84">
        <v>498980</v>
      </c>
      <c r="E10" s="246">
        <v>557665.29593421542</v>
      </c>
      <c r="F10" s="246">
        <v>654718.7886086161</v>
      </c>
      <c r="G10" s="246">
        <v>764147.5591823213</v>
      </c>
      <c r="H10" s="246">
        <v>892512.59834604571</v>
      </c>
      <c r="I10" s="246">
        <v>948148.67255333543</v>
      </c>
      <c r="J10" s="246">
        <v>924763.49580989231</v>
      </c>
      <c r="K10" s="84">
        <v>794460.46722562017</v>
      </c>
      <c r="L10" s="239">
        <f>(K10-J10)*100/J10</f>
        <v>-14.090416541599637</v>
      </c>
      <c r="M10" s="244">
        <f>((K10-AF10)*100)/AF10</f>
        <v>88.874346851188292</v>
      </c>
      <c r="N10" s="13">
        <v>83694</v>
      </c>
      <c r="O10" s="11">
        <v>92536</v>
      </c>
      <c r="P10" s="11">
        <v>101222</v>
      </c>
      <c r="Q10" s="11">
        <v>110384</v>
      </c>
      <c r="R10" s="11">
        <v>119850</v>
      </c>
      <c r="S10" s="11">
        <v>129787</v>
      </c>
      <c r="T10" s="11">
        <v>137556</v>
      </c>
      <c r="U10" s="11">
        <v>146120</v>
      </c>
      <c r="V10" s="11">
        <v>156163</v>
      </c>
      <c r="W10" s="11">
        <v>160457</v>
      </c>
      <c r="X10" s="11">
        <v>161323</v>
      </c>
      <c r="Y10" s="11">
        <v>160750</v>
      </c>
      <c r="Z10" s="65">
        <v>162899</v>
      </c>
      <c r="AA10" s="65">
        <v>164076</v>
      </c>
      <c r="AB10" s="84">
        <v>166351</v>
      </c>
      <c r="AC10" s="84">
        <v>171036</v>
      </c>
      <c r="AD10" s="84">
        <v>175636</v>
      </c>
      <c r="AE10" s="84">
        <v>408593</v>
      </c>
      <c r="AF10" s="84">
        <v>420629.10102427279</v>
      </c>
      <c r="AG10" s="371">
        <v>408592.74863785505</v>
      </c>
      <c r="AH10" s="371">
        <v>420629.10102427279</v>
      </c>
      <c r="AI10" s="1">
        <v>453837</v>
      </c>
      <c r="AJ10" s="3">
        <v>498980</v>
      </c>
      <c r="AK10" s="3">
        <v>557665.29593421542</v>
      </c>
      <c r="AL10" s="3">
        <v>654718.7886086161</v>
      </c>
      <c r="AM10" s="3">
        <v>764147.5591823213</v>
      </c>
      <c r="AN10" s="3">
        <v>892512.59834604571</v>
      </c>
      <c r="AO10" s="3">
        <v>948148.67255333543</v>
      </c>
      <c r="AP10" s="3">
        <v>924763.49580989231</v>
      </c>
      <c r="AQ10" s="3">
        <v>836358.30432420853</v>
      </c>
      <c r="AR10" s="3">
        <v>794460.46722562017</v>
      </c>
    </row>
    <row r="11" spans="1:44">
      <c r="L11" s="30"/>
      <c r="M11" s="89"/>
      <c r="O11" s="14"/>
      <c r="R11" s="14"/>
      <c r="S11" s="14"/>
      <c r="X11" s="14"/>
      <c r="Y11" s="14"/>
      <c r="Z11" s="65"/>
      <c r="AA11" s="65"/>
      <c r="AG11" s="372"/>
      <c r="AI11" s="1"/>
    </row>
    <row r="12" spans="1:44">
      <c r="A12" s="1" t="s">
        <v>6</v>
      </c>
      <c r="B12" s="1">
        <v>268029</v>
      </c>
      <c r="C12" s="1">
        <v>279205</v>
      </c>
      <c r="D12" s="1">
        <v>292395.60346739023</v>
      </c>
      <c r="E12" s="1">
        <v>316736.73727850366</v>
      </c>
      <c r="F12" s="1">
        <v>337855.06898358365</v>
      </c>
      <c r="G12" s="1">
        <v>379298.34315578785</v>
      </c>
      <c r="H12" s="1">
        <v>435842.06469295116</v>
      </c>
      <c r="I12" s="1">
        <v>461356.41969627241</v>
      </c>
      <c r="J12" s="1">
        <v>464654.79924536165</v>
      </c>
      <c r="K12" s="1">
        <v>459938.48082458903</v>
      </c>
      <c r="L12" s="239">
        <f t="shared" ref="L12:L39" si="0">(K12-J12)*100/J12</f>
        <v>-1.0150155402316541</v>
      </c>
      <c r="M12" s="244">
        <f>((K12-AF12)*100)/AF12</f>
        <v>78.899029934493328</v>
      </c>
      <c r="N12" s="14">
        <v>62971</v>
      </c>
      <c r="O12" s="14">
        <v>69917</v>
      </c>
      <c r="P12" s="14">
        <v>76208</v>
      </c>
      <c r="Q12" s="27">
        <v>78074</v>
      </c>
      <c r="R12" s="27">
        <v>79328</v>
      </c>
      <c r="S12" s="27">
        <v>84581</v>
      </c>
      <c r="T12" s="27">
        <v>93221</v>
      </c>
      <c r="U12" s="27">
        <v>106085</v>
      </c>
      <c r="V12" s="27">
        <v>109391</v>
      </c>
      <c r="W12" s="27">
        <v>110998</v>
      </c>
      <c r="X12" s="14">
        <v>111727</v>
      </c>
      <c r="Y12" s="14">
        <v>109449</v>
      </c>
      <c r="Z12" s="63">
        <v>108163</v>
      </c>
      <c r="AA12" s="63">
        <v>107474</v>
      </c>
      <c r="AB12" s="1">
        <v>121976</v>
      </c>
      <c r="AC12" s="1">
        <v>147593</v>
      </c>
      <c r="AD12" s="1">
        <v>146939</v>
      </c>
      <c r="AE12" s="1">
        <v>259095</v>
      </c>
      <c r="AF12" s="1">
        <v>257093.89312675575</v>
      </c>
      <c r="AG12" s="128">
        <v>259094.73805686791</v>
      </c>
      <c r="AH12" s="1">
        <v>257093.89312675575</v>
      </c>
      <c r="AI12" s="1">
        <v>268029</v>
      </c>
      <c r="AJ12" s="3">
        <v>279205</v>
      </c>
      <c r="AK12" s="3">
        <v>292395.60346739023</v>
      </c>
      <c r="AL12" s="3">
        <v>316736.73727850366</v>
      </c>
      <c r="AM12" s="3">
        <v>337855.06898358365</v>
      </c>
      <c r="AN12" s="3">
        <v>379298.34315578785</v>
      </c>
      <c r="AO12" s="3">
        <v>435842.06469295116</v>
      </c>
      <c r="AP12" s="3">
        <v>461356.41969627241</v>
      </c>
      <c r="AQ12" s="3">
        <v>464654.79924536165</v>
      </c>
      <c r="AR12" s="3">
        <v>459938.48082458903</v>
      </c>
    </row>
    <row r="13" spans="1:44">
      <c r="A13" s="1" t="s">
        <v>7</v>
      </c>
      <c r="B13" s="1">
        <v>577628</v>
      </c>
      <c r="C13" s="1">
        <v>644762</v>
      </c>
      <c r="D13" s="1">
        <v>724563.34296273475</v>
      </c>
      <c r="E13" s="1">
        <v>848556.87177890039</v>
      </c>
      <c r="F13" s="1">
        <v>989089.45078587253</v>
      </c>
      <c r="G13" s="1">
        <v>1144559.0112422316</v>
      </c>
      <c r="H13" s="1">
        <v>1209032.254921068</v>
      </c>
      <c r="I13" s="1">
        <v>1165581.8664326025</v>
      </c>
      <c r="J13" s="1">
        <v>1052352.2313561398</v>
      </c>
      <c r="K13" s="1">
        <v>989762.46383768145</v>
      </c>
      <c r="L13" s="239">
        <f t="shared" si="0"/>
        <v>-5.9476062912700298</v>
      </c>
      <c r="M13" s="244">
        <f t="shared" ref="M13:M39" si="1">((K13-AF13)*100)/AF13</f>
        <v>85.524516733786655</v>
      </c>
      <c r="N13" s="14">
        <v>79501</v>
      </c>
      <c r="O13" s="14">
        <v>92581</v>
      </c>
      <c r="P13" s="14">
        <v>100788</v>
      </c>
      <c r="Q13" s="27">
        <v>111466</v>
      </c>
      <c r="R13" s="27">
        <v>120712</v>
      </c>
      <c r="S13" s="27">
        <v>133211</v>
      </c>
      <c r="T13" s="27">
        <v>144478</v>
      </c>
      <c r="U13" s="27">
        <v>155534</v>
      </c>
      <c r="V13" s="27">
        <v>178437</v>
      </c>
      <c r="W13" s="27">
        <v>187653</v>
      </c>
      <c r="X13" s="14">
        <v>191604</v>
      </c>
      <c r="Y13" s="14">
        <v>192297</v>
      </c>
      <c r="Z13" s="63">
        <v>194030</v>
      </c>
      <c r="AA13" s="63">
        <v>195889</v>
      </c>
      <c r="AB13" s="1">
        <v>200371</v>
      </c>
      <c r="AC13" s="1">
        <v>205404</v>
      </c>
      <c r="AD13" s="1">
        <v>210401</v>
      </c>
      <c r="AE13" s="1">
        <v>500076</v>
      </c>
      <c r="AF13" s="1">
        <v>533494.16091346787</v>
      </c>
      <c r="AG13" s="128">
        <v>500076.32813371706</v>
      </c>
      <c r="AH13" s="1">
        <v>533494.16091346787</v>
      </c>
      <c r="AI13" s="1">
        <v>577628</v>
      </c>
      <c r="AJ13" s="3">
        <v>644762</v>
      </c>
      <c r="AK13" s="3">
        <v>724563.34296273475</v>
      </c>
      <c r="AL13" s="3">
        <v>848556.87177890039</v>
      </c>
      <c r="AM13" s="3">
        <v>989089.45078587253</v>
      </c>
      <c r="AN13" s="3">
        <v>1144559.0112422316</v>
      </c>
      <c r="AO13" s="3">
        <v>1209032.254921068</v>
      </c>
      <c r="AP13" s="3">
        <v>1165581.8664326025</v>
      </c>
      <c r="AQ13" s="3">
        <v>1052352.2313561398</v>
      </c>
      <c r="AR13" s="3">
        <v>989762.46383768145</v>
      </c>
    </row>
    <row r="14" spans="1:44">
      <c r="A14" s="1" t="s">
        <v>8</v>
      </c>
      <c r="B14" s="1">
        <v>224410</v>
      </c>
      <c r="C14" s="1">
        <v>248184</v>
      </c>
      <c r="D14" s="1">
        <v>270714.15875766834</v>
      </c>
      <c r="E14" s="1">
        <v>310179.34542673436</v>
      </c>
      <c r="F14" s="1">
        <v>365050.5378189616</v>
      </c>
      <c r="G14" s="1">
        <v>434483.7495590715</v>
      </c>
      <c r="H14" s="1">
        <v>490431.31589423533</v>
      </c>
      <c r="I14" s="1">
        <v>502499.5828466544</v>
      </c>
      <c r="J14" s="1">
        <v>449074.43224639678</v>
      </c>
      <c r="K14" s="1">
        <v>418148.478405284</v>
      </c>
      <c r="L14" s="239">
        <f t="shared" si="0"/>
        <v>-6.8865986616990096</v>
      </c>
      <c r="M14" s="244">
        <f t="shared" si="1"/>
        <v>98.60339223660938</v>
      </c>
      <c r="N14" s="14">
        <v>46933</v>
      </c>
      <c r="O14" s="14">
        <v>51895</v>
      </c>
      <c r="P14" s="14">
        <v>56511</v>
      </c>
      <c r="Q14" s="27">
        <v>62233</v>
      </c>
      <c r="R14" s="27">
        <v>67323</v>
      </c>
      <c r="S14" s="27">
        <v>72915</v>
      </c>
      <c r="T14" s="27">
        <v>74722</v>
      </c>
      <c r="U14" s="27">
        <v>78316</v>
      </c>
      <c r="V14" s="27">
        <v>79103</v>
      </c>
      <c r="W14" s="27">
        <v>79313</v>
      </c>
      <c r="X14" s="14">
        <v>80438</v>
      </c>
      <c r="Y14" s="14">
        <v>80812</v>
      </c>
      <c r="Z14" s="63">
        <v>81119</v>
      </c>
      <c r="AA14" s="63">
        <v>81653</v>
      </c>
      <c r="AB14" s="1">
        <v>84260</v>
      </c>
      <c r="AC14" s="1">
        <v>88247</v>
      </c>
      <c r="AD14" s="1">
        <v>90825</v>
      </c>
      <c r="AE14" s="1">
        <v>203324</v>
      </c>
      <c r="AF14" s="1">
        <v>210544.4794755147</v>
      </c>
      <c r="AG14" s="128">
        <v>203324.4347595367</v>
      </c>
      <c r="AH14" s="1">
        <v>210544.4794755147</v>
      </c>
      <c r="AI14" s="1">
        <v>224410</v>
      </c>
      <c r="AJ14" s="3">
        <v>248184</v>
      </c>
      <c r="AK14" s="3">
        <v>270714.15875766834</v>
      </c>
      <c r="AL14" s="3">
        <v>310179.34542673436</v>
      </c>
      <c r="AM14" s="3">
        <v>365050.5378189616</v>
      </c>
      <c r="AN14" s="3">
        <v>434483.7495590715</v>
      </c>
      <c r="AO14" s="3">
        <v>490431.31589423533</v>
      </c>
      <c r="AP14" s="3">
        <v>502499.5828466544</v>
      </c>
      <c r="AQ14" s="3">
        <v>449074.43224639678</v>
      </c>
      <c r="AR14" s="3">
        <v>418148.478405284</v>
      </c>
    </row>
    <row r="15" spans="1:44">
      <c r="A15" s="1" t="s">
        <v>9</v>
      </c>
      <c r="B15" s="1">
        <v>453911</v>
      </c>
      <c r="C15" s="1">
        <v>481939</v>
      </c>
      <c r="D15" s="1">
        <v>528427.68600406335</v>
      </c>
      <c r="E15" s="1">
        <v>603091.31759325799</v>
      </c>
      <c r="F15" s="1">
        <v>694471.15828111558</v>
      </c>
      <c r="G15" s="1">
        <v>817135.93157556653</v>
      </c>
      <c r="H15" s="1">
        <v>896224.80657238455</v>
      </c>
      <c r="I15" s="1">
        <v>898356.57598223328</v>
      </c>
      <c r="J15" s="1">
        <v>814494.73456222948</v>
      </c>
      <c r="K15" s="1">
        <v>767408.0955023719</v>
      </c>
      <c r="L15" s="239">
        <f t="shared" si="0"/>
        <v>-5.7810857531406228</v>
      </c>
      <c r="M15" s="244">
        <f t="shared" si="1"/>
        <v>75.785856270632848</v>
      </c>
      <c r="N15" s="14">
        <v>102620</v>
      </c>
      <c r="O15" s="14">
        <v>112113</v>
      </c>
      <c r="P15" s="14">
        <v>123102</v>
      </c>
      <c r="Q15" s="27">
        <v>133842</v>
      </c>
      <c r="R15" s="27">
        <v>143501</v>
      </c>
      <c r="S15" s="27">
        <v>152494</v>
      </c>
      <c r="T15" s="27">
        <v>160663</v>
      </c>
      <c r="U15" s="27">
        <v>167541</v>
      </c>
      <c r="V15" s="27">
        <v>171207</v>
      </c>
      <c r="W15" s="27">
        <v>173251</v>
      </c>
      <c r="X15" s="14">
        <v>170822</v>
      </c>
      <c r="Y15" s="14">
        <v>168805</v>
      </c>
      <c r="Z15" s="63">
        <v>170153</v>
      </c>
      <c r="AA15" s="63">
        <v>172346</v>
      </c>
      <c r="AB15" s="1">
        <v>174104</v>
      </c>
      <c r="AC15" s="1">
        <v>178763</v>
      </c>
      <c r="AD15" s="1">
        <v>182710</v>
      </c>
      <c r="AE15" s="1">
        <v>425035</v>
      </c>
      <c r="AF15" s="1">
        <v>436558.49895050784</v>
      </c>
      <c r="AG15" s="128">
        <v>425035.00296092563</v>
      </c>
      <c r="AH15" s="1">
        <v>436558.49895050784</v>
      </c>
      <c r="AI15" s="1">
        <v>453911</v>
      </c>
      <c r="AJ15" s="3">
        <v>481939</v>
      </c>
      <c r="AK15" s="3">
        <v>528427.68600406335</v>
      </c>
      <c r="AL15" s="3">
        <v>603091.31759325799</v>
      </c>
      <c r="AM15" s="3">
        <v>694471.15828111558</v>
      </c>
      <c r="AN15" s="3">
        <v>817135.93157556653</v>
      </c>
      <c r="AO15" s="3">
        <v>896224.80657238455</v>
      </c>
      <c r="AP15" s="3">
        <v>898356.57598223328</v>
      </c>
      <c r="AQ15" s="3">
        <v>814494.73456222948</v>
      </c>
      <c r="AR15" s="3">
        <v>767408.0955023719</v>
      </c>
    </row>
    <row r="16" spans="1:44">
      <c r="A16" s="1" t="s">
        <v>10</v>
      </c>
      <c r="B16" s="1">
        <v>417476</v>
      </c>
      <c r="C16" s="1">
        <v>456891</v>
      </c>
      <c r="D16" s="1">
        <v>490609.1493097819</v>
      </c>
      <c r="E16" s="1">
        <v>559279.03051734832</v>
      </c>
      <c r="F16" s="1">
        <v>675545.1781940303</v>
      </c>
      <c r="G16" s="1">
        <v>761978.34999852523</v>
      </c>
      <c r="H16" s="1">
        <v>837325.13091361953</v>
      </c>
      <c r="I16" s="1">
        <v>854652.19156454399</v>
      </c>
      <c r="J16" s="1">
        <v>816674.37291163928</v>
      </c>
      <c r="K16" s="1">
        <v>777983.29222493526</v>
      </c>
      <c r="L16" s="239">
        <f t="shared" si="0"/>
        <v>-4.7376386439996976</v>
      </c>
      <c r="M16" s="244">
        <f t="shared" si="1"/>
        <v>97.261575264051771</v>
      </c>
      <c r="N16" s="14">
        <v>159084</v>
      </c>
      <c r="O16" s="14">
        <v>161011</v>
      </c>
      <c r="P16" s="14">
        <v>161999</v>
      </c>
      <c r="Q16" s="27">
        <v>162178</v>
      </c>
      <c r="R16" s="27">
        <v>166779</v>
      </c>
      <c r="S16" s="27">
        <v>173242</v>
      </c>
      <c r="T16" s="27">
        <v>158855</v>
      </c>
      <c r="U16" s="27">
        <v>179907</v>
      </c>
      <c r="V16" s="27">
        <v>189369</v>
      </c>
      <c r="W16" s="27">
        <v>197378</v>
      </c>
      <c r="X16" s="14">
        <v>202480</v>
      </c>
      <c r="Y16" s="14">
        <v>198607</v>
      </c>
      <c r="Z16" s="63">
        <v>199769</v>
      </c>
      <c r="AA16" s="63">
        <v>199751</v>
      </c>
      <c r="AB16" s="1">
        <v>198906</v>
      </c>
      <c r="AC16" s="1">
        <v>198865</v>
      </c>
      <c r="AD16" s="1">
        <v>188173</v>
      </c>
      <c r="AE16" s="1">
        <v>381782</v>
      </c>
      <c r="AF16" s="1">
        <v>394391.70613107848</v>
      </c>
      <c r="AG16" s="128">
        <v>381781.64707549656</v>
      </c>
      <c r="AH16" s="1">
        <v>394391.70613107848</v>
      </c>
      <c r="AI16" s="1">
        <v>417476</v>
      </c>
      <c r="AJ16" s="3">
        <v>456891</v>
      </c>
      <c r="AK16" s="3">
        <v>490609.1493097819</v>
      </c>
      <c r="AL16" s="3">
        <v>559279.03051734832</v>
      </c>
      <c r="AM16" s="3">
        <v>675545.1781940303</v>
      </c>
      <c r="AN16" s="3">
        <v>761978.34999852523</v>
      </c>
      <c r="AO16" s="3">
        <v>837325.13091361953</v>
      </c>
      <c r="AP16" s="3">
        <v>854652.19156454399</v>
      </c>
      <c r="AQ16" s="3">
        <v>816674.37291163928</v>
      </c>
      <c r="AR16" s="3">
        <v>777983.29222493526</v>
      </c>
    </row>
    <row r="17" spans="1:44">
      <c r="L17" s="239"/>
      <c r="M17" s="244"/>
      <c r="N17" s="14"/>
      <c r="P17" s="14"/>
      <c r="Q17" s="27"/>
      <c r="R17" s="27"/>
      <c r="S17" s="27"/>
      <c r="T17" s="27"/>
      <c r="U17" s="27"/>
      <c r="V17" s="27"/>
      <c r="W17" s="27"/>
      <c r="X17" s="14"/>
      <c r="Y17" s="14"/>
      <c r="Z17" s="63"/>
      <c r="AA17" s="63"/>
      <c r="AG17" s="128"/>
      <c r="AI17" s="1"/>
    </row>
    <row r="18" spans="1:44">
      <c r="A18" s="1" t="s">
        <v>11</v>
      </c>
      <c r="B18" s="1">
        <v>274793</v>
      </c>
      <c r="C18" s="1">
        <v>301338</v>
      </c>
      <c r="D18" s="1">
        <v>319573.23542164447</v>
      </c>
      <c r="E18" s="1">
        <v>384169.18762355752</v>
      </c>
      <c r="F18" s="1">
        <v>451949.24183425721</v>
      </c>
      <c r="G18" s="1">
        <v>536524.39708356699</v>
      </c>
      <c r="H18" s="1">
        <v>609046.83038263849</v>
      </c>
      <c r="I18" s="1">
        <v>609243.3001531394</v>
      </c>
      <c r="J18" s="1">
        <v>553254.43565024948</v>
      </c>
      <c r="K18" s="1">
        <v>524195.3294038648</v>
      </c>
      <c r="L18" s="239">
        <f t="shared" si="0"/>
        <v>-5.2523946260333201</v>
      </c>
      <c r="M18" s="244">
        <f t="shared" si="1"/>
        <v>104.80765325471312</v>
      </c>
      <c r="N18" s="14">
        <v>41826</v>
      </c>
      <c r="O18" s="14">
        <v>46847</v>
      </c>
      <c r="P18" s="14">
        <v>51461</v>
      </c>
      <c r="Q18" s="27">
        <v>55575</v>
      </c>
      <c r="R18" s="27">
        <v>59714</v>
      </c>
      <c r="S18" s="27">
        <v>66597</v>
      </c>
      <c r="T18" s="27">
        <v>67093</v>
      </c>
      <c r="U18" s="27">
        <v>72073</v>
      </c>
      <c r="V18" s="27">
        <v>76970</v>
      </c>
      <c r="W18" s="27">
        <v>81855</v>
      </c>
      <c r="X18" s="14">
        <v>82813</v>
      </c>
      <c r="Y18" s="14">
        <v>81840</v>
      </c>
      <c r="Z18" s="63">
        <v>85446</v>
      </c>
      <c r="AA18" s="63">
        <v>92008</v>
      </c>
      <c r="AB18" s="1">
        <v>91262</v>
      </c>
      <c r="AC18" s="1">
        <v>96117</v>
      </c>
      <c r="AD18" s="1">
        <v>102242</v>
      </c>
      <c r="AE18" s="1">
        <v>242513</v>
      </c>
      <c r="AF18" s="1">
        <v>255945.18616545</v>
      </c>
      <c r="AG18" s="128">
        <v>242512.54895471345</v>
      </c>
      <c r="AH18" s="1">
        <v>255945.18616545</v>
      </c>
      <c r="AI18" s="1">
        <v>274793</v>
      </c>
      <c r="AJ18" s="3">
        <v>301338</v>
      </c>
      <c r="AK18" s="3">
        <v>319573.23542164447</v>
      </c>
      <c r="AL18" s="3">
        <v>384169.18762355752</v>
      </c>
      <c r="AM18" s="3">
        <v>451949.24183425721</v>
      </c>
      <c r="AN18" s="3">
        <v>536524.39708356699</v>
      </c>
      <c r="AO18" s="3">
        <v>609046.83038263849</v>
      </c>
      <c r="AP18" s="3">
        <v>609243.3001531394</v>
      </c>
      <c r="AQ18" s="3">
        <v>553254.43565024948</v>
      </c>
      <c r="AR18" s="3">
        <v>524195.3294038648</v>
      </c>
    </row>
    <row r="19" spans="1:44">
      <c r="A19" s="1" t="s">
        <v>12</v>
      </c>
      <c r="B19" s="1">
        <v>395405</v>
      </c>
      <c r="C19" s="1">
        <v>429087</v>
      </c>
      <c r="D19" s="1">
        <v>471534.06908474735</v>
      </c>
      <c r="E19" s="1">
        <v>555784.43568362028</v>
      </c>
      <c r="F19" s="1">
        <v>639603.37003521598</v>
      </c>
      <c r="G19" s="1">
        <v>726314.92447993427</v>
      </c>
      <c r="H19" s="1">
        <v>799681.27115116641</v>
      </c>
      <c r="I19" s="1">
        <v>762820.3734772777</v>
      </c>
      <c r="J19" s="1">
        <v>731817.07215997984</v>
      </c>
      <c r="K19" s="1">
        <v>713735.44581130741</v>
      </c>
      <c r="L19" s="239">
        <f t="shared" si="0"/>
        <v>-2.4707849866502811</v>
      </c>
      <c r="M19" s="244">
        <f t="shared" si="1"/>
        <v>90.054332251899254</v>
      </c>
      <c r="N19" s="14">
        <v>65503</v>
      </c>
      <c r="O19" s="14">
        <v>69778</v>
      </c>
      <c r="P19" s="14">
        <v>74589</v>
      </c>
      <c r="Q19" s="27">
        <v>79851</v>
      </c>
      <c r="R19" s="27">
        <v>85799</v>
      </c>
      <c r="S19" s="27">
        <v>95360</v>
      </c>
      <c r="T19" s="27">
        <v>102250</v>
      </c>
      <c r="U19" s="27">
        <v>109818</v>
      </c>
      <c r="V19" s="27">
        <v>118096</v>
      </c>
      <c r="W19" s="27">
        <v>126491</v>
      </c>
      <c r="X19" s="14">
        <v>131490</v>
      </c>
      <c r="Y19" s="14">
        <v>131844</v>
      </c>
      <c r="Z19" s="63">
        <v>133362</v>
      </c>
      <c r="AA19" s="63">
        <v>134041</v>
      </c>
      <c r="AB19" s="1">
        <v>136943</v>
      </c>
      <c r="AC19" s="1">
        <v>143689</v>
      </c>
      <c r="AD19" s="1">
        <v>149217</v>
      </c>
      <c r="AE19" s="1">
        <v>357624</v>
      </c>
      <c r="AF19" s="1">
        <v>375542.84469838749</v>
      </c>
      <c r="AG19" s="128">
        <v>357623.71193312475</v>
      </c>
      <c r="AH19" s="1">
        <v>375542.84469838749</v>
      </c>
      <c r="AI19" s="1">
        <v>395405</v>
      </c>
      <c r="AJ19" s="3">
        <v>429087</v>
      </c>
      <c r="AK19" s="3">
        <v>471534.06908474735</v>
      </c>
      <c r="AL19" s="3">
        <v>555784.43568362028</v>
      </c>
      <c r="AM19" s="3">
        <v>639603.37003521598</v>
      </c>
      <c r="AN19" s="3">
        <v>726314.92447993427</v>
      </c>
      <c r="AO19" s="3">
        <v>799681.27115116641</v>
      </c>
      <c r="AP19" s="3">
        <v>762820.3734772777</v>
      </c>
      <c r="AQ19" s="3">
        <v>731817.07215997984</v>
      </c>
      <c r="AR19" s="3">
        <v>713735.44581130741</v>
      </c>
    </row>
    <row r="20" spans="1:44">
      <c r="A20" s="1" t="s">
        <v>13</v>
      </c>
      <c r="B20" s="1">
        <v>360178</v>
      </c>
      <c r="C20" s="1">
        <v>396607</v>
      </c>
      <c r="D20" s="1">
        <v>426204.18774799531</v>
      </c>
      <c r="E20" s="1">
        <v>497980.54793826654</v>
      </c>
      <c r="F20" s="1">
        <v>576673.84810899768</v>
      </c>
      <c r="G20" s="1">
        <v>663939.62838480563</v>
      </c>
      <c r="H20" s="1">
        <v>715671.35909905296</v>
      </c>
      <c r="I20" s="1">
        <v>708519.46222791297</v>
      </c>
      <c r="J20" s="1">
        <v>683122.54702915787</v>
      </c>
      <c r="K20" s="1">
        <v>651562.31615003466</v>
      </c>
      <c r="L20" s="239">
        <f t="shared" si="0"/>
        <v>-4.6199954922255131</v>
      </c>
      <c r="M20" s="244">
        <f t="shared" si="1"/>
        <v>93.399562332206813</v>
      </c>
      <c r="N20" s="14">
        <v>51112</v>
      </c>
      <c r="O20" s="14">
        <v>55019</v>
      </c>
      <c r="P20" s="14">
        <v>60912</v>
      </c>
      <c r="Q20" s="27">
        <v>66553</v>
      </c>
      <c r="R20" s="27">
        <v>73393</v>
      </c>
      <c r="S20" s="27">
        <v>81723</v>
      </c>
      <c r="T20" s="27">
        <v>89459</v>
      </c>
      <c r="U20" s="27">
        <v>99126</v>
      </c>
      <c r="V20" s="27">
        <v>109950</v>
      </c>
      <c r="W20" s="27">
        <v>116789</v>
      </c>
      <c r="X20" s="14">
        <v>121651</v>
      </c>
      <c r="Y20" s="14">
        <v>123019</v>
      </c>
      <c r="Z20" s="63">
        <v>124799</v>
      </c>
      <c r="AA20" s="63">
        <v>125130</v>
      </c>
      <c r="AB20" s="1">
        <v>127526</v>
      </c>
      <c r="AC20" s="1">
        <v>131709</v>
      </c>
      <c r="AD20" s="1">
        <v>134431</v>
      </c>
      <c r="AE20" s="1">
        <v>322445</v>
      </c>
      <c r="AF20" s="1">
        <v>336899.58151551103</v>
      </c>
      <c r="AG20" s="128">
        <v>322444.72463361023</v>
      </c>
      <c r="AH20" s="1">
        <v>336899.58151551103</v>
      </c>
      <c r="AI20" s="1">
        <v>360178</v>
      </c>
      <c r="AJ20" s="3">
        <v>396607</v>
      </c>
      <c r="AK20" s="3">
        <v>426204.18774799531</v>
      </c>
      <c r="AL20" s="3">
        <v>497980.54793826654</v>
      </c>
      <c r="AM20" s="3">
        <v>576673.84810899768</v>
      </c>
      <c r="AN20" s="3">
        <v>663939.62838480563</v>
      </c>
      <c r="AO20" s="3">
        <v>715671.35909905296</v>
      </c>
      <c r="AP20" s="3">
        <v>708519.46222791297</v>
      </c>
      <c r="AQ20" s="3">
        <v>683122.54702915787</v>
      </c>
      <c r="AR20" s="3">
        <v>651562.31615003466</v>
      </c>
    </row>
    <row r="21" spans="1:44">
      <c r="A21" s="1" t="s">
        <v>14</v>
      </c>
      <c r="B21" s="1">
        <v>376883</v>
      </c>
      <c r="C21" s="1">
        <v>401853</v>
      </c>
      <c r="D21" s="1">
        <v>432822.65345312021</v>
      </c>
      <c r="E21" s="1">
        <v>505329.40456632478</v>
      </c>
      <c r="F21" s="1">
        <v>608993.91530881717</v>
      </c>
      <c r="G21" s="1">
        <v>719197.23718959501</v>
      </c>
      <c r="H21" s="1">
        <v>768847.58608688926</v>
      </c>
      <c r="I21" s="1">
        <v>725755.31678685546</v>
      </c>
      <c r="J21" s="1">
        <v>664073.68984794733</v>
      </c>
      <c r="K21" s="1">
        <v>638907.81260166178</v>
      </c>
      <c r="L21" s="239">
        <f t="shared" si="0"/>
        <v>-3.7896211867763916</v>
      </c>
      <c r="M21" s="244">
        <f t="shared" si="1"/>
        <v>75.472632920775141</v>
      </c>
      <c r="N21" s="14">
        <v>69659</v>
      </c>
      <c r="O21" s="14">
        <v>77462</v>
      </c>
      <c r="P21" s="14">
        <v>84110</v>
      </c>
      <c r="Q21" s="27">
        <v>91737</v>
      </c>
      <c r="R21" s="27">
        <v>97060</v>
      </c>
      <c r="S21" s="27">
        <v>105428</v>
      </c>
      <c r="T21" s="27">
        <v>105428</v>
      </c>
      <c r="U21" s="27">
        <v>155512</v>
      </c>
      <c r="V21" s="27">
        <v>123662</v>
      </c>
      <c r="W21" s="27">
        <v>133687</v>
      </c>
      <c r="X21" s="14">
        <v>139734</v>
      </c>
      <c r="Y21" s="14">
        <v>143036</v>
      </c>
      <c r="Z21" s="63">
        <v>153526</v>
      </c>
      <c r="AA21" s="63">
        <v>148911</v>
      </c>
      <c r="AB21" s="1">
        <v>149690</v>
      </c>
      <c r="AC21" s="1">
        <v>152633</v>
      </c>
      <c r="AD21" s="1">
        <v>150151</v>
      </c>
      <c r="AE21" s="1">
        <v>354652</v>
      </c>
      <c r="AF21" s="1">
        <v>364106.81367625279</v>
      </c>
      <c r="AG21" s="128">
        <v>354652.1801060118</v>
      </c>
      <c r="AH21" s="1">
        <v>364106.81367625279</v>
      </c>
      <c r="AI21" s="1">
        <v>376883</v>
      </c>
      <c r="AJ21" s="3">
        <v>401853</v>
      </c>
      <c r="AK21" s="3">
        <v>432822.65345312021</v>
      </c>
      <c r="AL21" s="3">
        <v>505329.40456632478</v>
      </c>
      <c r="AM21" s="3">
        <v>608993.91530881717</v>
      </c>
      <c r="AN21" s="3">
        <v>719197.23718959501</v>
      </c>
      <c r="AO21" s="3">
        <v>768847.58608688926</v>
      </c>
      <c r="AP21" s="3">
        <v>725755.31678685546</v>
      </c>
      <c r="AQ21" s="3">
        <v>664073.68984794733</v>
      </c>
      <c r="AR21" s="3">
        <v>638907.81260166178</v>
      </c>
    </row>
    <row r="22" spans="1:44">
      <c r="A22" s="1" t="s">
        <v>15</v>
      </c>
      <c r="B22" s="1">
        <v>397908</v>
      </c>
      <c r="C22" s="1">
        <v>420151</v>
      </c>
      <c r="D22" s="1">
        <v>500326.3937271944</v>
      </c>
      <c r="E22" s="1">
        <v>566869.00883033487</v>
      </c>
      <c r="F22" s="1">
        <v>628776.9464240052</v>
      </c>
      <c r="G22" s="1">
        <v>729670.55771725031</v>
      </c>
      <c r="H22" s="1">
        <v>816221.65664044418</v>
      </c>
      <c r="I22" s="1">
        <v>803337.71532184945</v>
      </c>
      <c r="J22" s="1">
        <v>718381.93749304861</v>
      </c>
      <c r="K22" s="1">
        <v>686442.2294100821</v>
      </c>
      <c r="L22" s="239">
        <f t="shared" si="0"/>
        <v>-4.4460622429382237</v>
      </c>
      <c r="M22" s="244">
        <f t="shared" si="1"/>
        <v>90.000013729473125</v>
      </c>
      <c r="N22" s="14">
        <v>63225</v>
      </c>
      <c r="O22" s="14">
        <v>70565</v>
      </c>
      <c r="P22" s="14">
        <v>77388</v>
      </c>
      <c r="Q22" s="27">
        <v>82289</v>
      </c>
      <c r="R22" s="27">
        <v>88009</v>
      </c>
      <c r="S22" s="27">
        <v>95378</v>
      </c>
      <c r="T22" s="27">
        <v>103250</v>
      </c>
      <c r="U22" s="27">
        <v>111347</v>
      </c>
      <c r="V22" s="27">
        <v>118404</v>
      </c>
      <c r="W22" s="27">
        <v>124186</v>
      </c>
      <c r="X22" s="14">
        <v>127055</v>
      </c>
      <c r="Y22" s="14">
        <v>129009</v>
      </c>
      <c r="Z22" s="63">
        <v>132314</v>
      </c>
      <c r="AA22" s="63">
        <v>135969</v>
      </c>
      <c r="AB22" s="1">
        <v>139370</v>
      </c>
      <c r="AC22" s="1">
        <v>142931</v>
      </c>
      <c r="AD22" s="1">
        <v>149452</v>
      </c>
      <c r="AE22" s="1">
        <v>338811</v>
      </c>
      <c r="AF22" s="1">
        <v>361285.35779342422</v>
      </c>
      <c r="AG22" s="128">
        <v>338811.46863168495</v>
      </c>
      <c r="AH22" s="1">
        <v>361285.35779342422</v>
      </c>
      <c r="AI22" s="1">
        <v>397908</v>
      </c>
      <c r="AJ22" s="3">
        <v>420151</v>
      </c>
      <c r="AK22" s="3">
        <v>500326.3937271944</v>
      </c>
      <c r="AL22" s="3">
        <v>566869.00883033487</v>
      </c>
      <c r="AM22" s="3">
        <v>628776.9464240052</v>
      </c>
      <c r="AN22" s="3">
        <v>729670.55771725031</v>
      </c>
      <c r="AO22" s="3">
        <v>816221.65664044418</v>
      </c>
      <c r="AP22" s="3">
        <v>803337.71532184945</v>
      </c>
      <c r="AQ22" s="3">
        <v>718381.93749304861</v>
      </c>
      <c r="AR22" s="3">
        <v>686442.2294100821</v>
      </c>
    </row>
    <row r="23" spans="1:44">
      <c r="L23" s="239"/>
      <c r="M23" s="244"/>
      <c r="N23" s="14"/>
      <c r="P23" s="14"/>
      <c r="Q23" s="27"/>
      <c r="R23" s="27"/>
      <c r="S23" s="27"/>
      <c r="T23" s="27"/>
      <c r="U23" s="27"/>
      <c r="V23" s="27"/>
      <c r="W23" s="27"/>
      <c r="X23" s="14"/>
      <c r="Y23" s="14"/>
      <c r="Z23" s="63"/>
      <c r="AA23" s="63"/>
      <c r="AG23" s="128"/>
      <c r="AI23" s="1"/>
    </row>
    <row r="24" spans="1:44">
      <c r="A24" s="1" t="s">
        <v>16</v>
      </c>
      <c r="B24" s="1">
        <v>400655</v>
      </c>
      <c r="C24" s="1">
        <v>427971</v>
      </c>
      <c r="D24" s="1">
        <v>477003.91635306197</v>
      </c>
      <c r="E24" s="1">
        <v>563411.52889821969</v>
      </c>
      <c r="F24" s="1">
        <v>666450.43406526418</v>
      </c>
      <c r="G24" s="1">
        <v>765052.28019850992</v>
      </c>
      <c r="H24" s="1">
        <v>817860.57458620076</v>
      </c>
      <c r="I24" s="1">
        <v>761874.24402419117</v>
      </c>
      <c r="J24" s="1">
        <v>674086.45604531979</v>
      </c>
      <c r="K24" s="1">
        <v>640460.4143580813</v>
      </c>
      <c r="L24" s="239">
        <f t="shared" si="0"/>
        <v>-4.9883870808669339</v>
      </c>
      <c r="M24" s="244">
        <f t="shared" si="1"/>
        <v>68.462751350103829</v>
      </c>
      <c r="N24" s="14">
        <v>64144</v>
      </c>
      <c r="O24" s="14">
        <v>63343</v>
      </c>
      <c r="P24" s="14">
        <v>73929</v>
      </c>
      <c r="Q24" s="27">
        <v>79206</v>
      </c>
      <c r="R24" s="27">
        <v>87683</v>
      </c>
      <c r="S24" s="27">
        <v>96798</v>
      </c>
      <c r="T24" s="27">
        <v>106704</v>
      </c>
      <c r="U24" s="27">
        <v>113098</v>
      </c>
      <c r="V24" s="27">
        <v>121659</v>
      </c>
      <c r="W24" s="27">
        <v>130388</v>
      </c>
      <c r="X24" s="14">
        <v>134000</v>
      </c>
      <c r="Y24" s="14">
        <v>133801</v>
      </c>
      <c r="Z24" s="63">
        <v>136811</v>
      </c>
      <c r="AA24" s="63">
        <v>137788</v>
      </c>
      <c r="AB24" s="1">
        <v>140094</v>
      </c>
      <c r="AC24" s="1">
        <v>145874</v>
      </c>
      <c r="AD24" s="1">
        <v>147276</v>
      </c>
      <c r="AE24" s="1">
        <v>359990</v>
      </c>
      <c r="AF24" s="1">
        <v>380179.24391313019</v>
      </c>
      <c r="AG24" s="128">
        <v>359990.26346294978</v>
      </c>
      <c r="AH24" s="1">
        <v>380179.24391313019</v>
      </c>
      <c r="AI24" s="1">
        <v>400655</v>
      </c>
      <c r="AJ24" s="3">
        <v>427971</v>
      </c>
      <c r="AK24" s="3">
        <v>477003.91635306197</v>
      </c>
      <c r="AL24" s="3">
        <v>563411.52889821969</v>
      </c>
      <c r="AM24" s="3">
        <v>666450.43406526418</v>
      </c>
      <c r="AN24" s="3">
        <v>765052.28019850992</v>
      </c>
      <c r="AO24" s="3">
        <v>817860.57458620076</v>
      </c>
      <c r="AP24" s="3">
        <v>761874.24402419117</v>
      </c>
      <c r="AQ24" s="3">
        <v>674086.45604531979</v>
      </c>
      <c r="AR24" s="3">
        <v>640460.4143580813</v>
      </c>
    </row>
    <row r="25" spans="1:44">
      <c r="A25" s="1" t="s">
        <v>17</v>
      </c>
      <c r="B25" s="1">
        <v>484242</v>
      </c>
      <c r="C25" s="1">
        <v>531661</v>
      </c>
      <c r="D25" s="1">
        <v>603384.20860293647</v>
      </c>
      <c r="E25" s="1">
        <v>735161.88109098049</v>
      </c>
      <c r="F25" s="1">
        <v>860077.20375561784</v>
      </c>
      <c r="G25" s="1">
        <v>991255.93037146598</v>
      </c>
      <c r="H25" s="1">
        <v>1093000.9905028259</v>
      </c>
      <c r="I25" s="1">
        <v>1189635.7659434583</v>
      </c>
      <c r="J25" s="1">
        <v>1317859.430840503</v>
      </c>
      <c r="K25" s="1">
        <v>1324637.1133455711</v>
      </c>
      <c r="L25" s="239">
        <f t="shared" si="0"/>
        <v>0.51429479855415794</v>
      </c>
      <c r="M25" s="244">
        <f t="shared" si="1"/>
        <v>195.66870560422305</v>
      </c>
      <c r="N25" s="14">
        <v>56788</v>
      </c>
      <c r="O25" s="14">
        <v>67087</v>
      </c>
      <c r="P25" s="14">
        <v>73505</v>
      </c>
      <c r="Q25" s="27">
        <v>76864</v>
      </c>
      <c r="R25" s="27">
        <v>85894</v>
      </c>
      <c r="S25" s="27">
        <v>95345</v>
      </c>
      <c r="T25" s="27">
        <v>101601</v>
      </c>
      <c r="U25" s="27">
        <v>111272</v>
      </c>
      <c r="V25" s="27">
        <v>121823</v>
      </c>
      <c r="W25" s="27">
        <v>131345</v>
      </c>
      <c r="X25" s="14">
        <v>132120</v>
      </c>
      <c r="Y25" s="14">
        <v>137219</v>
      </c>
      <c r="Z25" s="63">
        <v>145919</v>
      </c>
      <c r="AA25" s="63">
        <v>150069</v>
      </c>
      <c r="AB25" s="1">
        <v>154687</v>
      </c>
      <c r="AC25" s="1">
        <v>162488</v>
      </c>
      <c r="AD25" s="1">
        <v>175220</v>
      </c>
      <c r="AE25" s="1">
        <v>404809</v>
      </c>
      <c r="AF25" s="1">
        <v>448013.9724759059</v>
      </c>
      <c r="AG25" s="128">
        <v>404809.09796235041</v>
      </c>
      <c r="AH25" s="1">
        <v>448013.9724759059</v>
      </c>
      <c r="AI25" s="1">
        <v>484242</v>
      </c>
      <c r="AJ25" s="3">
        <v>531661</v>
      </c>
      <c r="AK25" s="3">
        <v>603384.20860293647</v>
      </c>
      <c r="AL25" s="3">
        <v>735161.88109098049</v>
      </c>
      <c r="AM25" s="3">
        <v>860077.20375561784</v>
      </c>
      <c r="AN25" s="3">
        <v>991255.93037146598</v>
      </c>
      <c r="AO25" s="3">
        <v>1093000.9905028259</v>
      </c>
      <c r="AP25" s="3">
        <v>1189635.7659434583</v>
      </c>
      <c r="AQ25" s="3">
        <v>1317859.430840503</v>
      </c>
      <c r="AR25" s="3">
        <v>1324637.1133455711</v>
      </c>
    </row>
    <row r="26" spans="1:44">
      <c r="A26" s="1" t="s">
        <v>18</v>
      </c>
      <c r="B26" s="1">
        <v>360494</v>
      </c>
      <c r="C26" s="1">
        <v>401489</v>
      </c>
      <c r="D26" s="1">
        <v>431993.36209214036</v>
      </c>
      <c r="E26" s="1">
        <v>512221.6472599713</v>
      </c>
      <c r="F26" s="1">
        <v>589969.74949603889</v>
      </c>
      <c r="G26" s="1">
        <v>685741.67633201624</v>
      </c>
      <c r="H26" s="1">
        <v>755331.16094478988</v>
      </c>
      <c r="I26" s="1">
        <v>758166.40581478633</v>
      </c>
      <c r="J26" s="1">
        <v>732108.52100203931</v>
      </c>
      <c r="K26" s="1">
        <v>719391.3122783677</v>
      </c>
      <c r="L26" s="239">
        <f t="shared" si="0"/>
        <v>-1.7370660713340056</v>
      </c>
      <c r="M26" s="244">
        <f t="shared" si="1"/>
        <v>111.79758109287143</v>
      </c>
      <c r="N26" s="14">
        <v>59474</v>
      </c>
      <c r="O26" s="14">
        <v>63408</v>
      </c>
      <c r="P26" s="14">
        <v>67963</v>
      </c>
      <c r="Q26" s="27">
        <v>73694</v>
      </c>
      <c r="R26" s="27">
        <v>81044</v>
      </c>
      <c r="S26" s="27">
        <v>87462</v>
      </c>
      <c r="T26" s="27">
        <v>93603</v>
      </c>
      <c r="U26" s="27">
        <v>101153</v>
      </c>
      <c r="V26" s="27">
        <v>109309</v>
      </c>
      <c r="W26" s="27">
        <v>114947</v>
      </c>
      <c r="X26" s="14">
        <v>120357</v>
      </c>
      <c r="Y26" s="14">
        <v>124371</v>
      </c>
      <c r="Z26" s="63">
        <v>127371</v>
      </c>
      <c r="AA26" s="63">
        <v>132072</v>
      </c>
      <c r="AB26" s="1">
        <v>135049</v>
      </c>
      <c r="AC26" s="1">
        <v>140890</v>
      </c>
      <c r="AD26" s="1">
        <v>145395</v>
      </c>
      <c r="AE26" s="1">
        <v>339433</v>
      </c>
      <c r="AF26" s="1">
        <v>339659.83396331652</v>
      </c>
      <c r="AG26" s="128">
        <v>339432.70325216622</v>
      </c>
      <c r="AH26" s="1">
        <v>339659.83396331652</v>
      </c>
      <c r="AI26" s="1">
        <v>360494</v>
      </c>
      <c r="AJ26" s="3">
        <v>401489</v>
      </c>
      <c r="AK26" s="3">
        <v>431993.36209214036</v>
      </c>
      <c r="AL26" s="3">
        <v>512221.6472599713</v>
      </c>
      <c r="AM26" s="3">
        <v>589969.74949603889</v>
      </c>
      <c r="AN26" s="3">
        <v>685741.67633201624</v>
      </c>
      <c r="AO26" s="3">
        <v>755331.16094478988</v>
      </c>
      <c r="AP26" s="3">
        <v>758166.40581478633</v>
      </c>
      <c r="AQ26" s="3">
        <v>732108.52100203931</v>
      </c>
      <c r="AR26" s="3">
        <v>719391.3122783677</v>
      </c>
    </row>
    <row r="27" spans="1:44">
      <c r="A27" s="1" t="s">
        <v>19</v>
      </c>
      <c r="B27" s="1">
        <v>525874</v>
      </c>
      <c r="C27" s="1">
        <v>578390</v>
      </c>
      <c r="D27" s="1">
        <v>639163.48411832575</v>
      </c>
      <c r="E27" s="1">
        <v>743076.69514611131</v>
      </c>
      <c r="F27" s="1">
        <v>846305.54253137705</v>
      </c>
      <c r="G27" s="1">
        <v>982146.62841189466</v>
      </c>
      <c r="H27" s="1">
        <v>1024930.9831105468</v>
      </c>
      <c r="I27" s="1">
        <v>967931.58053792687</v>
      </c>
      <c r="J27" s="1">
        <v>879364.48623694421</v>
      </c>
      <c r="K27" s="1">
        <v>851673.26389628195</v>
      </c>
      <c r="L27" s="239">
        <f t="shared" si="0"/>
        <v>-3.1490039425131937</v>
      </c>
      <c r="M27" s="244">
        <f t="shared" si="1"/>
        <v>78.609564491721983</v>
      </c>
      <c r="N27" s="14">
        <v>100277</v>
      </c>
      <c r="O27" s="14">
        <v>109153</v>
      </c>
      <c r="P27" s="14">
        <v>121071</v>
      </c>
      <c r="Q27" s="27">
        <v>132231</v>
      </c>
      <c r="R27" s="27">
        <v>148938</v>
      </c>
      <c r="S27" s="27">
        <v>160867</v>
      </c>
      <c r="T27" s="27">
        <v>170106</v>
      </c>
      <c r="U27" s="27">
        <v>176262</v>
      </c>
      <c r="V27" s="27">
        <v>186416</v>
      </c>
      <c r="W27" s="27">
        <v>189529</v>
      </c>
      <c r="X27" s="14">
        <v>187446</v>
      </c>
      <c r="Y27" s="14">
        <v>191455</v>
      </c>
      <c r="Z27" s="63">
        <v>189581</v>
      </c>
      <c r="AA27" s="63">
        <v>191282</v>
      </c>
      <c r="AB27" s="1">
        <v>192534</v>
      </c>
      <c r="AC27" s="1">
        <v>196414</v>
      </c>
      <c r="AD27" s="1">
        <v>199940</v>
      </c>
      <c r="AE27" s="1">
        <v>490378</v>
      </c>
      <c r="AF27" s="1">
        <v>476835.1943077239</v>
      </c>
      <c r="AG27" s="128">
        <v>490378.46899911674</v>
      </c>
      <c r="AH27" s="1">
        <v>476835.1943077239</v>
      </c>
      <c r="AI27" s="1">
        <v>525874</v>
      </c>
      <c r="AJ27" s="3">
        <v>578390</v>
      </c>
      <c r="AK27" s="3">
        <v>639163.48411832575</v>
      </c>
      <c r="AL27" s="3">
        <v>743076.69514611131</v>
      </c>
      <c r="AM27" s="3">
        <v>846305.54253137705</v>
      </c>
      <c r="AN27" s="3">
        <v>982146.62841189466</v>
      </c>
      <c r="AO27" s="3">
        <v>1024930.9831105468</v>
      </c>
      <c r="AP27" s="3">
        <v>967931.58053792687</v>
      </c>
      <c r="AQ27" s="3">
        <v>879364.48623694421</v>
      </c>
      <c r="AR27" s="3">
        <v>851673.26389628195</v>
      </c>
    </row>
    <row r="28" spans="1:44">
      <c r="A28" s="1" t="s">
        <v>20</v>
      </c>
      <c r="B28" s="1">
        <v>629455</v>
      </c>
      <c r="C28" s="1">
        <v>699642</v>
      </c>
      <c r="D28" s="1">
        <v>783497.62049616966</v>
      </c>
      <c r="E28" s="1">
        <v>956566.56982196844</v>
      </c>
      <c r="F28" s="1">
        <v>1143657.846219145</v>
      </c>
      <c r="G28" s="1">
        <v>1355658.9219330854</v>
      </c>
      <c r="H28" s="1">
        <v>1546887.5540605478</v>
      </c>
      <c r="I28" s="1">
        <v>1593333.009708738</v>
      </c>
      <c r="J28" s="1">
        <v>1487386.376226357</v>
      </c>
      <c r="K28" s="1">
        <v>1438242.5696012038</v>
      </c>
      <c r="L28" s="239">
        <f t="shared" si="0"/>
        <v>-3.304037700670337</v>
      </c>
      <c r="M28" s="244">
        <f t="shared" si="1"/>
        <v>150.91436209747982</v>
      </c>
      <c r="N28" s="14">
        <v>85667</v>
      </c>
      <c r="O28" s="14">
        <v>94835</v>
      </c>
      <c r="P28" s="27">
        <v>103598</v>
      </c>
      <c r="Q28" s="27">
        <v>114817</v>
      </c>
      <c r="R28" s="27">
        <v>124403</v>
      </c>
      <c r="S28" s="27">
        <v>133857</v>
      </c>
      <c r="T28" s="27">
        <v>139365</v>
      </c>
      <c r="U28" s="27">
        <v>159711</v>
      </c>
      <c r="V28" s="27">
        <v>179413</v>
      </c>
      <c r="W28" s="27">
        <v>184405</v>
      </c>
      <c r="X28" s="14">
        <v>187385</v>
      </c>
      <c r="Y28" s="14">
        <v>189469</v>
      </c>
      <c r="Z28" s="63">
        <v>190395</v>
      </c>
      <c r="AA28" s="63">
        <v>196758</v>
      </c>
      <c r="AB28" s="1">
        <v>201560</v>
      </c>
      <c r="AC28" s="1">
        <v>202829</v>
      </c>
      <c r="AD28" s="1">
        <v>216238</v>
      </c>
      <c r="AE28" s="1">
        <v>533806</v>
      </c>
      <c r="AF28" s="1">
        <v>573200.57631553547</v>
      </c>
      <c r="AG28" s="128">
        <v>533806.4644281615</v>
      </c>
      <c r="AH28" s="1">
        <v>573200.57631553547</v>
      </c>
      <c r="AI28" s="1">
        <v>629455</v>
      </c>
      <c r="AJ28" s="3">
        <v>699642</v>
      </c>
      <c r="AK28" s="3">
        <v>783497.62049616966</v>
      </c>
      <c r="AL28" s="3">
        <v>956566.56982196844</v>
      </c>
      <c r="AM28" s="3">
        <v>1143657.846219145</v>
      </c>
      <c r="AN28" s="3">
        <v>1355658.9219330854</v>
      </c>
      <c r="AO28" s="3">
        <v>1546887.5540605478</v>
      </c>
      <c r="AP28" s="3">
        <v>1593333.009708738</v>
      </c>
      <c r="AQ28" s="3">
        <v>1487386.376226357</v>
      </c>
      <c r="AR28" s="3">
        <v>1438242.5696012038</v>
      </c>
    </row>
    <row r="29" spans="1:44">
      <c r="L29" s="239"/>
      <c r="M29" s="244"/>
      <c r="N29" s="14"/>
      <c r="O29" s="14"/>
      <c r="Q29" s="27"/>
      <c r="R29" s="27"/>
      <c r="S29" s="27"/>
      <c r="T29" s="27"/>
      <c r="U29" s="27"/>
      <c r="V29" s="27"/>
      <c r="W29" s="27"/>
      <c r="X29" s="14"/>
      <c r="Y29" s="14"/>
      <c r="Z29" s="63"/>
      <c r="AA29" s="63"/>
      <c r="AG29" s="128"/>
      <c r="AI29" s="1"/>
    </row>
    <row r="30" spans="1:44">
      <c r="A30" s="1" t="s">
        <v>21</v>
      </c>
      <c r="B30" s="1">
        <v>703431</v>
      </c>
      <c r="C30" s="1">
        <v>782598</v>
      </c>
      <c r="D30" s="1">
        <v>911522.27963012131</v>
      </c>
      <c r="E30" s="1">
        <v>1080321.6608957034</v>
      </c>
      <c r="F30" s="1">
        <v>1232724.2343494711</v>
      </c>
      <c r="G30" s="1">
        <v>1389548.8668436806</v>
      </c>
      <c r="H30" s="1">
        <v>1380190.9759505773</v>
      </c>
      <c r="I30" s="1">
        <v>1297394.5276233945</v>
      </c>
      <c r="J30" s="1">
        <v>1154223.8802435542</v>
      </c>
      <c r="K30" s="1">
        <v>1107880.4188150582</v>
      </c>
      <c r="L30" s="239">
        <f t="shared" si="0"/>
        <v>-4.015118922917889</v>
      </c>
      <c r="M30" s="244">
        <f t="shared" si="1"/>
        <v>71.890757347540045</v>
      </c>
      <c r="N30" s="14">
        <v>145555</v>
      </c>
      <c r="O30" s="14">
        <v>159133</v>
      </c>
      <c r="P30" s="27">
        <v>173969</v>
      </c>
      <c r="Q30" s="27">
        <v>190371</v>
      </c>
      <c r="R30" s="27">
        <v>207315</v>
      </c>
      <c r="S30" s="27">
        <v>223936</v>
      </c>
      <c r="T30" s="27">
        <v>238728</v>
      </c>
      <c r="U30" s="27">
        <v>250872</v>
      </c>
      <c r="V30" s="27">
        <v>271433</v>
      </c>
      <c r="W30" s="27">
        <v>272435</v>
      </c>
      <c r="X30" s="14">
        <v>264622</v>
      </c>
      <c r="Y30" s="14">
        <v>256195</v>
      </c>
      <c r="Z30" s="63">
        <v>259934</v>
      </c>
      <c r="AA30" s="63">
        <v>260556</v>
      </c>
      <c r="AB30" s="1">
        <v>258875</v>
      </c>
      <c r="AC30" s="1">
        <v>259670</v>
      </c>
      <c r="AD30" s="1">
        <v>261279</v>
      </c>
      <c r="AE30" s="1">
        <v>619261</v>
      </c>
      <c r="AF30" s="1">
        <v>644525.88138585759</v>
      </c>
      <c r="AG30" s="128">
        <v>619260.99868484249</v>
      </c>
      <c r="AH30" s="1">
        <v>644525.88138585759</v>
      </c>
      <c r="AI30" s="1">
        <v>703431</v>
      </c>
      <c r="AJ30" s="3">
        <v>782598</v>
      </c>
      <c r="AK30" s="3">
        <v>911522.27963012131</v>
      </c>
      <c r="AL30" s="3">
        <v>1080321.6608957034</v>
      </c>
      <c r="AM30" s="3">
        <v>1232724.2343494711</v>
      </c>
      <c r="AN30" s="3">
        <v>1389548.8668436806</v>
      </c>
      <c r="AO30" s="3">
        <v>1380190.9759505773</v>
      </c>
      <c r="AP30" s="3">
        <v>1297394.5276233945</v>
      </c>
      <c r="AQ30" s="3">
        <v>1154223.8802435542</v>
      </c>
      <c r="AR30" s="3">
        <v>1107880.4188150582</v>
      </c>
    </row>
    <row r="31" spans="1:44">
      <c r="A31" s="1" t="s">
        <v>22</v>
      </c>
      <c r="B31" s="1">
        <v>339467</v>
      </c>
      <c r="C31" s="1">
        <v>369784</v>
      </c>
      <c r="D31" s="1">
        <v>406235.49554931663</v>
      </c>
      <c r="E31" s="1">
        <v>478266.75195908075</v>
      </c>
      <c r="F31" s="1">
        <v>578434.86164120666</v>
      </c>
      <c r="G31" s="1">
        <v>723034.65135403723</v>
      </c>
      <c r="H31" s="1">
        <v>813557.00152848894</v>
      </c>
      <c r="I31" s="1">
        <v>824159.73937085352</v>
      </c>
      <c r="J31" s="1">
        <v>707194.43923592567</v>
      </c>
      <c r="K31" s="1">
        <v>650673.5616878079</v>
      </c>
      <c r="L31" s="239">
        <f t="shared" si="0"/>
        <v>-7.9922683794268288</v>
      </c>
      <c r="M31" s="244">
        <f t="shared" si="1"/>
        <v>99.998653115557644</v>
      </c>
      <c r="N31" s="14">
        <v>75189</v>
      </c>
      <c r="O31" s="14">
        <v>83495</v>
      </c>
      <c r="P31" s="27">
        <v>91759</v>
      </c>
      <c r="Q31" s="27">
        <v>99523</v>
      </c>
      <c r="R31" s="27">
        <v>107585</v>
      </c>
      <c r="S31" s="27">
        <v>115499</v>
      </c>
      <c r="T31" s="27">
        <v>123236</v>
      </c>
      <c r="U31" s="27">
        <v>129483</v>
      </c>
      <c r="V31" s="27">
        <v>138622</v>
      </c>
      <c r="W31" s="27">
        <v>141404</v>
      </c>
      <c r="X31" s="14">
        <v>143195</v>
      </c>
      <c r="Y31" s="14">
        <v>141698</v>
      </c>
      <c r="Z31" s="63">
        <v>140110</v>
      </c>
      <c r="AA31" s="63">
        <v>138011</v>
      </c>
      <c r="AB31" s="1">
        <v>138644</v>
      </c>
      <c r="AC31" s="1">
        <v>139939</v>
      </c>
      <c r="AD31" s="1">
        <v>136457</v>
      </c>
      <c r="AE31" s="1">
        <v>315294</v>
      </c>
      <c r="AF31" s="1">
        <v>325338.97181390208</v>
      </c>
      <c r="AG31" s="128">
        <v>315293.74152197025</v>
      </c>
      <c r="AH31" s="1">
        <v>325338.97181390208</v>
      </c>
      <c r="AI31" s="1">
        <v>339467</v>
      </c>
      <c r="AJ31" s="3">
        <v>369784</v>
      </c>
      <c r="AK31" s="3">
        <v>406235.49554931663</v>
      </c>
      <c r="AL31" s="3">
        <v>478266.75195908075</v>
      </c>
      <c r="AM31" s="3">
        <v>578434.86164120666</v>
      </c>
      <c r="AN31" s="3">
        <v>723034.65135403723</v>
      </c>
      <c r="AO31" s="3">
        <v>813557.00152848894</v>
      </c>
      <c r="AP31" s="3">
        <v>824159.73937085352</v>
      </c>
      <c r="AQ31" s="3">
        <v>707194.43923592567</v>
      </c>
      <c r="AR31" s="3">
        <v>650673.5616878079</v>
      </c>
    </row>
    <row r="32" spans="1:44">
      <c r="A32" s="1" t="s">
        <v>23</v>
      </c>
      <c r="B32" s="1">
        <v>560062</v>
      </c>
      <c r="C32" s="1">
        <v>623249</v>
      </c>
      <c r="D32" s="1">
        <v>685675.51577874436</v>
      </c>
      <c r="E32" s="1">
        <v>813105.78694040421</v>
      </c>
      <c r="F32" s="1">
        <v>965666.54420447687</v>
      </c>
      <c r="G32" s="1">
        <v>1130275.9152991711</v>
      </c>
      <c r="H32" s="1">
        <v>1204023.9449266687</v>
      </c>
      <c r="I32" s="1">
        <v>1170154.3399759261</v>
      </c>
      <c r="J32" s="1">
        <v>1121056.4211010444</v>
      </c>
      <c r="K32" s="1">
        <v>1054731.042996349</v>
      </c>
      <c r="L32" s="239">
        <f t="shared" si="0"/>
        <v>-5.9163282825278278</v>
      </c>
      <c r="M32" s="244">
        <f t="shared" si="1"/>
        <v>108.27738750279805</v>
      </c>
      <c r="N32" s="14">
        <v>83166</v>
      </c>
      <c r="O32" s="14">
        <v>92188</v>
      </c>
      <c r="P32" s="27">
        <v>99814</v>
      </c>
      <c r="Q32" s="27">
        <v>107027</v>
      </c>
      <c r="R32" s="27">
        <v>118579</v>
      </c>
      <c r="S32" s="27">
        <v>131855</v>
      </c>
      <c r="T32" s="27">
        <v>137774</v>
      </c>
      <c r="U32" s="27">
        <v>150570</v>
      </c>
      <c r="V32" s="27">
        <v>161983</v>
      </c>
      <c r="W32" s="27">
        <v>174238</v>
      </c>
      <c r="X32" s="14">
        <v>175514</v>
      </c>
      <c r="Y32" s="14">
        <v>174604</v>
      </c>
      <c r="Z32" s="63">
        <v>179416</v>
      </c>
      <c r="AA32" s="63">
        <v>180077</v>
      </c>
      <c r="AB32" s="1">
        <v>179879</v>
      </c>
      <c r="AC32" s="1">
        <v>183329</v>
      </c>
      <c r="AD32" s="1">
        <v>189019</v>
      </c>
      <c r="AE32" s="1">
        <v>484181</v>
      </c>
      <c r="AF32" s="1">
        <v>506406.89113799238</v>
      </c>
      <c r="AG32" s="128">
        <v>484181.47381885519</v>
      </c>
      <c r="AH32" s="1">
        <v>506406.89113799238</v>
      </c>
      <c r="AI32" s="1">
        <v>560062</v>
      </c>
      <c r="AJ32" s="3">
        <v>623249</v>
      </c>
      <c r="AK32" s="3">
        <v>685675.51577874436</v>
      </c>
      <c r="AL32" s="3">
        <v>813105.78694040421</v>
      </c>
      <c r="AM32" s="3">
        <v>965666.54420447687</v>
      </c>
      <c r="AN32" s="3">
        <v>1130275.9152991711</v>
      </c>
      <c r="AO32" s="3">
        <v>1204023.9449266687</v>
      </c>
      <c r="AP32" s="3">
        <v>1170154.3399759261</v>
      </c>
      <c r="AQ32" s="3">
        <v>1121056.4211010444</v>
      </c>
      <c r="AR32" s="3">
        <v>1054731.042996349</v>
      </c>
    </row>
    <row r="33" spans="1:44">
      <c r="A33" s="1" t="s">
        <v>24</v>
      </c>
      <c r="B33" s="1">
        <v>375645</v>
      </c>
      <c r="C33" s="1">
        <v>405889</v>
      </c>
      <c r="D33" s="1">
        <v>426276.48729259759</v>
      </c>
      <c r="E33" s="1">
        <v>508100.71938736126</v>
      </c>
      <c r="F33" s="1">
        <v>597483.11413472716</v>
      </c>
      <c r="G33" s="1">
        <v>724109.28211449343</v>
      </c>
      <c r="H33" s="1">
        <v>805635.39092075208</v>
      </c>
      <c r="I33" s="1">
        <v>805004.64093795803</v>
      </c>
      <c r="J33" s="1">
        <v>738223.91154596012</v>
      </c>
      <c r="K33" s="1">
        <v>716182.86707946088</v>
      </c>
      <c r="L33" s="239">
        <f t="shared" si="0"/>
        <v>-2.9856855246454606</v>
      </c>
      <c r="M33" s="244">
        <f t="shared" si="1"/>
        <v>96.47985631173033</v>
      </c>
      <c r="N33" s="14">
        <v>54885</v>
      </c>
      <c r="O33" s="14">
        <v>64815</v>
      </c>
      <c r="P33" s="27">
        <v>70481</v>
      </c>
      <c r="Q33" s="27">
        <v>75168</v>
      </c>
      <c r="R33" s="27">
        <v>81417</v>
      </c>
      <c r="S33" s="27">
        <v>90709</v>
      </c>
      <c r="T33" s="27">
        <v>94664</v>
      </c>
      <c r="U33" s="27">
        <v>103746</v>
      </c>
      <c r="V33" s="27">
        <v>115699</v>
      </c>
      <c r="W33" s="27">
        <v>127032</v>
      </c>
      <c r="X33" s="14">
        <v>129349</v>
      </c>
      <c r="Y33" s="14">
        <v>130848</v>
      </c>
      <c r="Z33" s="63">
        <v>134730</v>
      </c>
      <c r="AA33" s="63">
        <v>134037</v>
      </c>
      <c r="AB33" s="1">
        <v>140350</v>
      </c>
      <c r="AC33" s="1">
        <v>145769</v>
      </c>
      <c r="AD33" s="1">
        <v>150149</v>
      </c>
      <c r="AE33" s="1">
        <v>360044</v>
      </c>
      <c r="AF33" s="1">
        <v>364507.01895016758</v>
      </c>
      <c r="AG33" s="128">
        <v>360043.62876292196</v>
      </c>
      <c r="AH33" s="1">
        <v>364507.01895016758</v>
      </c>
      <c r="AI33" s="1">
        <v>375645</v>
      </c>
      <c r="AJ33" s="3">
        <v>405889</v>
      </c>
      <c r="AK33" s="3">
        <v>426276.48729259759</v>
      </c>
      <c r="AL33" s="3">
        <v>508100.71938736126</v>
      </c>
      <c r="AM33" s="3">
        <v>597483.11413472716</v>
      </c>
      <c r="AN33" s="3">
        <v>724109.28211449343</v>
      </c>
      <c r="AO33" s="3">
        <v>805635.39092075208</v>
      </c>
      <c r="AP33" s="3">
        <v>805004.64093795803</v>
      </c>
      <c r="AQ33" s="3">
        <v>738223.91154596012</v>
      </c>
      <c r="AR33" s="3">
        <v>716182.86707946088</v>
      </c>
    </row>
    <row r="34" spans="1:44">
      <c r="A34" s="1" t="s">
        <v>25</v>
      </c>
      <c r="B34" s="1">
        <v>283889</v>
      </c>
      <c r="C34" s="1">
        <v>299364</v>
      </c>
      <c r="D34" s="1">
        <v>344282.10231857549</v>
      </c>
      <c r="E34" s="1">
        <v>418291.8401701072</v>
      </c>
      <c r="F34" s="1">
        <v>503565.80924057384</v>
      </c>
      <c r="G34" s="1">
        <v>599052.11009174318</v>
      </c>
      <c r="H34" s="1">
        <v>647591.37803979369</v>
      </c>
      <c r="I34" s="1">
        <v>654715.51484873716</v>
      </c>
      <c r="J34" s="1">
        <v>607400.24478958477</v>
      </c>
      <c r="K34" s="1">
        <v>528216.3336538804</v>
      </c>
      <c r="L34" s="239">
        <f t="shared" si="0"/>
        <v>-13.036529342054383</v>
      </c>
      <c r="M34" s="244">
        <f t="shared" si="1"/>
        <v>96.092645162147107</v>
      </c>
      <c r="N34" s="14">
        <v>49962</v>
      </c>
      <c r="O34" s="14">
        <v>54545</v>
      </c>
      <c r="P34" s="27">
        <v>57503</v>
      </c>
      <c r="Q34" s="27">
        <v>61869</v>
      </c>
      <c r="R34" s="27">
        <v>67568</v>
      </c>
      <c r="S34" s="27">
        <v>70370</v>
      </c>
      <c r="T34" s="27">
        <v>72537</v>
      </c>
      <c r="U34" s="27">
        <v>72582</v>
      </c>
      <c r="V34" s="27">
        <v>76469</v>
      </c>
      <c r="W34" s="27">
        <v>80525</v>
      </c>
      <c r="X34" s="14">
        <v>83909</v>
      </c>
      <c r="Y34" s="14">
        <v>93214</v>
      </c>
      <c r="Z34" s="63">
        <v>97786</v>
      </c>
      <c r="AA34" s="63">
        <v>104192</v>
      </c>
      <c r="AB34" s="1">
        <v>106313</v>
      </c>
      <c r="AC34" s="1">
        <v>109626</v>
      </c>
      <c r="AD34" s="1">
        <v>113745</v>
      </c>
      <c r="AE34" s="1">
        <v>256979</v>
      </c>
      <c r="AF34" s="1">
        <v>269370.80338587071</v>
      </c>
      <c r="AG34" s="128">
        <v>256979.21503368986</v>
      </c>
      <c r="AH34" s="1">
        <v>269370.80338587071</v>
      </c>
      <c r="AI34" s="1">
        <v>283889</v>
      </c>
      <c r="AJ34" s="3">
        <v>299364</v>
      </c>
      <c r="AK34" s="3">
        <v>344282.10231857549</v>
      </c>
      <c r="AL34" s="3">
        <v>418291.8401701072</v>
      </c>
      <c r="AM34" s="3">
        <v>503565.80924057384</v>
      </c>
      <c r="AN34" s="3">
        <v>599052.11009174318</v>
      </c>
      <c r="AO34" s="3">
        <v>647591.37803979369</v>
      </c>
      <c r="AP34" s="3">
        <v>654715.51484873716</v>
      </c>
      <c r="AQ34" s="3">
        <v>607400.24478958477</v>
      </c>
      <c r="AR34" s="3">
        <v>528216.3336538804</v>
      </c>
    </row>
    <row r="35" spans="1:44">
      <c r="L35" s="239"/>
      <c r="M35" s="244"/>
      <c r="O35" s="14"/>
      <c r="P35" s="27"/>
      <c r="Q35" s="27"/>
      <c r="R35" s="27"/>
      <c r="S35" s="27"/>
      <c r="T35" s="27"/>
      <c r="U35" s="27"/>
      <c r="V35" s="27"/>
      <c r="W35" s="27"/>
      <c r="X35" s="14"/>
      <c r="Y35" s="36"/>
      <c r="Z35" s="63"/>
      <c r="AA35" s="63"/>
      <c r="AG35" s="128"/>
      <c r="AI35" s="1"/>
    </row>
    <row r="36" spans="1:44">
      <c r="A36" s="1" t="s">
        <v>26</v>
      </c>
      <c r="B36" s="1">
        <v>1036326</v>
      </c>
      <c r="C36" s="1">
        <v>1167859</v>
      </c>
      <c r="D36" s="1">
        <v>1337203.551629747</v>
      </c>
      <c r="E36" s="1">
        <v>1571944.9425903067</v>
      </c>
      <c r="F36" s="1">
        <v>1839882.8211107631</v>
      </c>
      <c r="G36" s="1">
        <v>2163683.8000708967</v>
      </c>
      <c r="H36" s="1">
        <v>2381288.0201913482</v>
      </c>
      <c r="I36" s="1">
        <v>2371857.0091270772</v>
      </c>
      <c r="J36" s="1">
        <v>2210093.1225583716</v>
      </c>
      <c r="K36" s="1">
        <v>2109320.3004796812</v>
      </c>
      <c r="L36" s="239">
        <f t="shared" si="0"/>
        <v>-4.5596640725272808</v>
      </c>
      <c r="M36" s="244">
        <f t="shared" si="1"/>
        <v>127.14779928190499</v>
      </c>
      <c r="N36" s="14">
        <v>140292</v>
      </c>
      <c r="O36" s="14">
        <v>156972</v>
      </c>
      <c r="P36" s="27">
        <v>170804</v>
      </c>
      <c r="Q36" s="27">
        <v>188025</v>
      </c>
      <c r="R36" s="27">
        <v>208515</v>
      </c>
      <c r="S36" s="27">
        <v>226115</v>
      </c>
      <c r="T36" s="27">
        <v>238038</v>
      </c>
      <c r="U36" s="27">
        <v>260910</v>
      </c>
      <c r="V36" s="27">
        <v>285487</v>
      </c>
      <c r="W36" s="27">
        <v>292527</v>
      </c>
      <c r="X36" s="14">
        <v>290991</v>
      </c>
      <c r="Y36" s="36">
        <v>291167</v>
      </c>
      <c r="Z36" s="63">
        <v>294436</v>
      </c>
      <c r="AA36" s="63">
        <v>295389</v>
      </c>
      <c r="AB36" s="1">
        <v>304753</v>
      </c>
      <c r="AC36" s="1">
        <v>314239</v>
      </c>
      <c r="AD36" s="1">
        <v>314828</v>
      </c>
      <c r="AE36" s="1">
        <v>853684</v>
      </c>
      <c r="AF36" s="1">
        <v>928611.37424531218</v>
      </c>
      <c r="AG36" s="128">
        <v>853684.21764005197</v>
      </c>
      <c r="AH36" s="1">
        <v>928611.37424531218</v>
      </c>
      <c r="AI36" s="1">
        <v>1036326</v>
      </c>
      <c r="AJ36" s="3">
        <v>1167859</v>
      </c>
      <c r="AK36" s="3">
        <v>1337203.551629747</v>
      </c>
      <c r="AL36" s="3">
        <v>1571944.9425903067</v>
      </c>
      <c r="AM36" s="3">
        <v>1839882.8211107631</v>
      </c>
      <c r="AN36" s="3">
        <v>2163683.8000708967</v>
      </c>
      <c r="AO36" s="3">
        <v>2381288.0201913482</v>
      </c>
      <c r="AP36" s="3">
        <v>2371857.0091270772</v>
      </c>
      <c r="AQ36" s="3">
        <v>2210093.1225583716</v>
      </c>
      <c r="AR36" s="3">
        <v>2109320.3004796812</v>
      </c>
    </row>
    <row r="37" spans="1:44">
      <c r="A37" s="1" t="s">
        <v>27</v>
      </c>
      <c r="B37" s="1">
        <v>390812</v>
      </c>
      <c r="C37" s="1">
        <v>392641</v>
      </c>
      <c r="D37" s="1">
        <v>417720.48348791461</v>
      </c>
      <c r="E37" s="1">
        <v>477079.46823921311</v>
      </c>
      <c r="F37" s="1">
        <v>558038.93167457741</v>
      </c>
      <c r="G37" s="1">
        <v>649851.77406223083</v>
      </c>
      <c r="H37" s="1">
        <v>700491.66009440518</v>
      </c>
      <c r="I37" s="1">
        <v>665064.43127214059</v>
      </c>
      <c r="J37" s="1">
        <v>602179.38004212617</v>
      </c>
      <c r="K37" s="1">
        <v>576817.58477054152</v>
      </c>
      <c r="L37" s="239">
        <f t="shared" si="0"/>
        <v>-4.2116678372166172</v>
      </c>
      <c r="M37" s="244">
        <f t="shared" si="1"/>
        <v>56.707950813967095</v>
      </c>
      <c r="N37" s="14">
        <v>63092</v>
      </c>
      <c r="O37" s="14">
        <v>67275</v>
      </c>
      <c r="P37" s="27">
        <v>72375</v>
      </c>
      <c r="Q37" s="27">
        <v>77529</v>
      </c>
      <c r="R37" s="27">
        <v>84072</v>
      </c>
      <c r="S37" s="27">
        <v>91395</v>
      </c>
      <c r="T37" s="27">
        <v>95492</v>
      </c>
      <c r="U37" s="27">
        <v>104043</v>
      </c>
      <c r="V37" s="27">
        <v>108375</v>
      </c>
      <c r="W37" s="27">
        <v>114170</v>
      </c>
      <c r="X37" s="14">
        <v>119293</v>
      </c>
      <c r="Y37" s="36">
        <v>123888</v>
      </c>
      <c r="Z37" s="63">
        <v>130276</v>
      </c>
      <c r="AA37" s="63">
        <v>136022</v>
      </c>
      <c r="AB37" s="1">
        <v>138932</v>
      </c>
      <c r="AC37" s="1">
        <v>145213</v>
      </c>
      <c r="AD37" s="1">
        <v>151955</v>
      </c>
      <c r="AE37" s="1">
        <v>364627</v>
      </c>
      <c r="AF37" s="1">
        <v>368084.44100918638</v>
      </c>
      <c r="AG37" s="128">
        <v>364626.89728355332</v>
      </c>
      <c r="AH37" s="1">
        <v>368084.44100918638</v>
      </c>
      <c r="AI37" s="1">
        <v>390812</v>
      </c>
      <c r="AJ37" s="3">
        <v>392641</v>
      </c>
      <c r="AK37" s="3">
        <v>417720.48348791461</v>
      </c>
      <c r="AL37" s="3">
        <v>477079.46823921311</v>
      </c>
      <c r="AM37" s="3">
        <v>558038.93167457741</v>
      </c>
      <c r="AN37" s="3">
        <v>649851.77406223083</v>
      </c>
      <c r="AO37" s="3">
        <v>700491.66009440518</v>
      </c>
      <c r="AP37" s="3">
        <v>665064.43127214059</v>
      </c>
      <c r="AQ37" s="3">
        <v>602179.38004212617</v>
      </c>
      <c r="AR37" s="3">
        <v>576817.58477054152</v>
      </c>
    </row>
    <row r="38" spans="1:44">
      <c r="A38" s="1" t="s">
        <v>28</v>
      </c>
      <c r="B38" s="1">
        <v>309102</v>
      </c>
      <c r="C38" s="1">
        <v>326836</v>
      </c>
      <c r="D38" s="1">
        <v>346966.27866774367</v>
      </c>
      <c r="E38" s="1">
        <v>395933.3318530434</v>
      </c>
      <c r="F38" s="1">
        <v>446606.32341037603</v>
      </c>
      <c r="G38" s="1">
        <v>520446.31290258555</v>
      </c>
      <c r="H38" s="1">
        <v>554830.79997145513</v>
      </c>
      <c r="I38" s="1">
        <v>551208.06474717089</v>
      </c>
      <c r="J38" s="1">
        <v>501569.75798464334</v>
      </c>
      <c r="K38" s="1">
        <v>470901.38696646987</v>
      </c>
      <c r="L38" s="239">
        <f t="shared" si="0"/>
        <v>-6.1144777032415183</v>
      </c>
      <c r="M38" s="244">
        <f t="shared" si="1"/>
        <v>55.747600624526441</v>
      </c>
      <c r="N38" s="14">
        <v>97937</v>
      </c>
      <c r="O38" s="14">
        <v>70852</v>
      </c>
      <c r="P38" s="27">
        <v>76722</v>
      </c>
      <c r="Q38" s="27">
        <v>82364</v>
      </c>
      <c r="R38" s="27">
        <v>88249</v>
      </c>
      <c r="S38" s="27">
        <v>94278</v>
      </c>
      <c r="T38" s="27">
        <v>96956</v>
      </c>
      <c r="U38" s="27">
        <v>101506</v>
      </c>
      <c r="V38" s="27">
        <v>105468</v>
      </c>
      <c r="W38" s="27">
        <v>108808</v>
      </c>
      <c r="X38" s="14">
        <v>112491</v>
      </c>
      <c r="Y38" s="36">
        <v>112192</v>
      </c>
      <c r="Z38" s="63">
        <v>119586</v>
      </c>
      <c r="AA38" s="63">
        <v>120400</v>
      </c>
      <c r="AB38" s="1">
        <v>121960</v>
      </c>
      <c r="AC38" s="1">
        <v>127719</v>
      </c>
      <c r="AD38" s="1">
        <v>136170</v>
      </c>
      <c r="AE38" s="1">
        <v>295866</v>
      </c>
      <c r="AF38" s="1">
        <v>302349.04748337704</v>
      </c>
      <c r="AG38" s="128">
        <v>295865.68190068501</v>
      </c>
      <c r="AH38" s="1">
        <v>302349.04748337704</v>
      </c>
      <c r="AI38" s="1">
        <v>309102</v>
      </c>
      <c r="AJ38" s="3">
        <v>326836</v>
      </c>
      <c r="AK38" s="3">
        <v>346966.27866774367</v>
      </c>
      <c r="AL38" s="3">
        <v>395933.3318530434</v>
      </c>
      <c r="AM38" s="3">
        <v>446606.32341037603</v>
      </c>
      <c r="AN38" s="3">
        <v>520446.31290258555</v>
      </c>
      <c r="AO38" s="3">
        <v>554830.79997145513</v>
      </c>
      <c r="AP38" s="3">
        <v>551208.06474717089</v>
      </c>
      <c r="AQ38" s="3">
        <v>501569.75798464334</v>
      </c>
      <c r="AR38" s="3">
        <v>470901.38696646987</v>
      </c>
    </row>
    <row r="39" spans="1:44">
      <c r="A39" s="17" t="s">
        <v>29</v>
      </c>
      <c r="B39" s="1">
        <v>1296568</v>
      </c>
      <c r="C39" s="1">
        <v>1513237</v>
      </c>
      <c r="D39" s="1">
        <v>1755047.7693714476</v>
      </c>
      <c r="E39" s="1">
        <v>2179866.7846515495</v>
      </c>
      <c r="F39" s="1">
        <v>2656010.3245967431</v>
      </c>
      <c r="G39" s="1">
        <v>3202151.6624843162</v>
      </c>
      <c r="H39" s="1">
        <v>3053597.0243748021</v>
      </c>
      <c r="I39" s="1">
        <v>2902351.2132822475</v>
      </c>
      <c r="J39" s="1">
        <v>2720922.0420912802</v>
      </c>
      <c r="K39" s="1">
        <v>2454224.8984736032</v>
      </c>
      <c r="L39" s="239">
        <f t="shared" si="0"/>
        <v>-9.8017193984982978</v>
      </c>
      <c r="M39" s="244">
        <f t="shared" si="1"/>
        <v>106.37176300978349</v>
      </c>
      <c r="N39" s="14">
        <v>210562</v>
      </c>
      <c r="O39" s="14">
        <v>249551</v>
      </c>
      <c r="P39" s="27">
        <v>286218</v>
      </c>
      <c r="Q39" s="27">
        <v>321390</v>
      </c>
      <c r="R39" s="27">
        <v>342311</v>
      </c>
      <c r="S39" s="27">
        <v>359743</v>
      </c>
      <c r="T39" s="27">
        <v>360335</v>
      </c>
      <c r="U39" s="27">
        <v>368306</v>
      </c>
      <c r="V39" s="27">
        <v>371050</v>
      </c>
      <c r="W39" s="27">
        <v>387017</v>
      </c>
      <c r="X39" s="24">
        <v>376756</v>
      </c>
      <c r="Y39" s="14">
        <v>369677</v>
      </c>
      <c r="Z39" s="63">
        <v>369990</v>
      </c>
      <c r="AA39" s="63">
        <v>374542</v>
      </c>
      <c r="AB39" s="1">
        <v>379703</v>
      </c>
      <c r="AC39" s="1">
        <v>395871</v>
      </c>
      <c r="AD39" s="1">
        <v>414852</v>
      </c>
      <c r="AE39" s="1">
        <v>1052418</v>
      </c>
      <c r="AF39" s="1">
        <v>1189225.1452817484</v>
      </c>
      <c r="AG39" s="129">
        <v>1052417.9362337051</v>
      </c>
      <c r="AH39" s="1">
        <v>1189225.1452817484</v>
      </c>
      <c r="AI39" s="1">
        <v>1296568</v>
      </c>
      <c r="AJ39" s="3">
        <v>1513237</v>
      </c>
      <c r="AK39" s="3">
        <v>1755047.7693714476</v>
      </c>
      <c r="AL39" s="3">
        <v>2179866.7846515495</v>
      </c>
      <c r="AM39" s="3">
        <v>2656010.3245967431</v>
      </c>
      <c r="AN39" s="3">
        <v>3202151.6624843162</v>
      </c>
      <c r="AO39" s="3">
        <v>3053597.0243748021</v>
      </c>
      <c r="AP39" s="3">
        <v>2902351.2132822475</v>
      </c>
      <c r="AQ39" s="3">
        <v>2720922.0420912802</v>
      </c>
      <c r="AR39" s="3">
        <v>2454224.8984736032</v>
      </c>
    </row>
    <row r="40" spans="1:44">
      <c r="A40" s="1" t="s">
        <v>322</v>
      </c>
      <c r="B40" s="18"/>
      <c r="C40" s="18"/>
      <c r="D40" s="18"/>
      <c r="E40" s="64"/>
      <c r="F40" s="64"/>
      <c r="G40" s="64"/>
      <c r="H40" s="64"/>
      <c r="I40" s="64"/>
      <c r="J40" s="64"/>
      <c r="K40" s="64"/>
      <c r="L40" s="64"/>
      <c r="M40" s="18"/>
      <c r="N40" s="18"/>
      <c r="O40" s="18"/>
      <c r="P40" s="18"/>
      <c r="Q40" s="18"/>
      <c r="Y40" s="18"/>
    </row>
    <row r="41" spans="1:44">
      <c r="A41" s="1" t="s">
        <v>239</v>
      </c>
      <c r="E41" s="59"/>
      <c r="F41" s="59"/>
      <c r="G41" s="59"/>
      <c r="H41" s="59"/>
      <c r="I41" s="59"/>
      <c r="J41" s="59"/>
      <c r="K41" s="59"/>
      <c r="L41" s="59"/>
      <c r="O41" s="14"/>
      <c r="P41" s="14"/>
      <c r="Q41" s="14"/>
    </row>
    <row r="42" spans="1:44">
      <c r="E42" s="59"/>
      <c r="F42" s="59"/>
      <c r="G42" s="59"/>
      <c r="H42" s="59"/>
      <c r="I42" s="59"/>
      <c r="J42" s="59"/>
      <c r="K42" s="59"/>
      <c r="L42" s="59"/>
      <c r="O42" s="14"/>
      <c r="P42" s="14"/>
      <c r="Q42" s="14"/>
    </row>
    <row r="43" spans="1:44">
      <c r="A43" s="7"/>
      <c r="E43" s="59"/>
      <c r="F43" s="59"/>
      <c r="G43" s="59"/>
      <c r="H43" s="59"/>
      <c r="I43" s="59"/>
      <c r="J43" s="59"/>
      <c r="K43" s="59"/>
      <c r="L43" s="59"/>
      <c r="O43" s="14"/>
      <c r="P43" s="14"/>
      <c r="Q43" s="14"/>
    </row>
    <row r="44" spans="1:44">
      <c r="E44" s="59"/>
      <c r="F44" s="59"/>
      <c r="G44" s="59"/>
      <c r="H44" s="59"/>
      <c r="I44" s="59"/>
      <c r="J44" s="59"/>
      <c r="K44" s="59"/>
      <c r="L44" s="59"/>
      <c r="O44" s="14"/>
      <c r="P44" s="14"/>
      <c r="Q44" s="14"/>
    </row>
    <row r="45" spans="1:44">
      <c r="E45" s="59"/>
      <c r="F45" s="59"/>
      <c r="G45" s="59"/>
      <c r="H45" s="59"/>
      <c r="I45" s="59"/>
      <c r="J45" s="59"/>
      <c r="K45" s="59"/>
      <c r="L45" s="59"/>
      <c r="O45" s="14"/>
      <c r="P45" s="14"/>
      <c r="Q45" s="14"/>
    </row>
    <row r="46" spans="1:44">
      <c r="E46" s="59"/>
      <c r="F46" s="59"/>
      <c r="G46" s="59"/>
      <c r="H46" s="59"/>
      <c r="I46" s="59"/>
      <c r="J46" s="59"/>
      <c r="K46" s="59"/>
      <c r="L46" s="59"/>
      <c r="O46" s="14"/>
      <c r="P46" s="14"/>
      <c r="Q46" s="14"/>
    </row>
    <row r="47" spans="1:44">
      <c r="E47" s="59"/>
      <c r="F47" s="59"/>
      <c r="G47" s="59"/>
      <c r="H47" s="59"/>
      <c r="I47" s="59"/>
      <c r="J47" s="59"/>
      <c r="K47" s="59"/>
      <c r="L47" s="59"/>
    </row>
    <row r="48" spans="1:44">
      <c r="E48" s="59"/>
      <c r="F48" s="59"/>
      <c r="G48" s="59"/>
      <c r="H48" s="59"/>
      <c r="I48" s="59"/>
      <c r="J48" s="59"/>
      <c r="K48" s="59"/>
      <c r="L48" s="59"/>
    </row>
    <row r="49" spans="5:12">
      <c r="E49" s="59"/>
      <c r="F49" s="59"/>
      <c r="G49" s="59"/>
      <c r="H49" s="59"/>
      <c r="I49" s="59"/>
      <c r="J49" s="59"/>
      <c r="K49" s="59"/>
      <c r="L49" s="59"/>
    </row>
    <row r="50" spans="5:12">
      <c r="E50" s="59"/>
      <c r="F50" s="59"/>
      <c r="G50" s="59"/>
      <c r="H50" s="59"/>
      <c r="I50" s="59"/>
      <c r="J50" s="59"/>
      <c r="K50" s="59"/>
      <c r="L50" s="59"/>
    </row>
    <row r="51" spans="5:12">
      <c r="E51" s="59"/>
      <c r="F51" s="59"/>
      <c r="G51" s="59"/>
      <c r="H51" s="59"/>
      <c r="I51" s="59"/>
      <c r="J51" s="59"/>
      <c r="K51" s="59"/>
      <c r="L51" s="59"/>
    </row>
    <row r="52" spans="5:12">
      <c r="E52" s="59"/>
      <c r="F52" s="59"/>
      <c r="G52" s="59"/>
      <c r="H52" s="59"/>
      <c r="I52" s="59"/>
      <c r="J52" s="59"/>
      <c r="K52" s="59"/>
      <c r="L52" s="59"/>
    </row>
    <row r="53" spans="5:12">
      <c r="E53" s="59"/>
      <c r="F53" s="59"/>
      <c r="G53" s="59"/>
      <c r="H53" s="59"/>
      <c r="I53" s="59"/>
      <c r="J53" s="59"/>
      <c r="K53" s="59"/>
      <c r="L53" s="59"/>
    </row>
    <row r="54" spans="5:12">
      <c r="E54" s="59"/>
      <c r="F54" s="59"/>
      <c r="G54" s="59"/>
      <c r="H54" s="59"/>
      <c r="I54" s="59"/>
      <c r="J54" s="59"/>
      <c r="K54" s="59"/>
      <c r="L54" s="59"/>
    </row>
    <row r="55" spans="5:12">
      <c r="E55" s="59"/>
      <c r="F55" s="59"/>
      <c r="G55" s="59"/>
      <c r="H55" s="59"/>
      <c r="I55" s="59"/>
      <c r="J55" s="59"/>
      <c r="K55" s="59"/>
      <c r="L55" s="59"/>
    </row>
    <row r="56" spans="5:12">
      <c r="E56" s="59"/>
      <c r="F56" s="59"/>
      <c r="G56" s="59"/>
      <c r="H56" s="59"/>
      <c r="I56" s="59"/>
      <c r="J56" s="59"/>
      <c r="K56" s="59"/>
      <c r="L56" s="59"/>
    </row>
    <row r="57" spans="5:12">
      <c r="E57" s="59"/>
      <c r="F57" s="59"/>
      <c r="G57" s="59"/>
      <c r="H57" s="59"/>
      <c r="I57" s="59"/>
      <c r="J57" s="59"/>
      <c r="K57" s="59"/>
      <c r="L57" s="59"/>
    </row>
    <row r="58" spans="5:12">
      <c r="E58" s="59"/>
      <c r="F58" s="59"/>
      <c r="G58" s="59"/>
      <c r="H58" s="59"/>
      <c r="I58" s="59"/>
      <c r="J58" s="59"/>
      <c r="K58" s="59"/>
      <c r="L58" s="59"/>
    </row>
    <row r="59" spans="5:12">
      <c r="E59" s="59"/>
      <c r="F59" s="59"/>
      <c r="G59" s="59"/>
      <c r="H59" s="59"/>
      <c r="I59" s="59"/>
      <c r="J59" s="59"/>
      <c r="K59" s="59"/>
      <c r="L59" s="59"/>
    </row>
    <row r="60" spans="5:12">
      <c r="E60" s="59"/>
      <c r="F60" s="59"/>
      <c r="G60" s="59"/>
      <c r="H60" s="59"/>
      <c r="I60" s="59"/>
      <c r="J60" s="59"/>
      <c r="K60" s="59"/>
      <c r="L60" s="59"/>
    </row>
    <row r="61" spans="5:12">
      <c r="E61" s="59"/>
      <c r="F61" s="59"/>
      <c r="G61" s="59"/>
      <c r="H61" s="59"/>
      <c r="I61" s="59"/>
      <c r="J61" s="59"/>
      <c r="K61" s="59"/>
      <c r="L61" s="59"/>
    </row>
    <row r="62" spans="5:12">
      <c r="E62" s="59"/>
      <c r="F62" s="59"/>
      <c r="G62" s="59"/>
      <c r="H62" s="59"/>
      <c r="I62" s="59"/>
      <c r="J62" s="59"/>
      <c r="K62" s="59"/>
      <c r="L62" s="59"/>
    </row>
    <row r="63" spans="5:12">
      <c r="E63" s="59"/>
      <c r="F63" s="59"/>
      <c r="G63" s="59"/>
      <c r="H63" s="59"/>
      <c r="I63" s="59"/>
      <c r="J63" s="59"/>
      <c r="K63" s="59"/>
      <c r="L63" s="59"/>
    </row>
    <row r="64" spans="5:12">
      <c r="E64" s="59"/>
      <c r="F64" s="59"/>
      <c r="G64" s="59"/>
      <c r="H64" s="59"/>
      <c r="I64" s="59"/>
      <c r="J64" s="59"/>
      <c r="K64" s="59"/>
      <c r="L64" s="59"/>
    </row>
    <row r="65" spans="5:12">
      <c r="E65" s="59"/>
      <c r="F65" s="59"/>
      <c r="G65" s="59"/>
      <c r="H65" s="59"/>
      <c r="I65" s="59"/>
      <c r="J65" s="59"/>
      <c r="K65" s="59"/>
      <c r="L65" s="59"/>
    </row>
    <row r="66" spans="5:12">
      <c r="E66" s="59"/>
      <c r="F66" s="59"/>
      <c r="G66" s="59"/>
      <c r="H66" s="59"/>
      <c r="I66" s="59"/>
      <c r="J66" s="59"/>
      <c r="K66" s="59"/>
      <c r="L66" s="59"/>
    </row>
    <row r="67" spans="5:12">
      <c r="E67" s="59"/>
      <c r="F67" s="59"/>
      <c r="G67" s="59"/>
      <c r="H67" s="59"/>
      <c r="I67" s="59"/>
      <c r="J67" s="59"/>
      <c r="K67" s="59"/>
      <c r="L67" s="59"/>
    </row>
  </sheetData>
  <sheetProtection password="CAF5" sheet="1" objects="1" scenarios="1"/>
  <mergeCells count="1">
    <mergeCell ref="A4:M4"/>
  </mergeCells>
  <phoneticPr fontId="2" type="noConversion"/>
  <pageMargins left="0.59" right="0.52" top="1" bottom="0.95" header="0.5" footer="0.5"/>
  <pageSetup scale="78" orientation="landscape" horizontalDpi="4294967292" verticalDpi="4294967292" r:id="rId1"/>
  <headerFooter scaleWithDoc="0" alignWithMargins="0">
    <oddFooter>&amp;L&amp;"Arial,Italic"&amp;10MSDE - LFRO  12 / 2014&amp;C&amp;"Arial,Regular"&amp;10- 18 -&amp;R&amp;"Arial,Italic"&amp;10Selected Financial Data - Part 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X336"/>
  <sheetViews>
    <sheetView workbookViewId="0"/>
  </sheetViews>
  <sheetFormatPr defaultColWidth="8" defaultRowHeight="12.75"/>
  <cols>
    <col min="1" max="1" width="12.5" style="134" bestFit="1" customWidth="1"/>
    <col min="2" max="11" width="12.625" style="134" customWidth="1"/>
    <col min="12" max="13" width="6.625" style="134" customWidth="1"/>
    <col min="14" max="14" width="10.125" style="133" customWidth="1"/>
    <col min="15" max="15" width="10.125" style="134" customWidth="1"/>
    <col min="16" max="16" width="10.875" style="194" bestFit="1" customWidth="1"/>
    <col min="17" max="17" width="10.875" style="194" customWidth="1"/>
    <col min="18" max="18" width="12.625" style="134" customWidth="1"/>
    <col min="19" max="25" width="10.875" style="194" customWidth="1"/>
    <col min="26" max="26" width="10.125" style="134" bestFit="1" customWidth="1"/>
    <col min="27" max="27" width="4" style="134" customWidth="1"/>
    <col min="28" max="28" width="11" style="134" customWidth="1"/>
    <col min="29" max="29" width="2.75" style="134" customWidth="1"/>
    <col min="30" max="31" width="8" style="134" customWidth="1"/>
    <col min="32" max="32" width="10" style="134" customWidth="1"/>
    <col min="33" max="33" width="8" style="134" customWidth="1"/>
    <col min="34" max="34" width="9.75" style="210" customWidth="1"/>
    <col min="35" max="35" width="16.25" style="134" customWidth="1"/>
    <col min="36" max="37" width="8" style="134" customWidth="1"/>
    <col min="38" max="38" width="8.875" style="134" bestFit="1" customWidth="1"/>
    <col min="39" max="39" width="8" style="134" customWidth="1"/>
    <col min="40" max="40" width="8.625" style="134" customWidth="1"/>
    <col min="41" max="41" width="8" style="134"/>
    <col min="42" max="42" width="10.125" style="134" bestFit="1" customWidth="1"/>
    <col min="43" max="43" width="8" style="134"/>
    <col min="44" max="44" width="10.875" style="134" customWidth="1"/>
    <col min="45" max="45" width="8" style="134"/>
    <col min="46" max="46" width="11" style="134" customWidth="1"/>
    <col min="47" max="47" width="8" style="134"/>
    <col min="48" max="48" width="11.5" style="134" customWidth="1"/>
    <col min="49" max="49" width="8" style="134"/>
    <col min="50" max="50" width="10.375" style="134" customWidth="1"/>
    <col min="51" max="16384" width="8" style="134"/>
  </cols>
  <sheetData>
    <row r="1" spans="1:50">
      <c r="A1" s="132" t="s">
        <v>162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O1" s="132"/>
      <c r="R1" s="132"/>
    </row>
    <row r="2" spans="1:50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O2" s="132"/>
      <c r="R2" s="132"/>
    </row>
    <row r="3" spans="1:50">
      <c r="A3" s="238" t="s">
        <v>240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O3" s="133"/>
      <c r="R3" s="214"/>
    </row>
    <row r="4" spans="1:50" s="3" customFormat="1">
      <c r="A4" s="405" t="s">
        <v>367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115"/>
      <c r="O4" s="199"/>
      <c r="P4" s="199"/>
      <c r="Q4" s="10"/>
      <c r="R4" s="1"/>
      <c r="S4" s="1"/>
      <c r="T4" s="1"/>
      <c r="U4" s="1"/>
      <c r="V4" s="1"/>
      <c r="W4" s="1"/>
      <c r="X4" s="1"/>
      <c r="Y4" s="1"/>
      <c r="Z4" s="1"/>
      <c r="AA4" s="2"/>
      <c r="AB4" s="2"/>
      <c r="AC4" s="10"/>
      <c r="AD4" s="2"/>
      <c r="AE4" s="2"/>
      <c r="AF4" s="2"/>
      <c r="AG4" s="2"/>
      <c r="AH4" s="2"/>
      <c r="AI4" s="2"/>
      <c r="AJ4" s="2"/>
      <c r="AK4" s="1"/>
    </row>
    <row r="5" spans="1:50" ht="13.5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O5" s="132"/>
      <c r="R5" s="132"/>
      <c r="AI5" s="133" t="s">
        <v>253</v>
      </c>
    </row>
    <row r="6" spans="1:50" ht="13.5" thickTop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6"/>
      <c r="X6" s="136"/>
      <c r="Y6" s="136"/>
      <c r="Z6" s="133" t="s">
        <v>167</v>
      </c>
      <c r="AB6" s="134" t="s">
        <v>167</v>
      </c>
      <c r="AD6" s="134" t="s">
        <v>167</v>
      </c>
      <c r="AF6" s="134" t="s">
        <v>167</v>
      </c>
      <c r="AH6" s="210" t="s">
        <v>167</v>
      </c>
      <c r="AI6" s="134" t="s">
        <v>167</v>
      </c>
      <c r="AL6" s="210" t="s">
        <v>167</v>
      </c>
      <c r="AN6" s="210" t="s">
        <v>167</v>
      </c>
      <c r="AP6" s="210" t="s">
        <v>167</v>
      </c>
      <c r="AR6" s="210" t="s">
        <v>167</v>
      </c>
      <c r="AT6" s="134" t="s">
        <v>167</v>
      </c>
      <c r="AV6" s="134" t="s">
        <v>167</v>
      </c>
      <c r="AX6" s="134" t="s">
        <v>167</v>
      </c>
    </row>
    <row r="7" spans="1:50">
      <c r="A7" s="136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290" t="s">
        <v>34</v>
      </c>
      <c r="M7" s="290"/>
      <c r="N7" s="136"/>
      <c r="O7" s="136"/>
      <c r="P7" s="136"/>
      <c r="Q7" s="136"/>
      <c r="R7" s="136"/>
      <c r="S7" s="136"/>
      <c r="T7" s="136"/>
      <c r="U7" s="133"/>
      <c r="V7" s="137"/>
      <c r="W7" s="136"/>
      <c r="X7" s="136"/>
      <c r="Y7" s="136"/>
      <c r="Z7" s="170" t="s">
        <v>89</v>
      </c>
      <c r="AB7" s="134" t="s">
        <v>89</v>
      </c>
      <c r="AD7" s="134" t="s">
        <v>89</v>
      </c>
      <c r="AF7" s="134" t="s">
        <v>89</v>
      </c>
      <c r="AH7" s="210" t="s">
        <v>89</v>
      </c>
      <c r="AI7" s="134" t="s">
        <v>89</v>
      </c>
      <c r="AL7" s="210" t="s">
        <v>89</v>
      </c>
      <c r="AN7" s="210" t="s">
        <v>89</v>
      </c>
      <c r="AP7" s="210" t="s">
        <v>89</v>
      </c>
      <c r="AR7" s="210" t="s">
        <v>89</v>
      </c>
      <c r="AT7" s="134" t="s">
        <v>89</v>
      </c>
      <c r="AV7" s="134" t="s">
        <v>89</v>
      </c>
      <c r="AX7" s="134" t="s">
        <v>89</v>
      </c>
    </row>
    <row r="8" spans="1:50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70" t="s">
        <v>85</v>
      </c>
      <c r="M8" s="170" t="s">
        <v>86</v>
      </c>
      <c r="N8" s="136"/>
      <c r="O8" s="136"/>
      <c r="P8" s="136"/>
      <c r="Q8" s="136"/>
      <c r="R8" s="136"/>
      <c r="S8" s="136"/>
      <c r="T8" s="136"/>
      <c r="U8" s="136"/>
      <c r="V8" s="138"/>
      <c r="W8" s="136"/>
      <c r="X8" s="136"/>
      <c r="Y8" s="136"/>
      <c r="Z8" s="170" t="s">
        <v>165</v>
      </c>
      <c r="AB8" s="134" t="s">
        <v>165</v>
      </c>
      <c r="AD8" s="134" t="s">
        <v>165</v>
      </c>
      <c r="AF8" s="134" t="s">
        <v>165</v>
      </c>
      <c r="AH8" s="210" t="s">
        <v>165</v>
      </c>
      <c r="AI8" s="134" t="s">
        <v>165</v>
      </c>
      <c r="AJ8" s="133" t="s">
        <v>255</v>
      </c>
      <c r="AL8" s="210" t="s">
        <v>165</v>
      </c>
      <c r="AN8" s="210" t="s">
        <v>165</v>
      </c>
      <c r="AP8" s="210" t="s">
        <v>165</v>
      </c>
      <c r="AR8" s="210" t="s">
        <v>165</v>
      </c>
      <c r="AT8" s="134" t="s">
        <v>165</v>
      </c>
      <c r="AV8" s="134" t="s">
        <v>165</v>
      </c>
      <c r="AX8" s="134" t="s">
        <v>165</v>
      </c>
    </row>
    <row r="9" spans="1:50" ht="13.5" thickBot="1">
      <c r="A9" s="139" t="s">
        <v>1</v>
      </c>
      <c r="B9" s="397" t="s">
        <v>184</v>
      </c>
      <c r="C9" s="397" t="s">
        <v>194</v>
      </c>
      <c r="D9" s="397" t="s">
        <v>208</v>
      </c>
      <c r="E9" s="397" t="s">
        <v>243</v>
      </c>
      <c r="F9" s="397" t="s">
        <v>256</v>
      </c>
      <c r="G9" s="397" t="s">
        <v>269</v>
      </c>
      <c r="H9" s="397" t="s">
        <v>283</v>
      </c>
      <c r="I9" s="397" t="s">
        <v>303</v>
      </c>
      <c r="J9" s="397" t="s">
        <v>330</v>
      </c>
      <c r="K9" s="397" t="s">
        <v>360</v>
      </c>
      <c r="L9" s="140" t="s">
        <v>84</v>
      </c>
      <c r="M9" s="140" t="s">
        <v>84</v>
      </c>
      <c r="N9" s="140" t="s">
        <v>4</v>
      </c>
      <c r="O9" s="140" t="s">
        <v>41</v>
      </c>
      <c r="P9" s="34" t="s">
        <v>178</v>
      </c>
      <c r="Q9" s="34" t="s">
        <v>179</v>
      </c>
      <c r="R9" s="34" t="s">
        <v>180</v>
      </c>
      <c r="S9" s="34" t="s">
        <v>181</v>
      </c>
      <c r="T9" s="34" t="s">
        <v>182</v>
      </c>
      <c r="U9" s="40" t="s">
        <v>183</v>
      </c>
      <c r="V9" s="40" t="s">
        <v>104</v>
      </c>
      <c r="W9" s="34" t="s">
        <v>105</v>
      </c>
      <c r="X9" s="8" t="s">
        <v>161</v>
      </c>
      <c r="Y9" s="8" t="s">
        <v>168</v>
      </c>
      <c r="Z9" s="140" t="s">
        <v>166</v>
      </c>
      <c r="AB9" s="133" t="s">
        <v>177</v>
      </c>
      <c r="AD9" s="133" t="s">
        <v>191</v>
      </c>
      <c r="AF9" s="133" t="s">
        <v>207</v>
      </c>
      <c r="AH9" s="210" t="s">
        <v>222</v>
      </c>
      <c r="AI9" s="133" t="s">
        <v>222</v>
      </c>
      <c r="AJ9" s="133" t="s">
        <v>222</v>
      </c>
      <c r="AL9" s="210" t="s">
        <v>245</v>
      </c>
      <c r="AN9" s="210" t="s">
        <v>267</v>
      </c>
      <c r="AP9" s="210" t="s">
        <v>275</v>
      </c>
      <c r="AR9" s="210" t="s">
        <v>284</v>
      </c>
      <c r="AT9" s="134" t="s">
        <v>314</v>
      </c>
      <c r="AV9" s="134" t="s">
        <v>345</v>
      </c>
      <c r="AX9" s="134" t="s">
        <v>362</v>
      </c>
    </row>
    <row r="10" spans="1:50" ht="15.75">
      <c r="A10" s="136" t="s">
        <v>5</v>
      </c>
      <c r="B10" s="270">
        <f t="shared" ref="B10:G10" si="0">SUM(B12:B39)</f>
        <v>841945.07846017659</v>
      </c>
      <c r="C10" s="270">
        <f t="shared" si="0"/>
        <v>838631.51651386661</v>
      </c>
      <c r="D10" s="270">
        <f t="shared" si="0"/>
        <v>839722.1426900106</v>
      </c>
      <c r="E10" s="270">
        <f t="shared" si="0"/>
        <v>835227.20043427404</v>
      </c>
      <c r="F10" s="270">
        <f t="shared" si="0"/>
        <v>836380.2832582366</v>
      </c>
      <c r="G10" s="270">
        <f t="shared" si="0"/>
        <v>833956.87589566736</v>
      </c>
      <c r="H10" s="270">
        <f>SUM(H12:H39)</f>
        <v>838900.51165631588</v>
      </c>
      <c r="I10" s="270">
        <f>SUM(I12:I39)</f>
        <v>841330.28751016955</v>
      </c>
      <c r="J10" s="270">
        <f>SUM(J12:J39)</f>
        <v>842546.31819479051</v>
      </c>
      <c r="K10" s="378">
        <f>SUM(K12:K39)</f>
        <v>847835.39999999979</v>
      </c>
      <c r="L10" s="291">
        <f>(K10-J10)*100/J10</f>
        <v>0.62774967868134257</v>
      </c>
      <c r="M10" s="291">
        <f>(K10-Y10)*100/Y10</f>
        <v>0.62653365085899759</v>
      </c>
      <c r="N10" s="141">
        <f t="shared" ref="N10:S10" si="1">SUM(N12:N39)</f>
        <v>702042.20000000007</v>
      </c>
      <c r="O10" s="141">
        <f t="shared" si="1"/>
        <v>715887.79999999993</v>
      </c>
      <c r="P10" s="141">
        <f t="shared" si="1"/>
        <v>733363.29999999981</v>
      </c>
      <c r="Q10" s="141">
        <f t="shared" si="1"/>
        <v>750480.40000000014</v>
      </c>
      <c r="R10" s="141">
        <f t="shared" si="1"/>
        <v>768162.90000000014</v>
      </c>
      <c r="S10" s="141">
        <f t="shared" si="1"/>
        <v>781870.79999999993</v>
      </c>
      <c r="T10" s="141">
        <f>SUM(T12:T39)</f>
        <v>795028.6</v>
      </c>
      <c r="U10" s="141">
        <f>SUM(U12:U39)</f>
        <v>806171.60000000009</v>
      </c>
      <c r="V10" s="141">
        <f>SUM(V12:V39)</f>
        <v>812492.19999999972</v>
      </c>
      <c r="W10" s="141">
        <v>822816.80000000016</v>
      </c>
      <c r="X10" s="141">
        <f>SUM(X12:X39)</f>
        <v>831248.8</v>
      </c>
      <c r="Y10" s="141">
        <v>842556.5</v>
      </c>
      <c r="Z10" s="165">
        <v>831248.9</v>
      </c>
      <c r="AB10" s="175">
        <v>842556.5</v>
      </c>
      <c r="AD10" s="134">
        <v>841945.07846017706</v>
      </c>
      <c r="AF10" s="134">
        <v>838631.51651386695</v>
      </c>
      <c r="AH10" s="210">
        <v>841180.18894139095</v>
      </c>
      <c r="AI10" s="210">
        <v>839722.1426900106</v>
      </c>
      <c r="AJ10" s="252">
        <f>AH10-AI10</f>
        <v>1458.0462513803504</v>
      </c>
      <c r="AL10" s="210">
        <v>835227.20043427404</v>
      </c>
      <c r="AN10" s="241">
        <v>836380.2832582366</v>
      </c>
      <c r="AP10" s="165">
        <f>SUM(AP12:AP39)</f>
        <v>833956.87589566747</v>
      </c>
      <c r="AR10" s="165">
        <f>SUM(AR12:AR39)</f>
        <v>838900.51165631588</v>
      </c>
      <c r="AT10" s="165">
        <f>SUM(AT12:AT39)</f>
        <v>841330.28751016955</v>
      </c>
      <c r="AV10" s="165">
        <v>842546.31819479051</v>
      </c>
      <c r="AX10" s="134">
        <v>847835.39999999979</v>
      </c>
    </row>
    <row r="11" spans="1:50" ht="15.75">
      <c r="A11" s="133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133"/>
      <c r="M11" s="292"/>
      <c r="N11" s="137"/>
      <c r="O11" s="137"/>
      <c r="P11" s="137"/>
      <c r="Q11" s="137"/>
      <c r="R11" s="142"/>
      <c r="S11" s="137"/>
      <c r="T11" s="137"/>
      <c r="U11" s="137"/>
      <c r="V11" s="137"/>
      <c r="W11" s="137"/>
      <c r="X11" s="137"/>
      <c r="Y11" s="137"/>
      <c r="Z11" s="166"/>
      <c r="AB11" s="175"/>
      <c r="AI11" s="210"/>
      <c r="AL11" s="210"/>
      <c r="AP11" s="166"/>
    </row>
    <row r="12" spans="1:50">
      <c r="A12" s="133" t="s">
        <v>6</v>
      </c>
      <c r="B12" s="266">
        <v>9716.5700163021593</v>
      </c>
      <c r="C12" s="266">
        <v>9596.4500000000007</v>
      </c>
      <c r="D12" s="266">
        <v>9471.1</v>
      </c>
      <c r="E12" s="266">
        <v>9238.2999999999993</v>
      </c>
      <c r="F12" s="266">
        <v>9161.6</v>
      </c>
      <c r="G12" s="266">
        <v>8969.3000000000011</v>
      </c>
      <c r="H12" s="266">
        <v>8902.25</v>
      </c>
      <c r="I12" s="266">
        <v>8741.5</v>
      </c>
      <c r="J12" s="266">
        <v>8639.9</v>
      </c>
      <c r="K12" s="379">
        <v>8615.2000000000007</v>
      </c>
      <c r="L12" s="291">
        <f t="shared" ref="L12:L39" si="2">(K12-J12)*100/J12</f>
        <v>-0.28588293845992324</v>
      </c>
      <c r="M12" s="291">
        <f>(K12-Y12)*100/Y12</f>
        <v>-13.655451657195545</v>
      </c>
      <c r="N12" s="143">
        <v>10663.2</v>
      </c>
      <c r="O12" s="143">
        <v>10675.1</v>
      </c>
      <c r="P12" s="144">
        <v>10709.7</v>
      </c>
      <c r="Q12" s="145">
        <v>10774.7</v>
      </c>
      <c r="R12" s="146">
        <v>10816.1</v>
      </c>
      <c r="S12" s="141">
        <v>10862.2</v>
      </c>
      <c r="T12" s="141">
        <v>10953.9</v>
      </c>
      <c r="U12" s="146">
        <v>10824.2</v>
      </c>
      <c r="V12" s="146">
        <v>10544.9</v>
      </c>
      <c r="W12" s="141">
        <v>10273.6</v>
      </c>
      <c r="X12" s="266">
        <v>10052.6</v>
      </c>
      <c r="Y12" s="141">
        <v>9977.7000000000007</v>
      </c>
      <c r="Z12" s="167">
        <v>10052.6</v>
      </c>
      <c r="AB12" s="175">
        <v>9977.7000000000007</v>
      </c>
      <c r="AD12" s="134">
        <v>9716.5700163021593</v>
      </c>
      <c r="AF12" s="134">
        <v>9596.4500000000007</v>
      </c>
      <c r="AH12" s="210">
        <v>9471.1</v>
      </c>
      <c r="AI12" s="210">
        <v>9471.1</v>
      </c>
      <c r="AJ12" s="252">
        <f>AH12-AI12</f>
        <v>0</v>
      </c>
      <c r="AL12" s="210">
        <v>9238.2999999999993</v>
      </c>
      <c r="AN12" s="134">
        <v>9161.6</v>
      </c>
      <c r="AP12" s="266">
        <v>8969.3000000000011</v>
      </c>
      <c r="AR12" s="266">
        <v>8902.25</v>
      </c>
      <c r="AT12" s="266">
        <v>8741.5</v>
      </c>
      <c r="AV12" s="266">
        <v>8639.9</v>
      </c>
      <c r="AX12" s="134">
        <v>8615.2000000000007</v>
      </c>
    </row>
    <row r="13" spans="1:50">
      <c r="A13" s="133" t="s">
        <v>7</v>
      </c>
      <c r="B13" s="267">
        <v>71495.843019128995</v>
      </c>
      <c r="C13" s="267">
        <v>71452.619412858199</v>
      </c>
      <c r="D13" s="267">
        <v>71479.956836354642</v>
      </c>
      <c r="E13" s="267">
        <v>71682.511830331365</v>
      </c>
      <c r="F13" s="267">
        <v>72579.370797011201</v>
      </c>
      <c r="G13" s="267">
        <v>72805.614726840853</v>
      </c>
      <c r="H13" s="267">
        <v>73915.920158917012</v>
      </c>
      <c r="I13" s="267">
        <v>74614.999401197609</v>
      </c>
      <c r="J13" s="266">
        <v>75630.527145302331</v>
      </c>
      <c r="K13" s="379">
        <v>77083</v>
      </c>
      <c r="L13" s="291">
        <f t="shared" si="2"/>
        <v>1.9204849014302916</v>
      </c>
      <c r="M13" s="291">
        <f t="shared" ref="M13:M39" si="3">(K13-Y13)*100/Y13</f>
        <v>7.8815700160248561</v>
      </c>
      <c r="N13" s="143">
        <v>63850.2</v>
      </c>
      <c r="O13" s="143">
        <v>63586</v>
      </c>
      <c r="P13" s="144">
        <v>64803.7</v>
      </c>
      <c r="Q13" s="147">
        <v>65794.600000000006</v>
      </c>
      <c r="R13" s="146">
        <v>67439.3</v>
      </c>
      <c r="S13" s="141">
        <v>68691.100000000006</v>
      </c>
      <c r="T13" s="141">
        <v>69714.100000000006</v>
      </c>
      <c r="U13" s="146">
        <v>70275</v>
      </c>
      <c r="V13" s="146">
        <v>71026.600000000006</v>
      </c>
      <c r="W13" s="141">
        <v>71004</v>
      </c>
      <c r="X13" s="267">
        <v>71606.100000000006</v>
      </c>
      <c r="Y13" s="141">
        <v>71451.5</v>
      </c>
      <c r="Z13" s="168">
        <v>71606.100000000006</v>
      </c>
      <c r="AB13" s="175">
        <v>71451.5</v>
      </c>
      <c r="AD13" s="134">
        <v>71495.843019128995</v>
      </c>
      <c r="AF13" s="134">
        <v>71452.619412858199</v>
      </c>
      <c r="AH13" s="210">
        <v>72118.856836354695</v>
      </c>
      <c r="AI13" s="210">
        <v>71479.956836354642</v>
      </c>
      <c r="AJ13" s="252">
        <f>AH13-AI13</f>
        <v>638.90000000005239</v>
      </c>
      <c r="AL13" s="210">
        <v>71682.511830331365</v>
      </c>
      <c r="AN13" s="134">
        <v>72579.370797011201</v>
      </c>
      <c r="AP13" s="267">
        <v>72805.614726840853</v>
      </c>
      <c r="AR13" s="267">
        <v>73915.920158917012</v>
      </c>
      <c r="AT13" s="266">
        <v>74614.999401197609</v>
      </c>
      <c r="AV13" s="266">
        <v>75630.527145302331</v>
      </c>
      <c r="AX13" s="404">
        <v>77083</v>
      </c>
    </row>
    <row r="14" spans="1:50">
      <c r="A14" s="133" t="s">
        <v>8</v>
      </c>
      <c r="B14" s="267">
        <v>90098.394650567701</v>
      </c>
      <c r="C14" s="267">
        <v>86942.128173463498</v>
      </c>
      <c r="D14" s="267">
        <v>83549.350000000006</v>
      </c>
      <c r="E14" s="267">
        <v>81425.95</v>
      </c>
      <c r="F14" s="267">
        <v>79529.55</v>
      </c>
      <c r="G14" s="267">
        <v>79648.150000000009</v>
      </c>
      <c r="H14" s="267">
        <v>82147.479711375214</v>
      </c>
      <c r="I14" s="381">
        <v>82814.434560935581</v>
      </c>
      <c r="J14" s="266">
        <v>83540.353905999989</v>
      </c>
      <c r="K14" s="379">
        <v>83997.4</v>
      </c>
      <c r="L14" s="291">
        <f t="shared" si="2"/>
        <v>0.54709619079932947</v>
      </c>
      <c r="M14" s="291">
        <f t="shared" si="3"/>
        <v>-10.109274120622107</v>
      </c>
      <c r="N14" s="143">
        <v>104927</v>
      </c>
      <c r="O14" s="143">
        <v>105051.8</v>
      </c>
      <c r="P14" s="144">
        <v>106611.1</v>
      </c>
      <c r="Q14" s="147">
        <v>105815.3</v>
      </c>
      <c r="R14" s="146">
        <v>104479.4</v>
      </c>
      <c r="S14" s="141">
        <v>103480.3</v>
      </c>
      <c r="T14" s="141">
        <v>102446.39999999999</v>
      </c>
      <c r="U14" s="146">
        <v>101185.7</v>
      </c>
      <c r="V14" s="146">
        <v>97223.5</v>
      </c>
      <c r="W14" s="141">
        <v>96033</v>
      </c>
      <c r="X14" s="267">
        <v>94313.3</v>
      </c>
      <c r="Y14" s="141">
        <v>93443.9</v>
      </c>
      <c r="Z14" s="168">
        <v>94313.3</v>
      </c>
      <c r="AB14" s="175">
        <v>93443.9</v>
      </c>
      <c r="AD14" s="134">
        <v>90098.394650567701</v>
      </c>
      <c r="AF14" s="134">
        <v>86942.128173463498</v>
      </c>
      <c r="AH14" s="210">
        <v>83549.350000000006</v>
      </c>
      <c r="AI14" s="210">
        <v>83549.350000000006</v>
      </c>
      <c r="AJ14" s="252">
        <f>AH14-AI14</f>
        <v>0</v>
      </c>
      <c r="AL14" s="210">
        <v>81425.95</v>
      </c>
      <c r="AN14" s="134">
        <v>79529.55</v>
      </c>
      <c r="AP14" s="268">
        <v>79648.150000000009</v>
      </c>
      <c r="AR14" s="268">
        <v>82147.479711375214</v>
      </c>
      <c r="AT14" s="266">
        <v>82814.434560935581</v>
      </c>
      <c r="AV14" s="266">
        <v>83540.353905999989</v>
      </c>
      <c r="AX14" s="134">
        <v>83997.4</v>
      </c>
    </row>
    <row r="15" spans="1:50">
      <c r="A15" s="133" t="s">
        <v>9</v>
      </c>
      <c r="B15" s="266">
        <v>105442.265812449</v>
      </c>
      <c r="C15" s="266">
        <v>104854.78374029099</v>
      </c>
      <c r="D15" s="266">
        <v>104575.01085508052</v>
      </c>
      <c r="E15" s="266">
        <v>103409.89031127314</v>
      </c>
      <c r="F15" s="266">
        <v>103862.45582685905</v>
      </c>
      <c r="G15" s="266">
        <v>101282.40000000001</v>
      </c>
      <c r="H15" s="266">
        <v>101426.1</v>
      </c>
      <c r="I15" s="266">
        <v>102312.75</v>
      </c>
      <c r="J15" s="266">
        <v>103502.53896400001</v>
      </c>
      <c r="K15" s="379">
        <v>105228.8</v>
      </c>
      <c r="L15" s="291">
        <f t="shared" si="2"/>
        <v>1.6678441449638448</v>
      </c>
      <c r="M15" s="291">
        <f t="shared" si="3"/>
        <v>-0.18392623220615123</v>
      </c>
      <c r="N15" s="143">
        <v>84341.3</v>
      </c>
      <c r="O15" s="143">
        <v>88822.8</v>
      </c>
      <c r="P15" s="144">
        <v>90715</v>
      </c>
      <c r="Q15" s="147">
        <v>94952.3</v>
      </c>
      <c r="R15" s="146">
        <v>97953.8</v>
      </c>
      <c r="S15" s="141">
        <v>99833.5</v>
      </c>
      <c r="T15" s="141">
        <v>100698.3</v>
      </c>
      <c r="U15" s="146">
        <v>102424.7</v>
      </c>
      <c r="V15" s="146">
        <v>103213.9</v>
      </c>
      <c r="W15" s="141">
        <v>103834.1</v>
      </c>
      <c r="X15" s="266">
        <v>104614.2</v>
      </c>
      <c r="Y15" s="141">
        <v>105422.7</v>
      </c>
      <c r="Z15" s="167">
        <v>104614.2</v>
      </c>
      <c r="AB15" s="175">
        <v>105422.7</v>
      </c>
      <c r="AD15" s="134">
        <v>105442.265812449</v>
      </c>
      <c r="AF15" s="134">
        <v>104854.78374029099</v>
      </c>
      <c r="AH15" s="210">
        <v>104575.010855081</v>
      </c>
      <c r="AI15" s="210">
        <v>104575.01085508052</v>
      </c>
      <c r="AJ15" s="252">
        <f>AH15-AI15</f>
        <v>4.8021320253610611E-10</v>
      </c>
      <c r="AL15" s="210">
        <v>103409.89031127314</v>
      </c>
      <c r="AN15" s="134">
        <v>103862.45582685905</v>
      </c>
      <c r="AP15" s="266">
        <v>101282.40000000001</v>
      </c>
      <c r="AR15" s="266">
        <v>101426.1</v>
      </c>
      <c r="AT15" s="266">
        <v>102312.75</v>
      </c>
      <c r="AV15" s="266">
        <v>103502.53896400001</v>
      </c>
      <c r="AX15" s="134">
        <v>105228.8</v>
      </c>
    </row>
    <row r="16" spans="1:50">
      <c r="A16" s="133" t="s">
        <v>10</v>
      </c>
      <c r="B16" s="266">
        <v>16335.137310444699</v>
      </c>
      <c r="C16" s="266">
        <v>16429.840469743001</v>
      </c>
      <c r="D16" s="266">
        <v>16863.28111010433</v>
      </c>
      <c r="E16" s="266">
        <v>17419.599999999999</v>
      </c>
      <c r="F16" s="266">
        <v>17270.5</v>
      </c>
      <c r="G16" s="266">
        <v>17023.599999999999</v>
      </c>
      <c r="H16" s="266">
        <v>16920.3</v>
      </c>
      <c r="I16" s="266">
        <v>16729.7</v>
      </c>
      <c r="J16" s="266">
        <v>16326.732468</v>
      </c>
      <c r="K16" s="379">
        <v>16136.2</v>
      </c>
      <c r="L16" s="291">
        <f t="shared" si="2"/>
        <v>-1.1669969381407972</v>
      </c>
      <c r="M16" s="291">
        <f t="shared" si="3"/>
        <v>0.42632112872408617</v>
      </c>
      <c r="N16" s="143">
        <v>10462.700000000001</v>
      </c>
      <c r="O16" s="143">
        <v>11256.8</v>
      </c>
      <c r="P16" s="144">
        <v>11592.3</v>
      </c>
      <c r="Q16" s="147">
        <v>12137.6</v>
      </c>
      <c r="R16" s="146">
        <v>12740.5</v>
      </c>
      <c r="S16" s="141">
        <v>13582.3</v>
      </c>
      <c r="T16" s="141">
        <v>14112.4</v>
      </c>
      <c r="U16" s="146">
        <v>14604.8</v>
      </c>
      <c r="V16" s="146">
        <v>15151.8</v>
      </c>
      <c r="W16" s="141">
        <v>15585.8</v>
      </c>
      <c r="X16" s="266">
        <v>15698.7</v>
      </c>
      <c r="Y16" s="141">
        <v>16067.7</v>
      </c>
      <c r="Z16" s="167">
        <v>15698.7</v>
      </c>
      <c r="AB16" s="175">
        <v>16067.7</v>
      </c>
      <c r="AD16" s="134">
        <v>16335.137310444699</v>
      </c>
      <c r="AF16" s="134">
        <v>16429.840469743001</v>
      </c>
      <c r="AH16" s="210">
        <v>16863.281110104301</v>
      </c>
      <c r="AI16" s="210">
        <v>16863.28111010433</v>
      </c>
      <c r="AJ16" s="252">
        <f>AH16-AI16</f>
        <v>-2.9103830456733704E-11</v>
      </c>
      <c r="AL16" s="210">
        <v>17419.599999999999</v>
      </c>
      <c r="AN16" s="134">
        <v>17270.5</v>
      </c>
      <c r="AP16" s="266">
        <v>17023.599999999999</v>
      </c>
      <c r="AR16" s="266">
        <v>16920.3</v>
      </c>
      <c r="AT16" s="266">
        <v>16729.7</v>
      </c>
      <c r="AV16" s="266">
        <v>16326.732468</v>
      </c>
      <c r="AX16" s="134">
        <v>16136.2</v>
      </c>
    </row>
    <row r="17" spans="1:50">
      <c r="A17" s="133"/>
      <c r="B17" s="266"/>
      <c r="C17" s="266"/>
      <c r="D17" s="266"/>
      <c r="E17" s="266"/>
      <c r="F17" s="266"/>
      <c r="G17" s="266"/>
      <c r="H17" s="266"/>
      <c r="I17" s="266"/>
      <c r="J17" s="266"/>
      <c r="K17" s="379"/>
      <c r="L17" s="291"/>
      <c r="M17" s="291"/>
      <c r="N17" s="143"/>
      <c r="O17" s="143"/>
      <c r="P17" s="148"/>
      <c r="Q17" s="147"/>
      <c r="R17" s="146"/>
      <c r="S17" s="141"/>
      <c r="T17" s="141"/>
      <c r="U17" s="146"/>
      <c r="V17" s="146"/>
      <c r="W17" s="141"/>
      <c r="X17" s="266"/>
      <c r="Y17" s="141"/>
      <c r="Z17" s="167"/>
      <c r="AB17" s="175"/>
      <c r="AI17" s="210"/>
      <c r="AL17" s="210"/>
      <c r="AP17" s="266"/>
      <c r="AR17" s="266"/>
      <c r="AT17" s="266"/>
      <c r="AV17" s="266"/>
    </row>
    <row r="18" spans="1:50">
      <c r="A18" s="133" t="s">
        <v>11</v>
      </c>
      <c r="B18" s="266">
        <v>5281.65</v>
      </c>
      <c r="C18" s="266">
        <v>5302.4390041493798</v>
      </c>
      <c r="D18" s="266">
        <v>5427.05</v>
      </c>
      <c r="E18" s="266">
        <v>5430.3</v>
      </c>
      <c r="F18" s="266">
        <v>5457.25</v>
      </c>
      <c r="G18" s="266">
        <v>5353.5999999999995</v>
      </c>
      <c r="H18" s="266">
        <v>5375.75</v>
      </c>
      <c r="I18" s="266">
        <v>5315.75</v>
      </c>
      <c r="J18" s="266">
        <v>5331.8</v>
      </c>
      <c r="K18" s="379">
        <v>5361.2</v>
      </c>
      <c r="L18" s="291">
        <f t="shared" si="2"/>
        <v>0.55140852995235445</v>
      </c>
      <c r="M18" s="291">
        <f t="shared" si="3"/>
        <v>-0.58965325421843462</v>
      </c>
      <c r="N18" s="143">
        <v>4866.5</v>
      </c>
      <c r="O18" s="143">
        <v>4967.3999999999996</v>
      </c>
      <c r="P18" s="144">
        <v>5105.8</v>
      </c>
      <c r="Q18" s="147">
        <v>5278.1</v>
      </c>
      <c r="R18" s="146">
        <v>5464.4</v>
      </c>
      <c r="S18" s="141">
        <v>5457.6</v>
      </c>
      <c r="T18" s="141">
        <v>5518.5</v>
      </c>
      <c r="U18" s="146">
        <v>5529.8</v>
      </c>
      <c r="V18" s="146">
        <v>5469.9</v>
      </c>
      <c r="W18" s="141">
        <v>5419.8</v>
      </c>
      <c r="X18" s="266">
        <v>5438.7</v>
      </c>
      <c r="Y18" s="141">
        <v>5393</v>
      </c>
      <c r="Z18" s="167">
        <v>5438.7</v>
      </c>
      <c r="AB18" s="175">
        <v>5393</v>
      </c>
      <c r="AD18" s="134">
        <v>5281.65</v>
      </c>
      <c r="AF18" s="134">
        <v>5302.4390041493798</v>
      </c>
      <c r="AH18" s="210">
        <v>5419.85</v>
      </c>
      <c r="AI18" s="210">
        <v>5427.05</v>
      </c>
      <c r="AJ18" s="252">
        <f>AH18-AI18</f>
        <v>-7.1999999999998181</v>
      </c>
      <c r="AL18" s="210">
        <v>5430.3</v>
      </c>
      <c r="AN18" s="134">
        <v>5457.25</v>
      </c>
      <c r="AP18" s="266">
        <v>5353.5999999999995</v>
      </c>
      <c r="AR18" s="266">
        <v>5375.75</v>
      </c>
      <c r="AT18" s="266">
        <v>5315.75</v>
      </c>
      <c r="AV18" s="266">
        <v>5331.8</v>
      </c>
      <c r="AX18" s="134">
        <v>5361.2</v>
      </c>
    </row>
    <row r="19" spans="1:50">
      <c r="A19" s="133" t="s">
        <v>12</v>
      </c>
      <c r="B19" s="266">
        <v>27671.213295395799</v>
      </c>
      <c r="C19" s="266">
        <v>27710.291861126901</v>
      </c>
      <c r="D19" s="266">
        <v>28385.6699734748</v>
      </c>
      <c r="E19" s="266">
        <v>27921.803371089536</v>
      </c>
      <c r="F19" s="266">
        <v>28041.25</v>
      </c>
      <c r="G19" s="266">
        <v>27769.55</v>
      </c>
      <c r="H19" s="266">
        <v>27527.8</v>
      </c>
      <c r="I19" s="266">
        <v>27240.2</v>
      </c>
      <c r="J19" s="266">
        <v>26890.172078</v>
      </c>
      <c r="K19" s="379">
        <v>26427.1</v>
      </c>
      <c r="L19" s="291">
        <f t="shared" si="2"/>
        <v>-1.7220867038588428</v>
      </c>
      <c r="M19" s="291">
        <f t="shared" si="3"/>
        <v>-3.4421904915014037</v>
      </c>
      <c r="N19" s="143">
        <v>21440.2</v>
      </c>
      <c r="O19" s="143">
        <v>22079.1</v>
      </c>
      <c r="P19" s="144">
        <v>22627.3</v>
      </c>
      <c r="Q19" s="147">
        <v>23355.3</v>
      </c>
      <c r="R19" s="146">
        <v>24257.1</v>
      </c>
      <c r="S19" s="141">
        <v>25125.9</v>
      </c>
      <c r="T19" s="141">
        <v>25761.4</v>
      </c>
      <c r="U19" s="146">
        <v>26141</v>
      </c>
      <c r="V19" s="146">
        <v>26404</v>
      </c>
      <c r="W19" s="141">
        <v>26519.8</v>
      </c>
      <c r="X19" s="266">
        <v>27028.3</v>
      </c>
      <c r="Y19" s="141">
        <v>27369.200000000001</v>
      </c>
      <c r="Z19" s="167">
        <v>27028.3</v>
      </c>
      <c r="AB19" s="175">
        <v>27369.200000000001</v>
      </c>
      <c r="AD19" s="134">
        <v>27671.213295395799</v>
      </c>
      <c r="AF19" s="134">
        <v>27710.291861126901</v>
      </c>
      <c r="AH19" s="210">
        <v>28272.9199734748</v>
      </c>
      <c r="AI19" s="210">
        <v>28385.6699734748</v>
      </c>
      <c r="AJ19" s="252">
        <f>AH19-AI19</f>
        <v>-112.75</v>
      </c>
      <c r="AL19" s="210">
        <v>27921.803371089536</v>
      </c>
      <c r="AN19" s="134">
        <v>28041.25</v>
      </c>
      <c r="AP19" s="266">
        <v>27769.55</v>
      </c>
      <c r="AR19" s="266">
        <v>27527.8</v>
      </c>
      <c r="AT19" s="266">
        <v>27240.2</v>
      </c>
      <c r="AV19" s="266">
        <v>26890.172078</v>
      </c>
      <c r="AX19" s="134">
        <v>26427.1</v>
      </c>
    </row>
    <row r="20" spans="1:50">
      <c r="A20" s="133" t="s">
        <v>13</v>
      </c>
      <c r="B20" s="266">
        <v>15605.45</v>
      </c>
      <c r="C20" s="266">
        <v>15799.9361256545</v>
      </c>
      <c r="D20" s="266">
        <v>16028.628622836024</v>
      </c>
      <c r="E20" s="266">
        <v>16066.277715355805</v>
      </c>
      <c r="F20" s="266">
        <v>15964.113909774436</v>
      </c>
      <c r="G20" s="266">
        <v>15857.7895833333</v>
      </c>
      <c r="H20" s="266">
        <v>15776.145722543351</v>
      </c>
      <c r="I20" s="266">
        <v>15537</v>
      </c>
      <c r="J20" s="266">
        <v>15456.803535353536</v>
      </c>
      <c r="K20" s="379">
        <v>15297.8</v>
      </c>
      <c r="L20" s="291">
        <f t="shared" si="2"/>
        <v>-1.028696101298411</v>
      </c>
      <c r="M20" s="291">
        <f t="shared" si="3"/>
        <v>-1.3185225322857494</v>
      </c>
      <c r="N20" s="143">
        <v>12492</v>
      </c>
      <c r="O20" s="143">
        <v>12764.8</v>
      </c>
      <c r="P20" s="144">
        <v>13018.1</v>
      </c>
      <c r="Q20" s="147">
        <v>13427</v>
      </c>
      <c r="R20" s="146">
        <v>13718.2</v>
      </c>
      <c r="S20" s="141">
        <v>14049</v>
      </c>
      <c r="T20" s="141">
        <v>14429</v>
      </c>
      <c r="U20" s="146">
        <v>14628</v>
      </c>
      <c r="V20" s="146">
        <v>14824.7</v>
      </c>
      <c r="W20" s="141">
        <v>15060.6</v>
      </c>
      <c r="X20" s="266">
        <v>15271.1</v>
      </c>
      <c r="Y20" s="141">
        <v>15502.2</v>
      </c>
      <c r="Z20" s="167">
        <v>15271.1</v>
      </c>
      <c r="AB20" s="175">
        <v>15502.2</v>
      </c>
      <c r="AD20" s="134">
        <v>15605.45</v>
      </c>
      <c r="AF20" s="134">
        <v>15799.9361256545</v>
      </c>
      <c r="AH20" s="210">
        <v>15888.508829021601</v>
      </c>
      <c r="AI20" s="210">
        <v>16028.628622836024</v>
      </c>
      <c r="AJ20" s="252">
        <f>AH20-AI20</f>
        <v>-140.11979381442325</v>
      </c>
      <c r="AL20" s="210">
        <v>16066.277715355805</v>
      </c>
      <c r="AN20" s="134">
        <v>15964.113909774436</v>
      </c>
      <c r="AP20" s="266">
        <v>15857.789583333333</v>
      </c>
      <c r="AR20" s="266">
        <v>15776.145722543351</v>
      </c>
      <c r="AT20" s="266">
        <v>15537</v>
      </c>
      <c r="AV20" s="266">
        <v>15456.803535353536</v>
      </c>
      <c r="AX20" s="134">
        <v>15297.8</v>
      </c>
    </row>
    <row r="21" spans="1:50">
      <c r="A21" s="133" t="s">
        <v>14</v>
      </c>
      <c r="B21" s="266">
        <v>24703.7755403458</v>
      </c>
      <c r="C21" s="266">
        <v>25126.1377769836</v>
      </c>
      <c r="D21" s="266">
        <v>25695.239606397899</v>
      </c>
      <c r="E21" s="266">
        <v>26063.102823811259</v>
      </c>
      <c r="F21" s="266">
        <v>26300.750462962962</v>
      </c>
      <c r="G21" s="266">
        <v>26374.932969432313</v>
      </c>
      <c r="H21" s="266">
        <v>26438.441121495329</v>
      </c>
      <c r="I21" s="266">
        <v>26530.486194029851</v>
      </c>
      <c r="J21" s="266">
        <v>26384.644156000002</v>
      </c>
      <c r="K21" s="379">
        <v>26128.3</v>
      </c>
      <c r="L21" s="291">
        <f t="shared" si="2"/>
        <v>-0.97156571255750246</v>
      </c>
      <c r="M21" s="291">
        <f t="shared" si="3"/>
        <v>9.6975040409765487</v>
      </c>
      <c r="N21" s="143">
        <v>18271.3</v>
      </c>
      <c r="O21" s="143">
        <v>18678.400000000001</v>
      </c>
      <c r="P21" s="144">
        <v>19315.2</v>
      </c>
      <c r="Q21" s="147">
        <v>19569.900000000001</v>
      </c>
      <c r="R21" s="146">
        <v>19921.3</v>
      </c>
      <c r="S21" s="141">
        <v>19752.900000000001</v>
      </c>
      <c r="T21" s="141">
        <v>20787</v>
      </c>
      <c r="U21" s="146">
        <v>21433.1</v>
      </c>
      <c r="V21" s="146">
        <v>21916.9</v>
      </c>
      <c r="W21" s="141">
        <v>22539.4</v>
      </c>
      <c r="X21" s="266">
        <v>23133.8</v>
      </c>
      <c r="Y21" s="141">
        <v>23818.5</v>
      </c>
      <c r="Z21" s="167">
        <v>23133.8</v>
      </c>
      <c r="AB21" s="175">
        <v>23818.5</v>
      </c>
      <c r="AD21" s="134">
        <v>24703.7755403458</v>
      </c>
      <c r="AF21" s="134">
        <v>25126.1377769836</v>
      </c>
      <c r="AH21" s="210">
        <v>25965.334555246998</v>
      </c>
      <c r="AI21" s="210">
        <v>25695.239606397899</v>
      </c>
      <c r="AJ21" s="252">
        <f>AH21-AI21</f>
        <v>270.09494884909873</v>
      </c>
      <c r="AL21" s="210">
        <v>26063.102823811259</v>
      </c>
      <c r="AN21" s="134">
        <v>26300.750462962962</v>
      </c>
      <c r="AP21" s="266">
        <v>26374.932969432313</v>
      </c>
      <c r="AR21" s="266">
        <v>26438.441121495329</v>
      </c>
      <c r="AT21" s="266">
        <v>26530.486194029851</v>
      </c>
      <c r="AV21" s="266">
        <v>26384.644156000002</v>
      </c>
      <c r="AX21" s="134">
        <v>26128.3</v>
      </c>
    </row>
    <row r="22" spans="1:50">
      <c r="A22" s="133" t="s">
        <v>15</v>
      </c>
      <c r="B22" s="266">
        <v>4567.7128846153801</v>
      </c>
      <c r="C22" s="266">
        <v>4605.1499999999996</v>
      </c>
      <c r="D22" s="266">
        <v>4506.05</v>
      </c>
      <c r="E22" s="266">
        <v>4522.8999999999996</v>
      </c>
      <c r="F22" s="266">
        <v>4497.3500000000004</v>
      </c>
      <c r="G22" s="266">
        <v>4429.2</v>
      </c>
      <c r="H22" s="266">
        <v>4504.2</v>
      </c>
      <c r="I22" s="266">
        <v>4474.3500000000004</v>
      </c>
      <c r="J22" s="266">
        <v>4495.5</v>
      </c>
      <c r="K22" s="379">
        <v>4544.7</v>
      </c>
      <c r="L22" s="291">
        <f t="shared" si="2"/>
        <v>1.0944277610944237</v>
      </c>
      <c r="M22" s="291">
        <f t="shared" si="3"/>
        <v>-0.42287467134093298</v>
      </c>
      <c r="N22" s="143">
        <v>4673.8</v>
      </c>
      <c r="O22" s="143">
        <v>4759.1000000000004</v>
      </c>
      <c r="P22" s="144">
        <v>4811.6000000000004</v>
      </c>
      <c r="Q22" s="147">
        <v>4820.8999999999996</v>
      </c>
      <c r="R22" s="146">
        <v>4879.2</v>
      </c>
      <c r="S22" s="141">
        <v>4889.3999999999996</v>
      </c>
      <c r="T22" s="141">
        <v>4882.6000000000004</v>
      </c>
      <c r="U22" s="146">
        <v>4864.3999999999996</v>
      </c>
      <c r="V22" s="146">
        <v>4795.3</v>
      </c>
      <c r="W22" s="141">
        <v>4664.8999999999996</v>
      </c>
      <c r="X22" s="266">
        <v>4610.3999999999996</v>
      </c>
      <c r="Y22" s="141">
        <v>4564</v>
      </c>
      <c r="Z22" s="167">
        <v>4610.3999999999996</v>
      </c>
      <c r="AB22" s="175">
        <v>4564</v>
      </c>
      <c r="AD22" s="134">
        <v>4567.7128846153801</v>
      </c>
      <c r="AF22" s="134">
        <v>4605.1499999999996</v>
      </c>
      <c r="AH22" s="210">
        <v>4234.1499999999996</v>
      </c>
      <c r="AI22" s="210">
        <v>4506.05</v>
      </c>
      <c r="AJ22" s="252">
        <f>AH22-AI22</f>
        <v>-271.90000000000055</v>
      </c>
      <c r="AL22" s="210">
        <v>4522.8999999999996</v>
      </c>
      <c r="AN22" s="134">
        <v>4497.3500000000004</v>
      </c>
      <c r="AP22" s="266">
        <v>4429.2</v>
      </c>
      <c r="AR22" s="266">
        <v>4504.2</v>
      </c>
      <c r="AT22" s="266">
        <v>4474.3500000000004</v>
      </c>
      <c r="AV22" s="266">
        <v>4495.5</v>
      </c>
      <c r="AX22" s="134">
        <v>4544.7</v>
      </c>
    </row>
    <row r="23" spans="1:50">
      <c r="A23" s="133"/>
      <c r="B23" s="266"/>
      <c r="C23" s="266"/>
      <c r="D23" s="266"/>
      <c r="E23" s="266"/>
      <c r="F23" s="266"/>
      <c r="G23" s="266"/>
      <c r="H23" s="266"/>
      <c r="I23" s="266"/>
      <c r="J23" s="266"/>
      <c r="K23" s="379"/>
      <c r="L23" s="291"/>
      <c r="M23" s="291"/>
      <c r="N23" s="143"/>
      <c r="O23" s="143"/>
      <c r="P23" s="148"/>
      <c r="Q23" s="147"/>
      <c r="R23" s="146"/>
      <c r="S23" s="141"/>
      <c r="T23" s="141"/>
      <c r="U23" s="146"/>
      <c r="V23" s="146"/>
      <c r="W23" s="141"/>
      <c r="X23" s="266"/>
      <c r="Y23" s="141"/>
      <c r="Z23" s="167"/>
      <c r="AB23" s="175"/>
      <c r="AI23" s="210"/>
      <c r="AL23" s="210"/>
      <c r="AP23" s="266"/>
      <c r="AR23" s="266"/>
      <c r="AT23" s="266"/>
      <c r="AV23" s="266"/>
    </row>
    <row r="24" spans="1:50">
      <c r="A24" s="133" t="s">
        <v>16</v>
      </c>
      <c r="B24" s="266">
        <v>37318</v>
      </c>
      <c r="C24" s="266">
        <v>38345.719774231198</v>
      </c>
      <c r="D24" s="266">
        <v>39141.616396056648</v>
      </c>
      <c r="E24" s="266">
        <v>39635.522448979587</v>
      </c>
      <c r="F24" s="266">
        <v>39879.864490263462</v>
      </c>
      <c r="G24" s="266">
        <v>40051.699999999997</v>
      </c>
      <c r="H24" s="266">
        <v>40115.800000000003</v>
      </c>
      <c r="I24" s="266">
        <v>40058.15</v>
      </c>
      <c r="J24" s="266">
        <v>40283.122078</v>
      </c>
      <c r="K24" s="379">
        <v>40428.800000000003</v>
      </c>
      <c r="L24" s="291">
        <f t="shared" si="2"/>
        <v>0.36163513274350279</v>
      </c>
      <c r="M24" s="291">
        <f t="shared" si="3"/>
        <v>9.7305645198500859</v>
      </c>
      <c r="N24" s="143">
        <v>26689.1</v>
      </c>
      <c r="O24" s="143">
        <v>27901.5</v>
      </c>
      <c r="P24" s="144">
        <v>29027.7</v>
      </c>
      <c r="Q24" s="147">
        <v>30173</v>
      </c>
      <c r="R24" s="146">
        <v>31204.2</v>
      </c>
      <c r="S24" s="141">
        <v>32237.1</v>
      </c>
      <c r="T24" s="141">
        <v>33030.199999999997</v>
      </c>
      <c r="U24" s="146">
        <v>33776.699999999997</v>
      </c>
      <c r="V24" s="146">
        <v>34456.9</v>
      </c>
      <c r="W24" s="141">
        <v>35288.1</v>
      </c>
      <c r="X24" s="266">
        <v>36733.199999999997</v>
      </c>
      <c r="Y24" s="141">
        <v>36843.699999999997</v>
      </c>
      <c r="Z24" s="167">
        <v>36733.199999999997</v>
      </c>
      <c r="AB24" s="175">
        <v>36843.699999999997</v>
      </c>
      <c r="AD24" s="134">
        <v>37318</v>
      </c>
      <c r="AF24" s="134">
        <v>38345.719774231198</v>
      </c>
      <c r="AH24" s="210">
        <v>39061.616396056597</v>
      </c>
      <c r="AI24" s="210">
        <v>39141.616396056648</v>
      </c>
      <c r="AJ24" s="252">
        <f>AH24-AI24</f>
        <v>-80.000000000050932</v>
      </c>
      <c r="AL24" s="210">
        <v>39635.522448979587</v>
      </c>
      <c r="AN24" s="134">
        <v>39879.864490263462</v>
      </c>
      <c r="AP24" s="266">
        <v>40051.699999999997</v>
      </c>
      <c r="AR24" s="266">
        <v>40115.800000000003</v>
      </c>
      <c r="AT24" s="266">
        <v>40058.15</v>
      </c>
      <c r="AV24" s="266">
        <v>40283.122078</v>
      </c>
      <c r="AX24" s="134">
        <v>40428.800000000003</v>
      </c>
    </row>
    <row r="25" spans="1:50">
      <c r="A25" s="133" t="s">
        <v>17</v>
      </c>
      <c r="B25" s="266">
        <v>4781.7</v>
      </c>
      <c r="C25" s="266">
        <v>4727</v>
      </c>
      <c r="D25" s="266">
        <v>4651.8999999999996</v>
      </c>
      <c r="E25" s="266">
        <v>4586.7</v>
      </c>
      <c r="F25" s="266">
        <v>4494.6000000000004</v>
      </c>
      <c r="G25" s="266">
        <v>4406.1000000000004</v>
      </c>
      <c r="H25" s="266">
        <v>4299.1000000000004</v>
      </c>
      <c r="I25" s="266">
        <v>4190.3</v>
      </c>
      <c r="J25" s="266">
        <v>3777.5</v>
      </c>
      <c r="K25" s="379">
        <v>3649.9</v>
      </c>
      <c r="L25" s="291">
        <f t="shared" si="2"/>
        <v>-3.3778954334877542</v>
      </c>
      <c r="M25" s="291">
        <f t="shared" si="3"/>
        <v>-23.19557257691174</v>
      </c>
      <c r="N25" s="143">
        <v>5060.8999999999996</v>
      </c>
      <c r="O25" s="143">
        <v>5047.8</v>
      </c>
      <c r="P25" s="144">
        <v>5070.8</v>
      </c>
      <c r="Q25" s="147">
        <v>5057.6000000000004</v>
      </c>
      <c r="R25" s="146">
        <v>5107.3999999999996</v>
      </c>
      <c r="S25" s="141">
        <v>5090.8</v>
      </c>
      <c r="T25" s="141">
        <v>5056.8999999999996</v>
      </c>
      <c r="U25" s="146">
        <v>5104.7</v>
      </c>
      <c r="V25" s="146">
        <v>5065.6000000000004</v>
      </c>
      <c r="W25" s="141">
        <v>4973.5</v>
      </c>
      <c r="X25" s="266">
        <v>4897.8</v>
      </c>
      <c r="Y25" s="141">
        <v>4752.2</v>
      </c>
      <c r="Z25" s="167">
        <v>4897.8</v>
      </c>
      <c r="AB25" s="175">
        <v>4752.2</v>
      </c>
      <c r="AD25" s="134">
        <v>4781.7</v>
      </c>
      <c r="AF25" s="134">
        <v>4727</v>
      </c>
      <c r="AH25" s="210">
        <v>4651.8999999999996</v>
      </c>
      <c r="AI25" s="210">
        <v>4651.8999999999996</v>
      </c>
      <c r="AJ25" s="252">
        <f>AH25-AI25</f>
        <v>0</v>
      </c>
      <c r="AL25" s="210">
        <v>4586.7</v>
      </c>
      <c r="AN25" s="134">
        <v>4494.6000000000004</v>
      </c>
      <c r="AP25" s="266">
        <v>4406.1000000000004</v>
      </c>
      <c r="AR25" s="266">
        <v>4299.1000000000004</v>
      </c>
      <c r="AT25" s="266">
        <v>4190.3</v>
      </c>
      <c r="AV25" s="266">
        <v>3777.5</v>
      </c>
      <c r="AX25" s="134">
        <v>3649.9</v>
      </c>
    </row>
    <row r="26" spans="1:50">
      <c r="A26" s="133" t="s">
        <v>18</v>
      </c>
      <c r="B26" s="266">
        <v>40023.599999999999</v>
      </c>
      <c r="C26" s="266">
        <v>38908.531099397602</v>
      </c>
      <c r="D26" s="266">
        <v>39555.297602826038</v>
      </c>
      <c r="E26" s="266">
        <v>38901.833037694014</v>
      </c>
      <c r="F26" s="266">
        <v>38941.5</v>
      </c>
      <c r="G26" s="266">
        <v>38544.1</v>
      </c>
      <c r="H26" s="266">
        <v>38564.199999999997</v>
      </c>
      <c r="I26" s="266">
        <v>37287.449999999997</v>
      </c>
      <c r="J26" s="266">
        <v>37523.766233999995</v>
      </c>
      <c r="K26" s="379">
        <v>37280.199999999997</v>
      </c>
      <c r="L26" s="291">
        <f t="shared" si="2"/>
        <v>-0.64909858056653325</v>
      </c>
      <c r="M26" s="291">
        <f t="shared" si="3"/>
        <v>-7.1703544340360397</v>
      </c>
      <c r="N26" s="143">
        <v>30999.9</v>
      </c>
      <c r="O26" s="143">
        <v>31830.2</v>
      </c>
      <c r="P26" s="144">
        <v>32926.1</v>
      </c>
      <c r="Q26" s="147">
        <v>33858.300000000003</v>
      </c>
      <c r="R26" s="146">
        <v>35566.9</v>
      </c>
      <c r="S26" s="141">
        <v>35747.5</v>
      </c>
      <c r="T26" s="141">
        <v>36291.9</v>
      </c>
      <c r="U26" s="146">
        <v>37033.4</v>
      </c>
      <c r="V26" s="146">
        <v>37346.300000000003</v>
      </c>
      <c r="W26" s="141">
        <v>37573.300000000003</v>
      </c>
      <c r="X26" s="266">
        <v>37997.75</v>
      </c>
      <c r="Y26" s="141">
        <v>40159.800000000003</v>
      </c>
      <c r="Z26" s="167">
        <v>37997.75</v>
      </c>
      <c r="AB26" s="175">
        <v>40159.800000000003</v>
      </c>
      <c r="AD26" s="134">
        <v>40023.599999999999</v>
      </c>
      <c r="AF26" s="134">
        <v>38908.531099397602</v>
      </c>
      <c r="AH26" s="210">
        <v>39555.297602826002</v>
      </c>
      <c r="AI26" s="210">
        <v>39555.297602826038</v>
      </c>
      <c r="AJ26" s="252">
        <f>AH26-AI26</f>
        <v>0</v>
      </c>
      <c r="AL26" s="210">
        <v>38901.833037694014</v>
      </c>
      <c r="AN26" s="134">
        <v>38941.5</v>
      </c>
      <c r="AP26" s="266">
        <v>38544.1</v>
      </c>
      <c r="AR26" s="266">
        <v>38564.199999999997</v>
      </c>
      <c r="AT26" s="266">
        <v>37287.449999999997</v>
      </c>
      <c r="AV26" s="266">
        <v>37523.766233999995</v>
      </c>
      <c r="AX26" s="134">
        <v>37280.199999999997</v>
      </c>
    </row>
    <row r="27" spans="1:50">
      <c r="A27" s="133" t="s">
        <v>19</v>
      </c>
      <c r="B27" s="266">
        <v>46203.810688262798</v>
      </c>
      <c r="C27" s="266">
        <v>46792.429004165097</v>
      </c>
      <c r="D27" s="266">
        <v>47642.330572130566</v>
      </c>
      <c r="E27" s="266">
        <v>48749.79559529465</v>
      </c>
      <c r="F27" s="266">
        <v>49693.9</v>
      </c>
      <c r="G27" s="266">
        <v>49455.450000000004</v>
      </c>
      <c r="H27" s="266">
        <v>50230.5</v>
      </c>
      <c r="I27" s="266">
        <v>50583.25</v>
      </c>
      <c r="J27" s="266">
        <v>51157.488963999996</v>
      </c>
      <c r="K27" s="379">
        <v>51663</v>
      </c>
      <c r="L27" s="291">
        <f t="shared" si="2"/>
        <v>0.98814669413453105</v>
      </c>
      <c r="M27" s="291">
        <f t="shared" si="3"/>
        <v>9.2746958951396135</v>
      </c>
      <c r="N27" s="143">
        <v>30317.7</v>
      </c>
      <c r="O27" s="143">
        <v>31689.3</v>
      </c>
      <c r="P27" s="144">
        <v>33083.199999999997</v>
      </c>
      <c r="Q27" s="147">
        <v>34776.300000000003</v>
      </c>
      <c r="R27" s="146">
        <v>36124.199999999997</v>
      </c>
      <c r="S27" s="141">
        <v>37461.5</v>
      </c>
      <c r="T27" s="141">
        <v>38788.699999999997</v>
      </c>
      <c r="U27" s="146">
        <v>40212.1</v>
      </c>
      <c r="V27" s="146">
        <v>41980.1</v>
      </c>
      <c r="W27" s="141">
        <v>43335.7</v>
      </c>
      <c r="X27" s="266">
        <v>44438.25</v>
      </c>
      <c r="Y27" s="141">
        <v>47278.1</v>
      </c>
      <c r="Z27" s="167">
        <v>44438.25</v>
      </c>
      <c r="AB27" s="175">
        <v>47278.1</v>
      </c>
      <c r="AD27" s="134">
        <v>46203.810688262798</v>
      </c>
      <c r="AF27" s="134">
        <v>46792.429004165097</v>
      </c>
      <c r="AH27" s="210">
        <v>47642.330572130602</v>
      </c>
      <c r="AI27" s="210">
        <v>47642.330572130566</v>
      </c>
      <c r="AJ27" s="252">
        <f>AH27-AI27</f>
        <v>0</v>
      </c>
      <c r="AL27" s="210">
        <v>48749.79559529465</v>
      </c>
      <c r="AN27" s="134">
        <v>49693.9</v>
      </c>
      <c r="AP27" s="266">
        <v>49455.450000000004</v>
      </c>
      <c r="AR27" s="266">
        <v>50230.5</v>
      </c>
      <c r="AT27" s="266">
        <v>50583.25</v>
      </c>
      <c r="AV27" s="266">
        <v>51157.488963999996</v>
      </c>
      <c r="AX27" s="404">
        <v>51663</v>
      </c>
    </row>
    <row r="28" spans="1:50">
      <c r="A28" s="133" t="s">
        <v>20</v>
      </c>
      <c r="B28" s="266">
        <v>2471.7419354838698</v>
      </c>
      <c r="C28" s="266">
        <v>2430.7172782542598</v>
      </c>
      <c r="D28" s="266">
        <v>2383.3346153846155</v>
      </c>
      <c r="E28" s="266">
        <v>2280.1507692307696</v>
      </c>
      <c r="F28" s="266">
        <v>2217.4411764705883</v>
      </c>
      <c r="G28" s="266">
        <v>2134.3746376811596</v>
      </c>
      <c r="H28" s="266">
        <v>2138.2491935483868</v>
      </c>
      <c r="I28" s="266">
        <v>2122.8581081081079</v>
      </c>
      <c r="J28" s="266">
        <v>2121.0245370163934</v>
      </c>
      <c r="K28" s="379">
        <v>2126.4</v>
      </c>
      <c r="L28" s="291">
        <f t="shared" si="2"/>
        <v>0.25343709560136596</v>
      </c>
      <c r="M28" s="291">
        <f t="shared" si="3"/>
        <v>-16.177861873226114</v>
      </c>
      <c r="N28" s="143">
        <v>2438.3000000000002</v>
      </c>
      <c r="O28" s="143">
        <v>2461.3000000000002</v>
      </c>
      <c r="P28" s="144">
        <v>2534.8000000000002</v>
      </c>
      <c r="Q28" s="147">
        <v>2603.4</v>
      </c>
      <c r="R28" s="146">
        <v>2651.4</v>
      </c>
      <c r="S28" s="141">
        <v>2717.7</v>
      </c>
      <c r="T28" s="141">
        <v>2693.9</v>
      </c>
      <c r="U28" s="146">
        <v>2670.3</v>
      </c>
      <c r="V28" s="146">
        <v>2703.1</v>
      </c>
      <c r="W28" s="141">
        <v>2588.6</v>
      </c>
      <c r="X28" s="266">
        <v>2603.6</v>
      </c>
      <c r="Y28" s="141">
        <v>2536.8000000000002</v>
      </c>
      <c r="Z28" s="167">
        <v>2603.6</v>
      </c>
      <c r="AB28" s="175">
        <v>2536.8000000000002</v>
      </c>
      <c r="AD28" s="134">
        <v>2471.7419354838698</v>
      </c>
      <c r="AF28" s="134">
        <v>2430.7172782542598</v>
      </c>
      <c r="AH28" s="210">
        <v>2383.3346153846201</v>
      </c>
      <c r="AI28" s="210">
        <v>2383.3346153846155</v>
      </c>
      <c r="AJ28" s="252">
        <f>AH28-AI28</f>
        <v>4.5474735088646412E-12</v>
      </c>
      <c r="AL28" s="210">
        <v>2280.1507692307696</v>
      </c>
      <c r="AN28" s="134">
        <v>2217.4411764705883</v>
      </c>
      <c r="AP28" s="266">
        <v>2134.3746376811596</v>
      </c>
      <c r="AR28" s="266">
        <v>2138.2491935483868</v>
      </c>
      <c r="AT28" s="266">
        <v>2122.8581081081079</v>
      </c>
      <c r="AV28" s="266">
        <v>2121.0245370163934</v>
      </c>
      <c r="AX28" s="134">
        <v>2126.4</v>
      </c>
    </row>
    <row r="29" spans="1:50">
      <c r="A29" s="133"/>
      <c r="B29" s="266"/>
      <c r="C29" s="266"/>
      <c r="D29" s="266"/>
      <c r="E29" s="266"/>
      <c r="F29" s="266"/>
      <c r="G29" s="266"/>
      <c r="H29" s="266"/>
      <c r="I29" s="266"/>
      <c r="J29" s="266"/>
      <c r="K29" s="379"/>
      <c r="L29" s="291"/>
      <c r="M29" s="291"/>
      <c r="N29" s="143"/>
      <c r="O29" s="143"/>
      <c r="P29" s="148"/>
      <c r="Q29" s="137"/>
      <c r="R29" s="146"/>
      <c r="S29" s="141"/>
      <c r="T29" s="141"/>
      <c r="U29" s="146"/>
      <c r="V29" s="146"/>
      <c r="W29" s="141"/>
      <c r="X29" s="266"/>
      <c r="Y29" s="141"/>
      <c r="Z29" s="167"/>
      <c r="AB29" s="175"/>
      <c r="AI29" s="210"/>
      <c r="AL29" s="210"/>
      <c r="AP29" s="266"/>
      <c r="AR29" s="266"/>
      <c r="AT29" s="266"/>
      <c r="AV29" s="266"/>
    </row>
    <row r="30" spans="1:50">
      <c r="A30" s="133" t="s">
        <v>21</v>
      </c>
      <c r="B30" s="266">
        <v>135460.44043292501</v>
      </c>
      <c r="C30" s="266">
        <v>136302.78110899299</v>
      </c>
      <c r="D30" s="266">
        <v>136684.87524053099</v>
      </c>
      <c r="E30" s="266">
        <v>136227.32912124216</v>
      </c>
      <c r="F30" s="266">
        <v>136631.46331254105</v>
      </c>
      <c r="G30" s="266">
        <v>138439.58645405745</v>
      </c>
      <c r="H30" s="266">
        <v>140579.19743140688</v>
      </c>
      <c r="I30" s="266">
        <v>142656.88095917786</v>
      </c>
      <c r="J30" s="266">
        <v>145336.25397232533</v>
      </c>
      <c r="K30" s="379">
        <v>147377.70000000001</v>
      </c>
      <c r="L30" s="291">
        <f t="shared" si="2"/>
        <v>1.4046364701703484</v>
      </c>
      <c r="M30" s="291">
        <f t="shared" si="3"/>
        <v>8.9400539460524868</v>
      </c>
      <c r="N30" s="143">
        <v>103486.9</v>
      </c>
      <c r="O30" s="143">
        <v>104754.2</v>
      </c>
      <c r="P30" s="144">
        <v>108223.2</v>
      </c>
      <c r="Q30" s="147">
        <v>111424.8</v>
      </c>
      <c r="R30" s="146">
        <v>114453.2</v>
      </c>
      <c r="S30" s="141">
        <v>117250.6</v>
      </c>
      <c r="T30" s="141">
        <v>119843.4</v>
      </c>
      <c r="U30" s="146">
        <v>123025.60000000001</v>
      </c>
      <c r="V30" s="146">
        <v>126002.2</v>
      </c>
      <c r="W30" s="141">
        <v>129156.8</v>
      </c>
      <c r="X30" s="266">
        <v>132649.70000000001</v>
      </c>
      <c r="Y30" s="141">
        <v>135283.29999999999</v>
      </c>
      <c r="Z30" s="167">
        <v>132649.70000000001</v>
      </c>
      <c r="AB30" s="175">
        <v>135283.29999999999</v>
      </c>
      <c r="AD30" s="134">
        <v>135460.44043292501</v>
      </c>
      <c r="AF30" s="134">
        <v>136302.78110899299</v>
      </c>
      <c r="AH30" s="210">
        <v>135707.54633687701</v>
      </c>
      <c r="AI30" s="210">
        <v>136684.87524053099</v>
      </c>
      <c r="AJ30" s="252">
        <f>AH30-AI30</f>
        <v>-977.32890365397907</v>
      </c>
      <c r="AL30" s="210">
        <v>136227.32912124216</v>
      </c>
      <c r="AN30" s="134">
        <v>136631.46331254105</v>
      </c>
      <c r="AP30" s="266">
        <v>138439.58645405745</v>
      </c>
      <c r="AR30" s="266">
        <v>140579.19743140688</v>
      </c>
      <c r="AT30" s="266">
        <v>142656.88095917786</v>
      </c>
      <c r="AV30" s="266">
        <v>145336.25397232533</v>
      </c>
      <c r="AX30" s="134">
        <v>147377.70000000001</v>
      </c>
    </row>
    <row r="31" spans="1:50">
      <c r="A31" s="133" t="s">
        <v>22</v>
      </c>
      <c r="B31" s="266">
        <v>134731.186212206</v>
      </c>
      <c r="C31" s="266">
        <v>132379.765304317</v>
      </c>
      <c r="D31" s="266">
        <v>131493.36262667205</v>
      </c>
      <c r="E31" s="266">
        <v>128731.39305802777</v>
      </c>
      <c r="F31" s="266">
        <v>128679.8288554217</v>
      </c>
      <c r="G31" s="266">
        <v>127546.21064124783</v>
      </c>
      <c r="H31" s="266">
        <v>126109.17809089427</v>
      </c>
      <c r="I31" s="266">
        <v>125625.69073785802</v>
      </c>
      <c r="J31" s="266">
        <v>121659.43370957053</v>
      </c>
      <c r="K31" s="379">
        <v>121807.7</v>
      </c>
      <c r="L31" s="291">
        <f t="shared" si="2"/>
        <v>0.12186994950462822</v>
      </c>
      <c r="M31" s="291">
        <f t="shared" si="3"/>
        <v>-9.399403620968334</v>
      </c>
      <c r="N31" s="143">
        <v>107289.9</v>
      </c>
      <c r="O31" s="143">
        <v>108783.7</v>
      </c>
      <c r="P31" s="144">
        <v>111497.8</v>
      </c>
      <c r="Q31" s="147">
        <v>113702.3</v>
      </c>
      <c r="R31" s="146">
        <v>117323.1</v>
      </c>
      <c r="S31" s="141">
        <v>120682.3</v>
      </c>
      <c r="T31" s="141">
        <v>123994.2</v>
      </c>
      <c r="U31" s="146">
        <v>125693.9</v>
      </c>
      <c r="V31" s="146">
        <v>127133.7</v>
      </c>
      <c r="W31" s="141">
        <v>131775</v>
      </c>
      <c r="X31" s="266">
        <v>132820.6</v>
      </c>
      <c r="Y31" s="141">
        <v>134444.70000000001</v>
      </c>
      <c r="Z31" s="167">
        <v>132820.6</v>
      </c>
      <c r="AB31" s="175">
        <v>134444.70000000001</v>
      </c>
      <c r="AD31" s="134">
        <v>134731.186212206</v>
      </c>
      <c r="AF31" s="134">
        <v>132379.765304317</v>
      </c>
      <c r="AH31" s="210">
        <v>133631.712626672</v>
      </c>
      <c r="AI31" s="210">
        <v>131493.36262667205</v>
      </c>
      <c r="AJ31" s="252">
        <f>AH31-AI31</f>
        <v>2138.3499999999476</v>
      </c>
      <c r="AL31" s="210">
        <v>128731.39305802777</v>
      </c>
      <c r="AN31" s="134">
        <v>128679.8288554217</v>
      </c>
      <c r="AP31" s="266">
        <v>127546.21064124783</v>
      </c>
      <c r="AR31" s="266">
        <v>126109.17809089427</v>
      </c>
      <c r="AT31" s="266">
        <v>125625.69073785802</v>
      </c>
      <c r="AV31" s="266">
        <v>121659.43370957053</v>
      </c>
      <c r="AX31" s="134">
        <v>121807.7</v>
      </c>
    </row>
    <row r="32" spans="1:50">
      <c r="A32" s="133" t="s">
        <v>23</v>
      </c>
      <c r="B32" s="266">
        <v>7199.6930769230803</v>
      </c>
      <c r="C32" s="266">
        <v>7343.6292322834597</v>
      </c>
      <c r="D32" s="266">
        <v>7491.8585858585857</v>
      </c>
      <c r="E32" s="266">
        <v>7593.65</v>
      </c>
      <c r="F32" s="266">
        <v>7621.4</v>
      </c>
      <c r="G32" s="266">
        <v>7629.5999999999995</v>
      </c>
      <c r="H32" s="266">
        <v>7620.650889679715</v>
      </c>
      <c r="I32" s="266">
        <v>7607.0111111111109</v>
      </c>
      <c r="J32" s="266">
        <v>7621.272078</v>
      </c>
      <c r="K32" s="379">
        <v>7614.6</v>
      </c>
      <c r="L32" s="291">
        <f t="shared" si="2"/>
        <v>-8.7545463955546257E-2</v>
      </c>
      <c r="M32" s="291">
        <f t="shared" si="3"/>
        <v>6.5008811435284919</v>
      </c>
      <c r="N32" s="143">
        <v>5235.8</v>
      </c>
      <c r="O32" s="143">
        <v>5433.9</v>
      </c>
      <c r="P32" s="144">
        <v>5521.6</v>
      </c>
      <c r="Q32" s="147">
        <v>5673.5</v>
      </c>
      <c r="R32" s="146">
        <v>5911.3</v>
      </c>
      <c r="S32" s="141">
        <v>6024.1</v>
      </c>
      <c r="T32" s="141">
        <v>6220.1</v>
      </c>
      <c r="U32" s="146">
        <v>6490.2</v>
      </c>
      <c r="V32" s="146">
        <v>6662.9</v>
      </c>
      <c r="W32" s="141">
        <v>6826.4</v>
      </c>
      <c r="X32" s="266">
        <v>6899.9</v>
      </c>
      <c r="Y32" s="141">
        <v>7149.8</v>
      </c>
      <c r="Z32" s="167">
        <v>6899.9</v>
      </c>
      <c r="AB32" s="175">
        <v>7149.8</v>
      </c>
      <c r="AD32" s="134">
        <v>7199.6930769230803</v>
      </c>
      <c r="AF32" s="134">
        <v>7343.6292322834597</v>
      </c>
      <c r="AH32" s="210">
        <v>7491.8585858585902</v>
      </c>
      <c r="AI32" s="210">
        <v>7491.8585858585857</v>
      </c>
      <c r="AJ32" s="252">
        <f>AH32-AI32</f>
        <v>0</v>
      </c>
      <c r="AL32" s="210">
        <v>7593.65</v>
      </c>
      <c r="AN32" s="134">
        <v>7621.4</v>
      </c>
      <c r="AP32" s="266">
        <v>7629.5999999999995</v>
      </c>
      <c r="AR32" s="266">
        <v>7620.650889679715</v>
      </c>
      <c r="AT32" s="266">
        <v>7607.0111111111109</v>
      </c>
      <c r="AV32" s="266">
        <v>7621.272078</v>
      </c>
      <c r="AX32" s="134">
        <v>7614.6</v>
      </c>
    </row>
    <row r="33" spans="1:50">
      <c r="A33" s="133" t="s">
        <v>24</v>
      </c>
      <c r="B33" s="266">
        <v>15522.607142857099</v>
      </c>
      <c r="C33" s="266">
        <v>15355.7982126058</v>
      </c>
      <c r="D33" s="266">
        <v>16026.227586206895</v>
      </c>
      <c r="E33" s="266">
        <v>16192.25</v>
      </c>
      <c r="F33" s="266">
        <v>16396.849999999999</v>
      </c>
      <c r="G33" s="266">
        <v>16721.400000000001</v>
      </c>
      <c r="H33" s="266">
        <v>16661.95</v>
      </c>
      <c r="I33" s="266">
        <v>17162.599999999999</v>
      </c>
      <c r="J33" s="266">
        <v>17023.744156000001</v>
      </c>
      <c r="K33" s="379">
        <v>17022.2</v>
      </c>
      <c r="L33" s="291">
        <f t="shared" si="2"/>
        <v>-9.0706015424679293E-3</v>
      </c>
      <c r="M33" s="291">
        <f t="shared" si="3"/>
        <v>12.129795531197312</v>
      </c>
      <c r="N33" s="143">
        <v>12098.5</v>
      </c>
      <c r="O33" s="143">
        <v>12022.6</v>
      </c>
      <c r="P33" s="144">
        <v>12103</v>
      </c>
      <c r="Q33" s="147">
        <v>12460.3</v>
      </c>
      <c r="R33" s="146">
        <v>12950.4</v>
      </c>
      <c r="S33" s="141">
        <v>13343.1</v>
      </c>
      <c r="T33" s="141">
        <v>13784.5</v>
      </c>
      <c r="U33" s="146">
        <v>13947.4</v>
      </c>
      <c r="V33" s="146">
        <v>14088.5</v>
      </c>
      <c r="W33" s="141">
        <v>14319.2</v>
      </c>
      <c r="X33" s="266">
        <v>14544.1</v>
      </c>
      <c r="Y33" s="141">
        <v>15180.8</v>
      </c>
      <c r="Z33" s="167">
        <v>14544.1</v>
      </c>
      <c r="AB33" s="175">
        <v>15180.8</v>
      </c>
      <c r="AD33" s="134">
        <v>15522.607142857099</v>
      </c>
      <c r="AF33" s="134">
        <v>15355.7982126058</v>
      </c>
      <c r="AH33" s="210">
        <v>16026.2275862069</v>
      </c>
      <c r="AI33" s="210">
        <v>16026.227586206895</v>
      </c>
      <c r="AJ33" s="252">
        <f>AH33-AI33</f>
        <v>0</v>
      </c>
      <c r="AL33" s="210">
        <v>16192.25</v>
      </c>
      <c r="AN33" s="134">
        <v>16396.849999999999</v>
      </c>
      <c r="AP33" s="266">
        <v>16721.400000000001</v>
      </c>
      <c r="AR33" s="266">
        <v>16661.95</v>
      </c>
      <c r="AT33" s="266">
        <v>17162.599999999999</v>
      </c>
      <c r="AV33" s="266">
        <v>17023.744156000001</v>
      </c>
      <c r="AX33" s="134">
        <v>17022.2</v>
      </c>
    </row>
    <row r="34" spans="1:50">
      <c r="A34" s="133" t="s">
        <v>25</v>
      </c>
      <c r="B34" s="266">
        <v>2814.49328358209</v>
      </c>
      <c r="C34" s="266">
        <v>2827.0985781990498</v>
      </c>
      <c r="D34" s="266">
        <v>2788.35</v>
      </c>
      <c r="E34" s="266">
        <v>2821.75</v>
      </c>
      <c r="F34" s="266">
        <v>2776.6440340909089</v>
      </c>
      <c r="G34" s="266">
        <v>2772.7000000000003</v>
      </c>
      <c r="H34" s="266">
        <v>2782.6</v>
      </c>
      <c r="I34" s="266">
        <v>2798.4500000000003</v>
      </c>
      <c r="J34" s="266">
        <v>2777.1720780000001</v>
      </c>
      <c r="K34" s="379">
        <v>2807.7</v>
      </c>
      <c r="L34" s="291">
        <f t="shared" si="2"/>
        <v>1.0992448844575975</v>
      </c>
      <c r="M34" s="291">
        <f t="shared" si="3"/>
        <v>-0.29828486204325455</v>
      </c>
      <c r="N34" s="143">
        <v>3360</v>
      </c>
      <c r="O34" s="143">
        <v>3369</v>
      </c>
      <c r="P34" s="144">
        <v>3326.6</v>
      </c>
      <c r="Q34" s="147">
        <v>3275.3</v>
      </c>
      <c r="R34" s="146">
        <v>3070</v>
      </c>
      <c r="S34" s="141">
        <v>3070.8</v>
      </c>
      <c r="T34" s="141">
        <v>2950.6</v>
      </c>
      <c r="U34" s="146">
        <v>2936.8</v>
      </c>
      <c r="V34" s="146">
        <v>2934.2</v>
      </c>
      <c r="W34" s="141">
        <v>2903.4</v>
      </c>
      <c r="X34" s="266">
        <v>2855.4</v>
      </c>
      <c r="Y34" s="141">
        <v>2816.1</v>
      </c>
      <c r="Z34" s="167">
        <v>2855.4</v>
      </c>
      <c r="AB34" s="175">
        <v>2816.1</v>
      </c>
      <c r="AD34" s="134">
        <v>2814.49328358209</v>
      </c>
      <c r="AF34" s="134">
        <v>2827.0985781990498</v>
      </c>
      <c r="AH34" s="210">
        <v>2788.35</v>
      </c>
      <c r="AI34" s="210">
        <v>2788.35</v>
      </c>
      <c r="AJ34" s="252">
        <f>AH34-AI34</f>
        <v>0</v>
      </c>
      <c r="AL34" s="210">
        <v>2821.75</v>
      </c>
      <c r="AN34" s="134">
        <v>2776.6440340909089</v>
      </c>
      <c r="AP34" s="266">
        <v>2772.7000000000003</v>
      </c>
      <c r="AR34" s="266">
        <v>2782.6</v>
      </c>
      <c r="AT34" s="266">
        <v>2798.4500000000003</v>
      </c>
      <c r="AV34" s="266">
        <v>2777.1720780000001</v>
      </c>
      <c r="AX34" s="134">
        <v>2807.7</v>
      </c>
    </row>
    <row r="35" spans="1:50">
      <c r="A35" s="133"/>
      <c r="B35" s="266"/>
      <c r="C35" s="266"/>
      <c r="D35" s="266"/>
      <c r="E35" s="266"/>
      <c r="F35" s="266"/>
      <c r="G35" s="266"/>
      <c r="H35" s="266"/>
      <c r="I35" s="266"/>
      <c r="J35" s="266"/>
      <c r="K35" s="379"/>
      <c r="L35" s="291"/>
      <c r="M35" s="291"/>
      <c r="N35" s="143"/>
      <c r="O35" s="143"/>
      <c r="P35" s="148"/>
      <c r="Q35" s="147"/>
      <c r="R35" s="146"/>
      <c r="S35" s="146"/>
      <c r="T35" s="141"/>
      <c r="U35" s="146"/>
      <c r="V35" s="146"/>
      <c r="W35" s="146"/>
      <c r="X35" s="266"/>
      <c r="Y35" s="146"/>
      <c r="Z35" s="167"/>
      <c r="AB35" s="175"/>
      <c r="AI35" s="210"/>
      <c r="AL35" s="210"/>
      <c r="AP35" s="266"/>
      <c r="AR35" s="266"/>
      <c r="AT35" s="266"/>
      <c r="AV35" s="266"/>
    </row>
    <row r="36" spans="1:50">
      <c r="A36" s="133" t="s">
        <v>26</v>
      </c>
      <c r="B36" s="266">
        <v>4359.6000000000004</v>
      </c>
      <c r="C36" s="266">
        <v>4402.25</v>
      </c>
      <c r="D36" s="266">
        <v>4347.3</v>
      </c>
      <c r="E36" s="266">
        <v>4293.7</v>
      </c>
      <c r="F36" s="266">
        <v>4309.6499999999996</v>
      </c>
      <c r="G36" s="266">
        <v>4330.3</v>
      </c>
      <c r="H36" s="266">
        <v>4376.25</v>
      </c>
      <c r="I36" s="266">
        <v>4368.5999999999995</v>
      </c>
      <c r="J36" s="266">
        <v>4402.8</v>
      </c>
      <c r="K36" s="379">
        <v>4419.6000000000004</v>
      </c>
      <c r="L36" s="291">
        <f t="shared" si="2"/>
        <v>0.38157536113382806</v>
      </c>
      <c r="M36" s="291">
        <f t="shared" si="3"/>
        <v>0.88107737959370835</v>
      </c>
      <c r="N36" s="143">
        <v>3951</v>
      </c>
      <c r="O36" s="143">
        <v>3984.3</v>
      </c>
      <c r="P36" s="144">
        <v>4030.2</v>
      </c>
      <c r="Q36" s="147">
        <v>4102.5</v>
      </c>
      <c r="R36" s="146">
        <v>4150.3999999999996</v>
      </c>
      <c r="S36" s="141">
        <v>4201.2</v>
      </c>
      <c r="T36" s="141">
        <v>4308.2</v>
      </c>
      <c r="U36" s="146">
        <v>4327</v>
      </c>
      <c r="V36" s="146">
        <v>4371.6000000000004</v>
      </c>
      <c r="W36" s="141">
        <v>4387.3</v>
      </c>
      <c r="X36" s="266">
        <v>4393.3999999999996</v>
      </c>
      <c r="Y36" s="141">
        <v>4381</v>
      </c>
      <c r="Z36" s="167">
        <v>4393.3999999999996</v>
      </c>
      <c r="AB36" s="175">
        <v>4381</v>
      </c>
      <c r="AD36" s="134">
        <v>4359.6000000000004</v>
      </c>
      <c r="AF36" s="134">
        <v>4402.25</v>
      </c>
      <c r="AH36" s="210">
        <v>4347.3</v>
      </c>
      <c r="AI36" s="210">
        <v>4347.3</v>
      </c>
      <c r="AJ36" s="252">
        <f>AH36-AI36</f>
        <v>0</v>
      </c>
      <c r="AL36" s="210">
        <v>4293.7</v>
      </c>
      <c r="AN36" s="134">
        <v>4309.6499999999996</v>
      </c>
      <c r="AP36" s="266">
        <v>4330.3</v>
      </c>
      <c r="AR36" s="266">
        <v>4376.25</v>
      </c>
      <c r="AT36" s="266">
        <v>4368.5999999999995</v>
      </c>
      <c r="AV36" s="266">
        <v>4402.8</v>
      </c>
      <c r="AX36" s="134">
        <v>4419.6000000000004</v>
      </c>
    </row>
    <row r="37" spans="1:50">
      <c r="A37" s="133" t="s">
        <v>27</v>
      </c>
      <c r="B37" s="266">
        <v>19634.1318796179</v>
      </c>
      <c r="C37" s="266">
        <v>20252.200465331302</v>
      </c>
      <c r="D37" s="266">
        <v>20726.934259259262</v>
      </c>
      <c r="E37" s="266">
        <v>21200.180538745462</v>
      </c>
      <c r="F37" s="266">
        <v>21398.512401574804</v>
      </c>
      <c r="G37" s="266">
        <v>21553.007036247334</v>
      </c>
      <c r="H37" s="266">
        <v>21728.804098360655</v>
      </c>
      <c r="I37" s="266">
        <v>21991.69739776952</v>
      </c>
      <c r="J37" s="266">
        <v>22031.121356350515</v>
      </c>
      <c r="K37" s="379">
        <v>22230.6</v>
      </c>
      <c r="L37" s="291">
        <f t="shared" si="2"/>
        <v>0.90544026526358878</v>
      </c>
      <c r="M37" s="291">
        <f t="shared" si="3"/>
        <v>16.64279305514016</v>
      </c>
      <c r="N37" s="143">
        <v>17158.2</v>
      </c>
      <c r="O37" s="143">
        <v>17679</v>
      </c>
      <c r="P37" s="144">
        <v>18128.099999999999</v>
      </c>
      <c r="Q37" s="147">
        <v>18474.400000000001</v>
      </c>
      <c r="R37" s="146">
        <v>18644.8</v>
      </c>
      <c r="S37" s="141">
        <v>18751.2</v>
      </c>
      <c r="T37" s="141">
        <v>18885.900000000001</v>
      </c>
      <c r="U37" s="146">
        <v>18991.400000000001</v>
      </c>
      <c r="V37" s="146">
        <v>19007.7</v>
      </c>
      <c r="W37" s="141">
        <v>18920.8</v>
      </c>
      <c r="X37" s="266">
        <v>18883</v>
      </c>
      <c r="Y37" s="141">
        <v>19058.7</v>
      </c>
      <c r="Z37" s="167">
        <v>18883</v>
      </c>
      <c r="AB37" s="175">
        <v>19058.7</v>
      </c>
      <c r="AD37" s="134">
        <v>19634.1318796179</v>
      </c>
      <c r="AF37" s="134">
        <v>20252.200465331302</v>
      </c>
      <c r="AH37" s="210">
        <v>20726.934259259298</v>
      </c>
      <c r="AI37" s="210">
        <v>20726.934259259262</v>
      </c>
      <c r="AJ37" s="252">
        <f>AH37-AI37</f>
        <v>3.637978807091713E-11</v>
      </c>
      <c r="AL37" s="210">
        <v>21200.180538745462</v>
      </c>
      <c r="AN37" s="134">
        <v>21398.512401574804</v>
      </c>
      <c r="AP37" s="266">
        <v>21553.007036247334</v>
      </c>
      <c r="AR37" s="266">
        <v>21728.804098360655</v>
      </c>
      <c r="AT37" s="266">
        <v>21991.69739776952</v>
      </c>
      <c r="AV37" s="266">
        <v>22031.121356350515</v>
      </c>
      <c r="AX37" s="134">
        <v>22230.6</v>
      </c>
    </row>
    <row r="38" spans="1:50">
      <c r="A38" s="133" t="s">
        <v>28</v>
      </c>
      <c r="B38" s="266">
        <v>14026.993898716601</v>
      </c>
      <c r="C38" s="266">
        <v>14130.9732251521</v>
      </c>
      <c r="D38" s="266">
        <v>14218.46820083682</v>
      </c>
      <c r="E38" s="266">
        <v>14187.949202733485</v>
      </c>
      <c r="F38" s="266">
        <v>14146.337991266375</v>
      </c>
      <c r="G38" s="266">
        <v>14379.909846827135</v>
      </c>
      <c r="H38" s="266">
        <v>14310.395238095238</v>
      </c>
      <c r="I38" s="266">
        <v>14052.678496503497</v>
      </c>
      <c r="J38" s="266">
        <v>14189.44600766361</v>
      </c>
      <c r="K38" s="379">
        <v>14160.4</v>
      </c>
      <c r="L38" s="291">
        <f t="shared" si="2"/>
        <v>-0.20470149185473821</v>
      </c>
      <c r="M38" s="291">
        <f t="shared" si="3"/>
        <v>4.3184865406432706</v>
      </c>
      <c r="N38" s="143">
        <v>12408.5</v>
      </c>
      <c r="O38" s="143">
        <v>12600.1</v>
      </c>
      <c r="P38" s="144">
        <v>12772.5</v>
      </c>
      <c r="Q38" s="147">
        <v>12891.9</v>
      </c>
      <c r="R38" s="146">
        <v>13091.2</v>
      </c>
      <c r="S38" s="141">
        <v>13148.7</v>
      </c>
      <c r="T38" s="141">
        <v>13414.1</v>
      </c>
      <c r="U38" s="146">
        <v>13501.5</v>
      </c>
      <c r="V38" s="146">
        <v>13635.7</v>
      </c>
      <c r="W38" s="141">
        <v>13380.4</v>
      </c>
      <c r="X38" s="266">
        <v>13397.9</v>
      </c>
      <c r="Y38" s="141">
        <v>13574.2</v>
      </c>
      <c r="Z38" s="167">
        <v>13397.9</v>
      </c>
      <c r="AB38" s="175">
        <v>13574.2</v>
      </c>
      <c r="AD38" s="134">
        <v>14026.993898716601</v>
      </c>
      <c r="AF38" s="134">
        <v>14130.9732251521</v>
      </c>
      <c r="AH38" s="210">
        <v>14218.4682008368</v>
      </c>
      <c r="AI38" s="210">
        <v>14218.46820083682</v>
      </c>
      <c r="AJ38" s="252">
        <f>AH38-AI38</f>
        <v>-2.0008883439004421E-11</v>
      </c>
      <c r="AL38" s="210">
        <v>14187.949202733485</v>
      </c>
      <c r="AN38" s="134">
        <v>14146.337991266375</v>
      </c>
      <c r="AP38" s="266">
        <v>14379.909846827135</v>
      </c>
      <c r="AR38" s="266">
        <v>14310.395238095238</v>
      </c>
      <c r="AT38" s="266">
        <v>14052.678496503497</v>
      </c>
      <c r="AV38" s="266">
        <v>14189.44600766361</v>
      </c>
      <c r="AX38" s="134">
        <v>14160.4</v>
      </c>
    </row>
    <row r="39" spans="1:50">
      <c r="A39" s="149" t="s">
        <v>29</v>
      </c>
      <c r="B39" s="269">
        <v>6479.0673803526497</v>
      </c>
      <c r="C39" s="269">
        <v>6612.84666666667</v>
      </c>
      <c r="D39" s="269">
        <v>6588.95</v>
      </c>
      <c r="E39" s="269">
        <v>6644.3606104651162</v>
      </c>
      <c r="F39" s="269">
        <v>6528.1</v>
      </c>
      <c r="G39" s="269">
        <v>6478.3</v>
      </c>
      <c r="H39" s="269">
        <v>6449.25</v>
      </c>
      <c r="I39" s="269">
        <v>6513.5005434782606</v>
      </c>
      <c r="J39" s="269">
        <v>6443.2007712082268</v>
      </c>
      <c r="K39" s="380">
        <v>6426.9</v>
      </c>
      <c r="L39" s="293">
        <f t="shared" si="2"/>
        <v>-0.2529918248251396</v>
      </c>
      <c r="M39" s="291">
        <f t="shared" si="3"/>
        <v>5.5805624917860408</v>
      </c>
      <c r="N39" s="150">
        <v>5559.3</v>
      </c>
      <c r="O39" s="150">
        <v>5689.6</v>
      </c>
      <c r="P39" s="151">
        <v>5807.9</v>
      </c>
      <c r="Q39" s="152">
        <v>6081.1</v>
      </c>
      <c r="R39" s="153">
        <v>6245.1</v>
      </c>
      <c r="S39" s="154">
        <v>6420</v>
      </c>
      <c r="T39" s="154">
        <v>6462.4</v>
      </c>
      <c r="U39" s="153">
        <v>6549.9</v>
      </c>
      <c r="V39" s="153">
        <v>6532.2</v>
      </c>
      <c r="W39" s="154">
        <v>6453.3</v>
      </c>
      <c r="X39" s="269">
        <v>6367</v>
      </c>
      <c r="Y39" s="154">
        <v>6087.2</v>
      </c>
      <c r="Z39" s="169">
        <v>6367</v>
      </c>
      <c r="AB39" s="175">
        <v>6087.2</v>
      </c>
      <c r="AD39" s="134">
        <v>6479.0673803526497</v>
      </c>
      <c r="AF39" s="134">
        <v>6612.84666666667</v>
      </c>
      <c r="AH39" s="210">
        <v>6588.95</v>
      </c>
      <c r="AI39" s="210">
        <v>6588.95</v>
      </c>
      <c r="AJ39" s="252">
        <f>AH39-AI39</f>
        <v>0</v>
      </c>
      <c r="AL39" s="210">
        <v>6644.3606104651162</v>
      </c>
      <c r="AN39" s="134">
        <v>6528.1</v>
      </c>
      <c r="AP39" s="269">
        <v>6478.3</v>
      </c>
      <c r="AR39" s="269">
        <v>6449.25</v>
      </c>
      <c r="AT39" s="269">
        <v>6513.5005434782606</v>
      </c>
      <c r="AV39" s="269">
        <v>6443.2007712082268</v>
      </c>
      <c r="AX39" s="134">
        <v>6426.9</v>
      </c>
    </row>
    <row r="40" spans="1:50">
      <c r="A40" s="171" t="s">
        <v>321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326"/>
      <c r="N40" s="137"/>
      <c r="O40" s="137"/>
      <c r="R40" s="137"/>
    </row>
    <row r="41" spans="1:50"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R41" s="137"/>
    </row>
    <row r="42" spans="1:50">
      <c r="B42" s="146"/>
      <c r="C42" s="146"/>
      <c r="D42" s="146"/>
      <c r="E42" s="177"/>
      <c r="F42" s="148"/>
      <c r="G42" s="148"/>
      <c r="H42" s="148"/>
      <c r="I42" s="148"/>
      <c r="J42" s="148"/>
      <c r="K42" s="148"/>
      <c r="L42" s="137"/>
      <c r="M42" s="137"/>
      <c r="N42" s="137"/>
      <c r="O42" s="137"/>
      <c r="R42" s="146"/>
    </row>
    <row r="43" spans="1:50"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R43" s="137"/>
    </row>
    <row r="44" spans="1:50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R44" s="137"/>
    </row>
    <row r="45" spans="1:50"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R45" s="137"/>
    </row>
    <row r="46" spans="1:50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R46" s="137"/>
    </row>
    <row r="47" spans="1:50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R47" s="137"/>
    </row>
    <row r="48" spans="1:50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R48" s="137"/>
    </row>
    <row r="49" spans="2:18"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R49" s="137"/>
    </row>
    <row r="50" spans="2:18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R50" s="137"/>
    </row>
    <row r="51" spans="2:18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R51" s="137"/>
    </row>
    <row r="52" spans="2:18"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R52" s="137"/>
    </row>
    <row r="53" spans="2:18"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R53" s="137"/>
    </row>
    <row r="54" spans="2:18"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R54" s="137"/>
    </row>
    <row r="55" spans="2:18"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R55" s="137"/>
    </row>
    <row r="56" spans="2:18"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R56" s="137"/>
    </row>
    <row r="57" spans="2:18"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R57" s="137"/>
    </row>
    <row r="58" spans="2:18"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R58" s="137"/>
    </row>
    <row r="59" spans="2:18"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R59" s="137"/>
    </row>
    <row r="60" spans="2:18"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R60" s="137"/>
    </row>
    <row r="61" spans="2:18"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R61" s="137"/>
    </row>
    <row r="62" spans="2:18"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R62" s="137"/>
    </row>
    <row r="63" spans="2:18"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R63" s="137"/>
    </row>
    <row r="64" spans="2:18"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R64" s="137"/>
    </row>
    <row r="65" spans="2:18"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R65" s="137"/>
    </row>
    <row r="66" spans="2:18"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R66" s="137"/>
    </row>
    <row r="67" spans="2:18"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R67" s="137"/>
    </row>
    <row r="68" spans="2:18"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R68" s="137"/>
    </row>
    <row r="69" spans="2:18"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R69" s="137"/>
    </row>
    <row r="70" spans="2:18"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R70" s="137"/>
    </row>
    <row r="71" spans="2:18"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R71" s="137"/>
    </row>
    <row r="72" spans="2:18"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R72" s="137"/>
    </row>
    <row r="73" spans="2:18"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R73" s="137"/>
    </row>
    <row r="74" spans="2:18"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R74" s="137"/>
    </row>
    <row r="75" spans="2:18"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R75" s="137"/>
    </row>
    <row r="76" spans="2:18"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R76" s="137"/>
    </row>
    <row r="77" spans="2:18"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R77" s="137"/>
    </row>
    <row r="78" spans="2:18"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R78" s="137"/>
    </row>
    <row r="79" spans="2:18"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R79" s="137"/>
    </row>
    <row r="80" spans="2:18"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R80" s="137"/>
    </row>
    <row r="81" spans="2:18"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R81" s="137"/>
    </row>
    <row r="82" spans="2:18"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R82" s="137"/>
    </row>
    <row r="83" spans="2:18"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R83" s="137"/>
    </row>
    <row r="84" spans="2:18"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R84" s="137"/>
    </row>
    <row r="85" spans="2:18"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R85" s="137"/>
    </row>
    <row r="86" spans="2:18"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R86" s="137"/>
    </row>
    <row r="87" spans="2:18"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R87" s="137"/>
    </row>
    <row r="88" spans="2:18"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R88" s="137"/>
    </row>
    <row r="89" spans="2:18"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R89" s="137"/>
    </row>
    <row r="90" spans="2:18"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R90" s="137"/>
    </row>
    <row r="91" spans="2:18"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R91" s="137"/>
    </row>
    <row r="92" spans="2:18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R92" s="137"/>
    </row>
    <row r="93" spans="2:18"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R93" s="137"/>
    </row>
    <row r="94" spans="2:18"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R94" s="137"/>
    </row>
    <row r="95" spans="2:18"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R95" s="137"/>
    </row>
    <row r="96" spans="2:18"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R96" s="137"/>
    </row>
    <row r="97" spans="2:18"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R97" s="137"/>
    </row>
    <row r="98" spans="2:18"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R98" s="137"/>
    </row>
    <row r="99" spans="2:18"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R99" s="137"/>
    </row>
    <row r="100" spans="2:18"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R100" s="137"/>
    </row>
    <row r="101" spans="2:18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R101" s="137"/>
    </row>
    <row r="102" spans="2:18"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R102" s="137"/>
    </row>
    <row r="103" spans="2:18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R103" s="137"/>
    </row>
    <row r="104" spans="2:18"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R104" s="137"/>
    </row>
    <row r="105" spans="2:18"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R105" s="137"/>
    </row>
    <row r="106" spans="2:18"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R106" s="137"/>
    </row>
    <row r="107" spans="2:18"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R107" s="137"/>
    </row>
    <row r="108" spans="2:18"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R108" s="137"/>
    </row>
    <row r="109" spans="2:18"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R109" s="137"/>
    </row>
    <row r="110" spans="2:18"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R110" s="137"/>
    </row>
    <row r="111" spans="2:18"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R111" s="137"/>
    </row>
    <row r="112" spans="2:18"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R112" s="137"/>
    </row>
    <row r="113" spans="2:18"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R113" s="137"/>
    </row>
    <row r="114" spans="2:18"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R114" s="137"/>
    </row>
    <row r="115" spans="2:18"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R115" s="137"/>
    </row>
    <row r="116" spans="2:18"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R116" s="137"/>
    </row>
    <row r="117" spans="2:18"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R117" s="137"/>
    </row>
    <row r="118" spans="2:18"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R118" s="137"/>
    </row>
    <row r="119" spans="2:18"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R119" s="137"/>
    </row>
    <row r="120" spans="2:18"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R120" s="137"/>
    </row>
    <row r="121" spans="2:18"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R121" s="137"/>
    </row>
    <row r="122" spans="2:18"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R122" s="137"/>
    </row>
    <row r="123" spans="2:18"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R123" s="137"/>
    </row>
    <row r="124" spans="2:18"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R124" s="137"/>
    </row>
    <row r="125" spans="2:18"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R125" s="137"/>
    </row>
    <row r="126" spans="2:18"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R126" s="137"/>
    </row>
    <row r="127" spans="2:18"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R127" s="137"/>
    </row>
    <row r="128" spans="2:18"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R128" s="137"/>
    </row>
    <row r="129" spans="2:18"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R129" s="137"/>
    </row>
    <row r="130" spans="2:18"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R130" s="137"/>
    </row>
    <row r="131" spans="2:18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R131" s="137"/>
    </row>
    <row r="132" spans="2:18"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R132" s="137"/>
    </row>
    <row r="133" spans="2:18"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R133" s="137"/>
    </row>
    <row r="134" spans="2:18"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R134" s="137"/>
    </row>
    <row r="135" spans="2:18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R135" s="137"/>
    </row>
    <row r="136" spans="2:18"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R136" s="137"/>
    </row>
    <row r="137" spans="2:18"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R137" s="137"/>
    </row>
    <row r="138" spans="2:18"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R138" s="137"/>
    </row>
    <row r="139" spans="2:18"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R139" s="137"/>
    </row>
    <row r="140" spans="2:18"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R140" s="137"/>
    </row>
    <row r="141" spans="2:18"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R141" s="137"/>
    </row>
    <row r="142" spans="2:18"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R142" s="137"/>
    </row>
    <row r="143" spans="2:18"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R143" s="137"/>
    </row>
    <row r="144" spans="2:18"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R144" s="137"/>
    </row>
    <row r="145" spans="2:18"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R145" s="137"/>
    </row>
    <row r="146" spans="2:18"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R146" s="137"/>
    </row>
    <row r="147" spans="2:18"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R147" s="137"/>
    </row>
    <row r="148" spans="2:18"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R148" s="137"/>
    </row>
    <row r="149" spans="2:18"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R149" s="137"/>
    </row>
    <row r="150" spans="2:18"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R150" s="137"/>
    </row>
    <row r="151" spans="2:18"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R151" s="137"/>
    </row>
    <row r="152" spans="2:18"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R152" s="137"/>
    </row>
    <row r="153" spans="2:18"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R153" s="137"/>
    </row>
    <row r="154" spans="2:18"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R154" s="137"/>
    </row>
    <row r="155" spans="2:18"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R155" s="137"/>
    </row>
    <row r="156" spans="2:18"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R156" s="137"/>
    </row>
    <row r="157" spans="2:18"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R157" s="137"/>
    </row>
    <row r="158" spans="2:18"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R158" s="137"/>
    </row>
    <row r="159" spans="2:18"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R159" s="137"/>
    </row>
    <row r="160" spans="2:18"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R160" s="137"/>
    </row>
    <row r="161" spans="2:18"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R161" s="137"/>
    </row>
    <row r="162" spans="2:18"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R162" s="137"/>
    </row>
    <row r="163" spans="2:18"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R163" s="137"/>
    </row>
    <row r="164" spans="2:18"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R164" s="137"/>
    </row>
    <row r="165" spans="2:18"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R165" s="137"/>
    </row>
    <row r="166" spans="2:18"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R166" s="137"/>
    </row>
    <row r="167" spans="2:18"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R167" s="137"/>
    </row>
    <row r="168" spans="2:18"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R168" s="137"/>
    </row>
    <row r="169" spans="2:18"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R169" s="137"/>
    </row>
    <row r="170" spans="2:18"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R170" s="137"/>
    </row>
    <row r="171" spans="2:18"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R171" s="137"/>
    </row>
    <row r="172" spans="2:18"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R172" s="137"/>
    </row>
    <row r="173" spans="2:18"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R173" s="137"/>
    </row>
    <row r="174" spans="2:18"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R174" s="137"/>
    </row>
    <row r="175" spans="2:18"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R175" s="137"/>
    </row>
    <row r="176" spans="2:18"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R176" s="137"/>
    </row>
    <row r="177" spans="2:18"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R177" s="137"/>
    </row>
    <row r="178" spans="2:18"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R178" s="137"/>
    </row>
    <row r="179" spans="2:18"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R179" s="137"/>
    </row>
    <row r="180" spans="2:18"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R180" s="137"/>
    </row>
    <row r="181" spans="2:18"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R181" s="137"/>
    </row>
    <row r="182" spans="2:18"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R182" s="137"/>
    </row>
    <row r="183" spans="2:18"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R183" s="137"/>
    </row>
    <row r="184" spans="2:18"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R184" s="137"/>
    </row>
    <row r="185" spans="2:18"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R185" s="137"/>
    </row>
    <row r="186" spans="2:18"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R186" s="137"/>
    </row>
    <row r="187" spans="2:18"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R187" s="137"/>
    </row>
    <row r="188" spans="2:18"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R188" s="137"/>
    </row>
    <row r="189" spans="2:18"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R189" s="137"/>
    </row>
    <row r="190" spans="2:18"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R190" s="137"/>
    </row>
    <row r="191" spans="2:18"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R191" s="137"/>
    </row>
    <row r="192" spans="2:18"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R192" s="137"/>
    </row>
    <row r="193" spans="2:18"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R193" s="137"/>
    </row>
    <row r="194" spans="2:18"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R194" s="137"/>
    </row>
    <row r="195" spans="2:18"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R195" s="137"/>
    </row>
    <row r="196" spans="2:18"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R196" s="137"/>
    </row>
    <row r="197" spans="2:18"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R197" s="137"/>
    </row>
    <row r="198" spans="2:18"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R198" s="137"/>
    </row>
    <row r="199" spans="2:18"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R199" s="137"/>
    </row>
    <row r="200" spans="2:18"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R200" s="137"/>
    </row>
    <row r="201" spans="2:18"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R201" s="137"/>
    </row>
    <row r="202" spans="2:18"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R202" s="137"/>
    </row>
    <row r="203" spans="2:18"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R203" s="137"/>
    </row>
    <row r="204" spans="2:18"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R204" s="137"/>
    </row>
    <row r="205" spans="2:18"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R205" s="137"/>
    </row>
    <row r="206" spans="2:18"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R206" s="137"/>
    </row>
    <row r="207" spans="2:18"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R207" s="137"/>
    </row>
    <row r="208" spans="2:18"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R208" s="137"/>
    </row>
    <row r="209" spans="2:18"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R209" s="137"/>
    </row>
    <row r="210" spans="2:18"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R210" s="137"/>
    </row>
    <row r="211" spans="2:18"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R211" s="137"/>
    </row>
    <row r="212" spans="2:18"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R212" s="137"/>
    </row>
    <row r="213" spans="2:18"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R213" s="137"/>
    </row>
    <row r="214" spans="2:18"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R214" s="137"/>
    </row>
    <row r="215" spans="2:18"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R215" s="137"/>
    </row>
    <row r="216" spans="2:18"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R216" s="137"/>
    </row>
    <row r="217" spans="2:18"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R217" s="137"/>
    </row>
    <row r="218" spans="2:18"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R218" s="137"/>
    </row>
    <row r="219" spans="2:18"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R219" s="137"/>
    </row>
    <row r="220" spans="2:18"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R220" s="137"/>
    </row>
    <row r="221" spans="2:18"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R221" s="137"/>
    </row>
    <row r="222" spans="2:18"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R222" s="137"/>
    </row>
    <row r="223" spans="2:18"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R223" s="137"/>
    </row>
    <row r="224" spans="2:18"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R224" s="137"/>
    </row>
    <row r="225" spans="2:18"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R225" s="137"/>
    </row>
    <row r="226" spans="2:18"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R226" s="137"/>
    </row>
    <row r="227" spans="2:18"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R227" s="137"/>
    </row>
    <row r="228" spans="2:18"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R228" s="137"/>
    </row>
    <row r="229" spans="2:18"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R229" s="137"/>
    </row>
    <row r="230" spans="2:18"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R230" s="137"/>
    </row>
    <row r="231" spans="2:18"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R231" s="137"/>
    </row>
    <row r="232" spans="2:18"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R232" s="137"/>
    </row>
    <row r="233" spans="2:18"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R233" s="137"/>
    </row>
    <row r="234" spans="2:18"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R234" s="137"/>
    </row>
    <row r="235" spans="2:18"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R235" s="137"/>
    </row>
    <row r="236" spans="2:18"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R236" s="137"/>
    </row>
    <row r="237" spans="2:18"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R237" s="137"/>
    </row>
    <row r="238" spans="2:18"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R238" s="137"/>
    </row>
    <row r="239" spans="2:18"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R239" s="137"/>
    </row>
    <row r="240" spans="2:18"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R240" s="137"/>
    </row>
    <row r="241" spans="2:18"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R241" s="137"/>
    </row>
    <row r="242" spans="2:18"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R242" s="137"/>
    </row>
    <row r="243" spans="2:18"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R243" s="137"/>
    </row>
    <row r="244" spans="2:18"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R244" s="137"/>
    </row>
    <row r="245" spans="2:18"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R245" s="137"/>
    </row>
    <row r="246" spans="2:18"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R246" s="137"/>
    </row>
    <row r="247" spans="2:18">
      <c r="B247" s="137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R247" s="137"/>
    </row>
    <row r="248" spans="2:18"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R248" s="137"/>
    </row>
    <row r="249" spans="2:18">
      <c r="B249" s="137"/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R249" s="137"/>
    </row>
    <row r="250" spans="2:18">
      <c r="B250" s="137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R250" s="137"/>
    </row>
    <row r="251" spans="2:18">
      <c r="B251" s="137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R251" s="137"/>
    </row>
    <row r="252" spans="2:18">
      <c r="B252" s="137"/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R252" s="137"/>
    </row>
    <row r="253" spans="2:18">
      <c r="B253" s="137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R253" s="137"/>
    </row>
    <row r="254" spans="2:18">
      <c r="B254" s="137"/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R254" s="137"/>
    </row>
    <row r="255" spans="2:18">
      <c r="B255" s="137"/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R255" s="137"/>
    </row>
    <row r="256" spans="2:18"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R256" s="137"/>
    </row>
    <row r="257" spans="2:18"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R257" s="137"/>
    </row>
    <row r="258" spans="2:18"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R258" s="137"/>
    </row>
    <row r="259" spans="2:18">
      <c r="B259" s="137"/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R259" s="137"/>
    </row>
    <row r="260" spans="2:18">
      <c r="B260" s="137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R260" s="137"/>
    </row>
    <row r="261" spans="2:18">
      <c r="B261" s="137"/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R261" s="137"/>
    </row>
    <row r="262" spans="2:18"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R262" s="137"/>
    </row>
    <row r="263" spans="2:18">
      <c r="B263" s="137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R263" s="137"/>
    </row>
    <row r="264" spans="2:18">
      <c r="B264" s="137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R264" s="137"/>
    </row>
    <row r="265" spans="2:18"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R265" s="137"/>
    </row>
    <row r="266" spans="2:18">
      <c r="B266" s="137"/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R266" s="137"/>
    </row>
    <row r="267" spans="2:18">
      <c r="B267" s="137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R267" s="137"/>
    </row>
    <row r="268" spans="2:18">
      <c r="B268" s="137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R268" s="137"/>
    </row>
    <row r="269" spans="2:18">
      <c r="B269" s="137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R269" s="137"/>
    </row>
    <row r="270" spans="2:18">
      <c r="B270" s="137"/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R270" s="137"/>
    </row>
    <row r="271" spans="2:18"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R271" s="137"/>
    </row>
    <row r="272" spans="2:18">
      <c r="B272" s="137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R272" s="137"/>
    </row>
    <row r="273" spans="2:18">
      <c r="B273" s="137"/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R273" s="137"/>
    </row>
    <row r="274" spans="2:18">
      <c r="B274" s="137"/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R274" s="137"/>
    </row>
    <row r="275" spans="2:18">
      <c r="B275" s="137"/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R275" s="137"/>
    </row>
    <row r="276" spans="2:18">
      <c r="B276" s="137"/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R276" s="137"/>
    </row>
    <row r="277" spans="2:18">
      <c r="B277" s="137"/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R277" s="137"/>
    </row>
    <row r="278" spans="2:18">
      <c r="B278" s="137"/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R278" s="137"/>
    </row>
    <row r="279" spans="2:18">
      <c r="B279" s="137"/>
      <c r="C279" s="137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R279" s="137"/>
    </row>
    <row r="280" spans="2:18">
      <c r="B280" s="137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R280" s="137"/>
    </row>
    <row r="281" spans="2:18">
      <c r="B281" s="137"/>
      <c r="C281" s="137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R281" s="137"/>
    </row>
    <row r="282" spans="2:18">
      <c r="B282" s="137"/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R282" s="137"/>
    </row>
    <row r="283" spans="2:18">
      <c r="B283" s="137"/>
      <c r="C283" s="137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R283" s="137"/>
    </row>
    <row r="284" spans="2:18">
      <c r="B284" s="137"/>
      <c r="C284" s="137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R284" s="137"/>
    </row>
    <row r="285" spans="2:18">
      <c r="B285" s="137"/>
      <c r="C285" s="137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R285" s="137"/>
    </row>
    <row r="286" spans="2:18">
      <c r="B286" s="137"/>
      <c r="C286" s="137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R286" s="137"/>
    </row>
    <row r="287" spans="2:18">
      <c r="B287" s="137"/>
      <c r="C287" s="137"/>
      <c r="D287" s="137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R287" s="137"/>
    </row>
    <row r="288" spans="2:18">
      <c r="B288" s="137"/>
      <c r="C288" s="137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R288" s="137"/>
    </row>
    <row r="289" spans="2:18">
      <c r="B289" s="137"/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R289" s="137"/>
    </row>
    <row r="290" spans="2:18">
      <c r="B290" s="137"/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R290" s="137"/>
    </row>
    <row r="291" spans="2:18">
      <c r="B291" s="137"/>
      <c r="C291" s="137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R291" s="137"/>
    </row>
    <row r="292" spans="2:18">
      <c r="B292" s="137"/>
      <c r="C292" s="137"/>
      <c r="D292" s="137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R292" s="137"/>
    </row>
    <row r="293" spans="2:18">
      <c r="B293" s="137"/>
      <c r="C293" s="137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R293" s="137"/>
    </row>
    <row r="294" spans="2:18">
      <c r="B294" s="137"/>
      <c r="C294" s="137"/>
      <c r="D294" s="137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R294" s="137"/>
    </row>
    <row r="295" spans="2:18">
      <c r="B295" s="137"/>
      <c r="C295" s="137"/>
      <c r="D295" s="137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R295" s="137"/>
    </row>
    <row r="296" spans="2:18">
      <c r="B296" s="137"/>
      <c r="C296" s="137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R296" s="137"/>
    </row>
    <row r="297" spans="2:18">
      <c r="B297" s="137"/>
      <c r="C297" s="137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R297" s="137"/>
    </row>
    <row r="298" spans="2:18">
      <c r="B298" s="137"/>
      <c r="C298" s="137"/>
      <c r="D298" s="137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R298" s="137"/>
    </row>
    <row r="299" spans="2:18">
      <c r="B299" s="137"/>
      <c r="C299" s="137"/>
      <c r="D299" s="137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R299" s="137"/>
    </row>
    <row r="300" spans="2:18">
      <c r="B300" s="137"/>
      <c r="C300" s="137"/>
      <c r="D300" s="137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R300" s="137"/>
    </row>
    <row r="301" spans="2:18">
      <c r="B301" s="137"/>
      <c r="C301" s="137"/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R301" s="137"/>
    </row>
    <row r="302" spans="2:18">
      <c r="B302" s="137"/>
      <c r="C302" s="137"/>
      <c r="D302" s="137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R302" s="137"/>
    </row>
    <row r="303" spans="2:18">
      <c r="B303" s="137"/>
      <c r="C303" s="137"/>
      <c r="D303" s="137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R303" s="137"/>
    </row>
    <row r="304" spans="2:18">
      <c r="B304" s="137"/>
      <c r="C304" s="137"/>
      <c r="D304" s="137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R304" s="137"/>
    </row>
    <row r="305" spans="2:18">
      <c r="B305" s="137"/>
      <c r="C305" s="137"/>
      <c r="D305" s="137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R305" s="137"/>
    </row>
    <row r="306" spans="2:18">
      <c r="B306" s="137"/>
      <c r="C306" s="137"/>
      <c r="D306" s="137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R306" s="137"/>
    </row>
    <row r="307" spans="2:18">
      <c r="B307" s="137"/>
      <c r="C307" s="137"/>
      <c r="D307" s="137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R307" s="137"/>
    </row>
    <row r="308" spans="2:18">
      <c r="B308" s="137"/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R308" s="137"/>
    </row>
    <row r="309" spans="2:18">
      <c r="B309" s="137"/>
      <c r="C309" s="137"/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R309" s="137"/>
    </row>
    <row r="310" spans="2:18">
      <c r="B310" s="137"/>
      <c r="C310" s="137"/>
      <c r="D310" s="137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R310" s="137"/>
    </row>
    <row r="311" spans="2:18">
      <c r="B311" s="137"/>
      <c r="C311" s="137"/>
      <c r="D311" s="137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R311" s="137"/>
    </row>
    <row r="312" spans="2:18">
      <c r="B312" s="137"/>
      <c r="C312" s="137"/>
      <c r="D312" s="137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R312" s="137"/>
    </row>
    <row r="313" spans="2:18">
      <c r="B313" s="137"/>
      <c r="C313" s="137"/>
      <c r="D313" s="137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R313" s="137"/>
    </row>
    <row r="314" spans="2:18">
      <c r="B314" s="137"/>
      <c r="C314" s="137"/>
      <c r="D314" s="137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R314" s="137"/>
    </row>
    <row r="315" spans="2:18">
      <c r="B315" s="137"/>
      <c r="C315" s="137"/>
      <c r="D315" s="137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R315" s="137"/>
    </row>
    <row r="316" spans="2:18">
      <c r="B316" s="137"/>
      <c r="C316" s="137"/>
      <c r="D316" s="137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R316" s="137"/>
    </row>
    <row r="317" spans="2:18">
      <c r="B317" s="137"/>
      <c r="C317" s="137"/>
      <c r="D317" s="137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R317" s="137"/>
    </row>
    <row r="318" spans="2:18">
      <c r="B318" s="137"/>
      <c r="C318" s="137"/>
      <c r="D318" s="137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R318" s="137"/>
    </row>
    <row r="319" spans="2:18">
      <c r="B319" s="137"/>
      <c r="C319" s="137"/>
      <c r="D319" s="137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R319" s="137"/>
    </row>
    <row r="320" spans="2:18">
      <c r="B320" s="137"/>
      <c r="C320" s="137"/>
      <c r="D320" s="137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R320" s="137"/>
    </row>
    <row r="321" spans="2:18">
      <c r="B321" s="137"/>
      <c r="C321" s="137"/>
      <c r="D321" s="137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R321" s="137"/>
    </row>
    <row r="322" spans="2:18">
      <c r="B322" s="137"/>
      <c r="C322" s="137"/>
      <c r="D322" s="137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R322" s="137"/>
    </row>
    <row r="323" spans="2:18">
      <c r="B323" s="137"/>
      <c r="C323" s="137"/>
      <c r="D323" s="137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R323" s="137"/>
    </row>
    <row r="324" spans="2:18">
      <c r="B324" s="137"/>
      <c r="C324" s="137"/>
      <c r="D324" s="137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R324" s="137"/>
    </row>
    <row r="325" spans="2:18">
      <c r="B325" s="137"/>
      <c r="C325" s="137"/>
      <c r="D325" s="137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R325" s="137"/>
    </row>
    <row r="326" spans="2:18">
      <c r="B326" s="137"/>
      <c r="C326" s="137"/>
      <c r="D326" s="137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R326" s="137"/>
    </row>
    <row r="327" spans="2:18">
      <c r="B327" s="137"/>
      <c r="C327" s="137"/>
      <c r="D327" s="137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R327" s="137"/>
    </row>
    <row r="328" spans="2:18">
      <c r="B328" s="137"/>
      <c r="C328" s="137"/>
      <c r="D328" s="137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R328" s="137"/>
    </row>
    <row r="329" spans="2:18">
      <c r="B329" s="137"/>
      <c r="C329" s="137"/>
      <c r="D329" s="137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R329" s="137"/>
    </row>
    <row r="330" spans="2:18">
      <c r="B330" s="137"/>
      <c r="C330" s="137"/>
      <c r="D330" s="137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R330" s="137"/>
    </row>
    <row r="331" spans="2:18">
      <c r="B331" s="137"/>
      <c r="C331" s="137"/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R331" s="137"/>
    </row>
    <row r="332" spans="2:18">
      <c r="B332" s="137"/>
      <c r="C332" s="137"/>
      <c r="D332" s="137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R332" s="137"/>
    </row>
    <row r="333" spans="2:18">
      <c r="B333" s="137"/>
      <c r="C333" s="137"/>
      <c r="D333" s="137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R333" s="137"/>
    </row>
    <row r="334" spans="2:18">
      <c r="B334" s="137"/>
      <c r="C334" s="137"/>
      <c r="D334" s="137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R334" s="137"/>
    </row>
    <row r="335" spans="2:18">
      <c r="B335" s="137"/>
      <c r="C335" s="137"/>
      <c r="D335" s="137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R335" s="137"/>
    </row>
    <row r="336" spans="2:18">
      <c r="B336" s="137"/>
      <c r="C336" s="137"/>
      <c r="D336" s="137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R336" s="137"/>
    </row>
  </sheetData>
  <sheetProtection password="CAF5" sheet="1" objects="1" scenarios="1"/>
  <mergeCells count="1">
    <mergeCell ref="A4:M4"/>
  </mergeCells>
  <phoneticPr fontId="3" type="noConversion"/>
  <pageMargins left="0.36" right="0.21" top="0.86" bottom="0.61" header="0.37" footer="0.4"/>
  <pageSetup scale="82" orientation="landscape" r:id="rId1"/>
  <headerFooter scaleWithDoc="0" alignWithMargins="0">
    <oddFooter>&amp;L&amp;"Arial,Italic"&amp;10MSDE - LFRO  12 / 2014
&amp;C&amp;"Arial,Regular"&amp;10- 19 -&amp;R&amp;"Arial,Italic"&amp;10Selected Financial Data - Part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N45"/>
  <sheetViews>
    <sheetView workbookViewId="0">
      <selection sqref="A1:M1"/>
    </sheetView>
  </sheetViews>
  <sheetFormatPr defaultColWidth="10" defaultRowHeight="12.75"/>
  <cols>
    <col min="1" max="1" width="12.875" style="1" customWidth="1"/>
    <col min="2" max="11" width="12.625" style="1" customWidth="1"/>
    <col min="12" max="12" width="8.5" style="1" customWidth="1"/>
    <col min="13" max="13" width="7.75" style="1" customWidth="1"/>
    <col min="14" max="15" width="9.5" style="1" bestFit="1" customWidth="1"/>
    <col min="16" max="18" width="10.125" style="1" customWidth="1"/>
    <col min="19" max="23" width="10.125" style="3" customWidth="1"/>
    <col min="24" max="24" width="10.125" style="1" customWidth="1"/>
    <col min="25" max="27" width="11" style="3" bestFit="1" customWidth="1"/>
    <col min="28" max="29" width="10.875" style="3" customWidth="1"/>
    <col min="30" max="30" width="12.625" style="1" customWidth="1"/>
    <col min="31" max="32" width="9.375" style="3" bestFit="1" customWidth="1"/>
    <col min="33" max="33" width="12.625" style="3" bestFit="1" customWidth="1"/>
    <col min="34" max="34" width="10.125" style="3" customWidth="1"/>
    <col min="35" max="35" width="5.625" style="3" customWidth="1"/>
    <col min="36" max="37" width="10.125" style="3" customWidth="1"/>
    <col min="38" max="38" width="7" style="3" customWidth="1"/>
    <col min="39" max="40" width="10.125" style="3" customWidth="1"/>
    <col min="41" max="41" width="3.875" style="3" customWidth="1"/>
    <col min="42" max="43" width="10.125" style="3" customWidth="1"/>
    <col min="44" max="44" width="2.625" style="3" customWidth="1"/>
    <col min="45" max="46" width="10.125" style="3" customWidth="1"/>
    <col min="47" max="47" width="3.75" style="3" customWidth="1"/>
    <col min="48" max="49" width="10.125" style="3" customWidth="1"/>
    <col min="50" max="50" width="2.5" style="3" customWidth="1"/>
    <col min="51" max="52" width="10.125" style="3" customWidth="1"/>
    <col min="53" max="53" width="10.25" style="3" bestFit="1" customWidth="1"/>
    <col min="54" max="54" width="10.125" style="3" bestFit="1" customWidth="1"/>
    <col min="55" max="55" width="10.25" style="3" bestFit="1" customWidth="1"/>
    <col min="56" max="56" width="10.125" style="3" bestFit="1" customWidth="1"/>
    <col min="57" max="57" width="2.375" style="3" customWidth="1"/>
    <col min="58" max="58" width="10.25" style="3" bestFit="1" customWidth="1"/>
    <col min="59" max="59" width="10.125" style="3" bestFit="1" customWidth="1"/>
    <col min="60" max="60" width="2.875" style="3" customWidth="1"/>
    <col min="61" max="16384" width="10" style="3"/>
  </cols>
  <sheetData>
    <row r="1" spans="1:66" s="221" customFormat="1">
      <c r="A1" s="405" t="s">
        <v>81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199"/>
      <c r="O1" s="68"/>
      <c r="P1" s="68"/>
      <c r="Q1" s="68"/>
      <c r="R1" s="68"/>
      <c r="X1" s="68"/>
    </row>
    <row r="2" spans="1:66" s="221" customForma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68"/>
      <c r="P2" s="68"/>
      <c r="Q2" s="68"/>
      <c r="R2" s="68"/>
      <c r="X2" s="68"/>
      <c r="AD2" s="199"/>
    </row>
    <row r="3" spans="1:66" s="221" customFormat="1">
      <c r="A3" s="405" t="s">
        <v>224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199"/>
      <c r="O3" s="68"/>
      <c r="P3" s="68"/>
      <c r="Q3" s="68"/>
      <c r="R3" s="68"/>
      <c r="X3" s="68"/>
    </row>
    <row r="4" spans="1:66" s="221" customFormat="1">
      <c r="A4" s="405" t="s">
        <v>367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199"/>
      <c r="O4" s="68"/>
      <c r="P4" s="68"/>
      <c r="Q4" s="68"/>
      <c r="R4" s="68"/>
      <c r="X4" s="68"/>
    </row>
    <row r="5" spans="1:66" ht="13.5" thickBo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94"/>
      <c r="X5" s="94"/>
      <c r="AD5" s="199"/>
    </row>
    <row r="6" spans="1:66" ht="13.5" thickTop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5"/>
      <c r="O6" s="5"/>
      <c r="P6" s="5"/>
      <c r="Q6" s="5"/>
      <c r="R6" s="5"/>
      <c r="T6" s="5"/>
      <c r="U6" s="5"/>
      <c r="V6" s="172"/>
      <c r="W6" s="172"/>
      <c r="X6" s="172"/>
      <c r="Y6" s="172"/>
      <c r="Z6" s="172"/>
      <c r="AA6" s="172"/>
      <c r="AB6" s="172"/>
      <c r="AC6" s="172"/>
      <c r="AD6" s="172"/>
      <c r="AE6" s="173"/>
      <c r="AF6" s="173"/>
      <c r="BF6" s="3" t="s">
        <v>112</v>
      </c>
      <c r="BI6" s="3" t="s">
        <v>112</v>
      </c>
      <c r="BK6" s="3" t="s">
        <v>112</v>
      </c>
      <c r="BM6" s="3" t="s">
        <v>112</v>
      </c>
    </row>
    <row r="7" spans="1:66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6" t="s">
        <v>34</v>
      </c>
      <c r="M7" s="6"/>
      <c r="T7" s="1"/>
      <c r="U7" s="1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BF7" s="3" t="s">
        <v>304</v>
      </c>
      <c r="BI7" s="3" t="s">
        <v>304</v>
      </c>
      <c r="BK7" s="3" t="s">
        <v>304</v>
      </c>
      <c r="BM7" s="3" t="s">
        <v>304</v>
      </c>
    </row>
    <row r="8" spans="1:66">
      <c r="A8" s="94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0" t="s">
        <v>85</v>
      </c>
      <c r="M8" s="10" t="s">
        <v>86</v>
      </c>
      <c r="T8" s="1"/>
      <c r="U8" s="1"/>
      <c r="V8" s="94"/>
      <c r="W8" s="94"/>
      <c r="X8" s="94"/>
      <c r="Y8" s="94"/>
      <c r="Z8" s="173"/>
      <c r="AA8" s="173"/>
      <c r="AB8" s="173"/>
      <c r="AC8" s="173"/>
      <c r="AD8" s="173"/>
      <c r="AE8" s="173"/>
      <c r="AF8" s="173"/>
      <c r="AK8" s="3" t="s">
        <v>209</v>
      </c>
      <c r="AN8" s="3" t="s">
        <v>209</v>
      </c>
      <c r="AQ8" s="3" t="s">
        <v>209</v>
      </c>
      <c r="AT8" s="3" t="s">
        <v>209</v>
      </c>
      <c r="AW8" s="3" t="s">
        <v>209</v>
      </c>
      <c r="AZ8" s="3" t="s">
        <v>209</v>
      </c>
      <c r="BB8" s="187" t="s">
        <v>209</v>
      </c>
      <c r="BD8" s="187" t="s">
        <v>209</v>
      </c>
      <c r="BE8" s="187"/>
      <c r="BF8" s="187" t="s">
        <v>305</v>
      </c>
      <c r="BG8" s="187" t="s">
        <v>209</v>
      </c>
      <c r="BH8" s="187"/>
      <c r="BI8" s="187" t="s">
        <v>305</v>
      </c>
      <c r="BJ8" s="187" t="s">
        <v>209</v>
      </c>
      <c r="BK8" s="187" t="s">
        <v>305</v>
      </c>
      <c r="BL8" s="187" t="s">
        <v>209</v>
      </c>
      <c r="BM8" s="187" t="s">
        <v>305</v>
      </c>
      <c r="BN8" s="187" t="s">
        <v>209</v>
      </c>
    </row>
    <row r="9" spans="1:66" ht="13.5" thickBot="1">
      <c r="A9" s="8" t="s">
        <v>1</v>
      </c>
      <c r="B9" s="397" t="s">
        <v>184</v>
      </c>
      <c r="C9" s="397" t="s">
        <v>194</v>
      </c>
      <c r="D9" s="397" t="s">
        <v>208</v>
      </c>
      <c r="E9" s="397" t="s">
        <v>243</v>
      </c>
      <c r="F9" s="397" t="s">
        <v>256</v>
      </c>
      <c r="G9" s="397" t="s">
        <v>269</v>
      </c>
      <c r="H9" s="397" t="s">
        <v>283</v>
      </c>
      <c r="I9" s="397" t="s">
        <v>303</v>
      </c>
      <c r="J9" s="397" t="s">
        <v>330</v>
      </c>
      <c r="K9" s="397" t="s">
        <v>360</v>
      </c>
      <c r="L9" s="9" t="s">
        <v>84</v>
      </c>
      <c r="M9" s="9" t="s">
        <v>84</v>
      </c>
      <c r="N9" s="10" t="s">
        <v>42</v>
      </c>
      <c r="O9" s="9" t="s">
        <v>35</v>
      </c>
      <c r="P9" s="9" t="s">
        <v>36</v>
      </c>
      <c r="Q9" s="9" t="s">
        <v>37</v>
      </c>
      <c r="R9" s="9" t="s">
        <v>38</v>
      </c>
      <c r="S9" s="9" t="s">
        <v>39</v>
      </c>
      <c r="T9" s="9" t="s">
        <v>40</v>
      </c>
      <c r="U9" s="8" t="s">
        <v>65</v>
      </c>
      <c r="V9" s="8" t="s">
        <v>66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9" t="s">
        <v>105</v>
      </c>
      <c r="AE9" s="8" t="s">
        <v>161</v>
      </c>
      <c r="AF9" s="8" t="s">
        <v>168</v>
      </c>
      <c r="AG9" s="9" t="s">
        <v>105</v>
      </c>
      <c r="AH9" s="9" t="s">
        <v>105</v>
      </c>
      <c r="AJ9" s="114" t="s">
        <v>161</v>
      </c>
      <c r="AK9" s="114" t="s">
        <v>161</v>
      </c>
      <c r="AM9" s="114" t="s">
        <v>168</v>
      </c>
      <c r="AN9" s="114" t="s">
        <v>168</v>
      </c>
      <c r="AP9" s="20" t="s">
        <v>184</v>
      </c>
      <c r="AQ9" s="20" t="s">
        <v>184</v>
      </c>
      <c r="AS9" s="3" t="s">
        <v>194</v>
      </c>
      <c r="AT9" s="3" t="s">
        <v>194</v>
      </c>
      <c r="AV9" s="3" t="s">
        <v>208</v>
      </c>
      <c r="AW9" s="3" t="s">
        <v>208</v>
      </c>
      <c r="AY9" s="20" t="s">
        <v>243</v>
      </c>
      <c r="AZ9" s="20" t="s">
        <v>243</v>
      </c>
      <c r="BA9" s="20" t="s">
        <v>256</v>
      </c>
      <c r="BB9" s="20" t="s">
        <v>256</v>
      </c>
      <c r="BC9" s="20" t="s">
        <v>269</v>
      </c>
      <c r="BD9" s="20" t="s">
        <v>269</v>
      </c>
      <c r="BE9" s="329"/>
      <c r="BF9" s="3" t="s">
        <v>283</v>
      </c>
      <c r="BG9" s="20" t="s">
        <v>283</v>
      </c>
      <c r="BH9" s="329"/>
      <c r="BI9" s="3" t="s">
        <v>303</v>
      </c>
      <c r="BJ9" s="20" t="s">
        <v>303</v>
      </c>
      <c r="BK9" s="3" t="s">
        <v>330</v>
      </c>
      <c r="BL9" s="382" t="s">
        <v>330</v>
      </c>
      <c r="BM9" s="3" t="s">
        <v>360</v>
      </c>
      <c r="BN9" s="385" t="s">
        <v>360</v>
      </c>
    </row>
    <row r="10" spans="1:66" ht="13.5" thickTop="1">
      <c r="A10" s="7" t="s">
        <v>5</v>
      </c>
      <c r="B10" s="11">
        <f t="shared" ref="B10:F10" si="0">SUM(B12:B39)</f>
        <v>8112458</v>
      </c>
      <c r="C10" s="11">
        <f t="shared" si="0"/>
        <v>8480476</v>
      </c>
      <c r="D10" s="11">
        <f t="shared" si="0"/>
        <v>9310462.9568600003</v>
      </c>
      <c r="E10" s="11">
        <f t="shared" si="0"/>
        <v>10011027.545769999</v>
      </c>
      <c r="F10" s="11">
        <f t="shared" si="0"/>
        <v>10941375.004059998</v>
      </c>
      <c r="G10" s="11">
        <f>SUM(G12:G39)</f>
        <v>11385648.203920003</v>
      </c>
      <c r="H10" s="11">
        <f>SUM(H12:H39)</f>
        <v>11568014.849529</v>
      </c>
      <c r="I10" s="11">
        <f>SUM(I12:I39)</f>
        <v>11970930.751799997</v>
      </c>
      <c r="J10" s="11">
        <f>SUM(J12:J39)</f>
        <v>12028910.590229997</v>
      </c>
      <c r="K10" s="11">
        <f>SUM(K12:K39)</f>
        <v>12198615.001790004</v>
      </c>
      <c r="L10" s="239">
        <f>(K10-J10)*100/J10</f>
        <v>1.4108044971075109</v>
      </c>
      <c r="M10" s="239">
        <f>(K10-AF10)*100/AF10</f>
        <v>57.872955178140955</v>
      </c>
      <c r="N10" s="13">
        <f t="shared" ref="N10:S10" si="1">SUM(N12:N39)</f>
        <v>2486303</v>
      </c>
      <c r="O10" s="11">
        <f t="shared" si="1"/>
        <v>2685434</v>
      </c>
      <c r="P10" s="11">
        <f t="shared" si="1"/>
        <v>2916433</v>
      </c>
      <c r="Q10" s="11">
        <f t="shared" si="1"/>
        <v>3174751</v>
      </c>
      <c r="R10" s="11">
        <f t="shared" si="1"/>
        <v>3478838</v>
      </c>
      <c r="S10" s="11">
        <f t="shared" si="1"/>
        <v>3829014</v>
      </c>
      <c r="T10" s="11">
        <f t="shared" ref="T10:Y10" si="2">SUM(T12:T39)</f>
        <v>4179737</v>
      </c>
      <c r="U10" s="11">
        <f t="shared" si="2"/>
        <v>4284556</v>
      </c>
      <c r="V10" s="11">
        <f t="shared" si="2"/>
        <v>4502334.7290000012</v>
      </c>
      <c r="W10" s="11">
        <f t="shared" si="2"/>
        <v>4727259</v>
      </c>
      <c r="X10" s="11">
        <f t="shared" si="2"/>
        <v>5028499</v>
      </c>
      <c r="Y10" s="11">
        <f t="shared" si="2"/>
        <v>5227695</v>
      </c>
      <c r="Z10" s="11">
        <f>SUM(Z12:Z39)</f>
        <v>5453638</v>
      </c>
      <c r="AA10" s="11">
        <f>SUM(AA12:AA39)</f>
        <v>5780549</v>
      </c>
      <c r="AB10" s="11">
        <f>SUM(AB12:AB39)</f>
        <v>6108201</v>
      </c>
      <c r="AC10" s="11">
        <f>SUM(AC12:AC39)</f>
        <v>6418873</v>
      </c>
      <c r="AD10" s="11">
        <f t="shared" ref="AD10:AF10" si="3">SUM(AD12:AD39)</f>
        <v>6943072</v>
      </c>
      <c r="AE10" s="11">
        <f t="shared" si="3"/>
        <v>7325471.0430000015</v>
      </c>
      <c r="AF10" s="11">
        <f t="shared" si="3"/>
        <v>7726855.4250000007</v>
      </c>
      <c r="AG10" s="11">
        <f>SUM(AG12:AG39)</f>
        <v>6943074714</v>
      </c>
      <c r="AH10" s="11">
        <f>SUM(AH12:AH39)</f>
        <v>6943074.7140000006</v>
      </c>
      <c r="AJ10" s="3">
        <f>SUM(AJ12:AJ39)</f>
        <v>7325471043</v>
      </c>
      <c r="AK10" s="3">
        <f>SUM(AK12:AK39)</f>
        <v>7325471.0430000015</v>
      </c>
      <c r="AM10" s="3">
        <f>SUM(AM12:AM39)</f>
        <v>7726855425</v>
      </c>
      <c r="AN10" s="3">
        <f>SUM(AN12:AN39)</f>
        <v>7726855.4250000007</v>
      </c>
      <c r="AP10" s="3">
        <f>SUM(AP12:AP39)</f>
        <v>8112456886</v>
      </c>
      <c r="AQ10" s="3">
        <f>SUM(AQ12:AQ39)</f>
        <v>8112456.8859999999</v>
      </c>
      <c r="AS10" s="3">
        <f>SUM(AS12:AS39)</f>
        <v>8480476957</v>
      </c>
      <c r="AT10" s="3">
        <f>SUM(AT12:AT39)</f>
        <v>8480476.9570000004</v>
      </c>
      <c r="AV10" s="3">
        <f>SUM(AV12:AV39)</f>
        <v>9310462956.8600006</v>
      </c>
      <c r="AW10" s="3">
        <f>SUM(AW12:AW39)</f>
        <v>9310462.9568600003</v>
      </c>
      <c r="AY10" s="3">
        <f t="shared" ref="AY10:BI10" si="4">SUM(AY12:AY39)</f>
        <v>10011027545.769999</v>
      </c>
      <c r="AZ10" s="3">
        <f t="shared" si="4"/>
        <v>10011027.545769999</v>
      </c>
      <c r="BA10" s="3">
        <f t="shared" si="4"/>
        <v>10941375004.060003</v>
      </c>
      <c r="BB10" s="3">
        <f t="shared" si="4"/>
        <v>10941375.004059998</v>
      </c>
      <c r="BC10" s="3">
        <f t="shared" si="4"/>
        <v>11385648203.92</v>
      </c>
      <c r="BD10" s="3">
        <f t="shared" si="4"/>
        <v>11385648.203920003</v>
      </c>
      <c r="BF10" s="3">
        <f t="shared" si="4"/>
        <v>11568014849.528997</v>
      </c>
      <c r="BG10" s="3">
        <f t="shared" si="4"/>
        <v>11568014.849529</v>
      </c>
      <c r="BI10" s="3">
        <f t="shared" si="4"/>
        <v>11970930751.800001</v>
      </c>
      <c r="BJ10" s="3">
        <f>SUM(BJ12:BJ39)</f>
        <v>11970930.751799997</v>
      </c>
      <c r="BK10" s="3">
        <f>SUM(BK12:BK39)</f>
        <v>12028910590.230001</v>
      </c>
      <c r="BL10" s="3">
        <f>SUM(BL12:BL39)</f>
        <v>12028910.590229997</v>
      </c>
      <c r="BM10" s="3">
        <f t="shared" ref="BM10:BN10" si="5">SUM(BM12:BM39)</f>
        <v>12198615001.790001</v>
      </c>
      <c r="BN10" s="3">
        <f t="shared" si="5"/>
        <v>12198615.001790004</v>
      </c>
    </row>
    <row r="11" spans="1:66">
      <c r="M11" s="14"/>
      <c r="S11" s="1"/>
      <c r="T11" s="1"/>
      <c r="U11" s="1"/>
      <c r="V11" s="1"/>
      <c r="W11" s="1"/>
      <c r="Y11" s="14"/>
      <c r="Z11" s="14"/>
      <c r="AA11" s="14"/>
      <c r="AB11" s="14"/>
      <c r="AC11" s="14"/>
      <c r="AE11" s="14"/>
      <c r="AF11" s="14"/>
    </row>
    <row r="12" spans="1:66">
      <c r="A12" s="1" t="s">
        <v>6</v>
      </c>
      <c r="B12" s="1">
        <v>91103</v>
      </c>
      <c r="C12" s="1">
        <v>95004</v>
      </c>
      <c r="D12" s="1">
        <v>104075.29999000001</v>
      </c>
      <c r="E12" s="1">
        <v>112509.27961999999</v>
      </c>
      <c r="F12" s="1">
        <v>127100.95576000001</v>
      </c>
      <c r="G12" s="1">
        <v>132487.03787999999</v>
      </c>
      <c r="H12" s="1">
        <v>132693.88111999998</v>
      </c>
      <c r="I12" s="1">
        <v>133947.41298999998</v>
      </c>
      <c r="J12" s="1">
        <v>129768.77246999998</v>
      </c>
      <c r="K12" s="1">
        <v>126299.51486999998</v>
      </c>
      <c r="L12" s="239">
        <f t="shared" ref="L12:L16" si="6">(K12-J12)*100/J12</f>
        <v>-2.6734148238953419</v>
      </c>
      <c r="M12" s="239">
        <f>(K12-AF12)*100/AF12</f>
        <v>41.19084242516044</v>
      </c>
      <c r="N12" s="14">
        <v>37762</v>
      </c>
      <c r="O12" s="14">
        <v>39463</v>
      </c>
      <c r="P12" s="14">
        <v>41847</v>
      </c>
      <c r="Q12" s="14">
        <v>45105</v>
      </c>
      <c r="R12" s="14">
        <v>47782</v>
      </c>
      <c r="S12" s="14">
        <v>50521</v>
      </c>
      <c r="T12" s="14">
        <v>53781</v>
      </c>
      <c r="U12" s="14">
        <v>54877</v>
      </c>
      <c r="V12" s="14">
        <f>57523082/1000</f>
        <v>57523.082000000002</v>
      </c>
      <c r="W12" s="14">
        <v>59839</v>
      </c>
      <c r="X12" s="14">
        <v>63412</v>
      </c>
      <c r="Y12" s="14">
        <v>66229</v>
      </c>
      <c r="Z12" s="14">
        <v>69046</v>
      </c>
      <c r="AA12" s="14">
        <v>71664</v>
      </c>
      <c r="AB12" s="14">
        <v>75072</v>
      </c>
      <c r="AC12" s="14">
        <v>76528</v>
      </c>
      <c r="AD12" s="1">
        <v>80469</v>
      </c>
      <c r="AE12" s="14">
        <v>85597.067999999999</v>
      </c>
      <c r="AF12" s="14">
        <v>89453.05</v>
      </c>
      <c r="AG12" s="3">
        <v>80468850</v>
      </c>
      <c r="AH12" s="3">
        <f>AG12/1000</f>
        <v>80468.850000000006</v>
      </c>
      <c r="AJ12" s="3">
        <v>85597068</v>
      </c>
      <c r="AK12" s="3">
        <f>AJ12/1000</f>
        <v>85597.067999999999</v>
      </c>
      <c r="AM12" s="3">
        <v>89453050</v>
      </c>
      <c r="AN12" s="3">
        <f>AM12/1000</f>
        <v>89453.05</v>
      </c>
      <c r="AP12" s="3">
        <v>91102621</v>
      </c>
      <c r="AQ12" s="3">
        <f>AP12/1000</f>
        <v>91102.620999999999</v>
      </c>
      <c r="AS12" s="3">
        <v>95003755</v>
      </c>
      <c r="AT12" s="3">
        <f>AS12/1000</f>
        <v>95003.755000000005</v>
      </c>
      <c r="AV12" s="3">
        <v>104075299.99000001</v>
      </c>
      <c r="AW12" s="3">
        <f>AV12/1000</f>
        <v>104075.29999000001</v>
      </c>
      <c r="AY12" s="3">
        <v>112509279.61999999</v>
      </c>
      <c r="AZ12" s="3">
        <f>AY12/1000</f>
        <v>112509.27961999999</v>
      </c>
      <c r="BA12" s="3">
        <v>127100955.76000001</v>
      </c>
      <c r="BB12" s="3">
        <f>BA12/1000</f>
        <v>127100.95576000001</v>
      </c>
      <c r="BC12" s="3">
        <v>132487037.88</v>
      </c>
      <c r="BD12" s="3">
        <f>BC12/1000</f>
        <v>132487.03787999999</v>
      </c>
      <c r="BF12" s="3">
        <v>132693881.11999997</v>
      </c>
      <c r="BG12" s="3">
        <f>BF12/1000</f>
        <v>132693.88111999998</v>
      </c>
      <c r="BI12" s="3">
        <v>133947412.98999999</v>
      </c>
      <c r="BJ12" s="3">
        <f t="shared" ref="BJ12:BJ16" si="7">BI12/1000</f>
        <v>133947.41298999998</v>
      </c>
      <c r="BK12" s="3">
        <v>129768772.46999998</v>
      </c>
      <c r="BL12" s="3">
        <f>BK12/1000</f>
        <v>129768.77246999998</v>
      </c>
      <c r="BM12" s="3">
        <v>126299514.86999999</v>
      </c>
      <c r="BN12" s="3">
        <f>BM12/1000</f>
        <v>126299.51486999998</v>
      </c>
    </row>
    <row r="13" spans="1:66">
      <c r="A13" s="1" t="s">
        <v>7</v>
      </c>
      <c r="B13" s="1">
        <v>657396</v>
      </c>
      <c r="C13" s="1">
        <v>665515</v>
      </c>
      <c r="D13" s="1">
        <v>739303.96349999995</v>
      </c>
      <c r="E13" s="1">
        <v>804385.35799000005</v>
      </c>
      <c r="F13" s="1">
        <v>869011.80906000012</v>
      </c>
      <c r="G13" s="1">
        <v>921789.93546999991</v>
      </c>
      <c r="H13" s="1">
        <v>943443.25305899978</v>
      </c>
      <c r="I13" s="1">
        <v>986515.01633999986</v>
      </c>
      <c r="J13" s="1">
        <v>985944.49615000002</v>
      </c>
      <c r="K13" s="1">
        <v>1022249.0482300001</v>
      </c>
      <c r="L13" s="239">
        <f t="shared" si="6"/>
        <v>3.6822105323134475</v>
      </c>
      <c r="M13" s="239">
        <f t="shared" ref="M13:M39" si="8">(K13-AF13)*100/AF13</f>
        <v>60.945618085247894</v>
      </c>
      <c r="N13" s="14">
        <v>221383</v>
      </c>
      <c r="O13" s="14">
        <v>242466</v>
      </c>
      <c r="P13" s="14">
        <v>266240</v>
      </c>
      <c r="Q13" s="14">
        <v>282632</v>
      </c>
      <c r="R13" s="14">
        <v>306897</v>
      </c>
      <c r="S13" s="14">
        <v>341757</v>
      </c>
      <c r="T13" s="14">
        <v>374313</v>
      </c>
      <c r="U13" s="14">
        <v>375017</v>
      </c>
      <c r="V13" s="14">
        <f>394831587/1000</f>
        <v>394831.587</v>
      </c>
      <c r="W13" s="14">
        <v>411021</v>
      </c>
      <c r="X13" s="14">
        <v>438133</v>
      </c>
      <c r="Y13" s="14">
        <v>455509</v>
      </c>
      <c r="Z13" s="14">
        <v>460381</v>
      </c>
      <c r="AA13" s="14">
        <v>478694</v>
      </c>
      <c r="AB13" s="14">
        <v>497891</v>
      </c>
      <c r="AC13" s="14">
        <v>534592</v>
      </c>
      <c r="AD13" s="1">
        <v>570321</v>
      </c>
      <c r="AE13" s="14">
        <v>605913.06400000001</v>
      </c>
      <c r="AF13" s="14">
        <v>635151.83600000001</v>
      </c>
      <c r="AG13" s="3">
        <v>570321229</v>
      </c>
      <c r="AH13" s="3">
        <f>AG13/1000</f>
        <v>570321.22900000005</v>
      </c>
      <c r="AJ13" s="3">
        <v>605913064</v>
      </c>
      <c r="AK13" s="3">
        <f>AJ13/1000</f>
        <v>605913.06400000001</v>
      </c>
      <c r="AM13" s="3">
        <v>635151836</v>
      </c>
      <c r="AN13" s="3">
        <f>AM13/1000</f>
        <v>635151.83600000001</v>
      </c>
      <c r="AP13" s="3">
        <v>657396192</v>
      </c>
      <c r="AQ13" s="3">
        <f>AP13/1000</f>
        <v>657396.19200000004</v>
      </c>
      <c r="AS13" s="3">
        <v>665514975</v>
      </c>
      <c r="AT13" s="3">
        <f>AS13/1000</f>
        <v>665514.97499999998</v>
      </c>
      <c r="AV13" s="3">
        <v>739303963.5</v>
      </c>
      <c r="AW13" s="3">
        <f>AV13/1000</f>
        <v>739303.96349999995</v>
      </c>
      <c r="AY13" s="3">
        <v>804385357.99000001</v>
      </c>
      <c r="AZ13" s="3">
        <f>AY13/1000</f>
        <v>804385.35799000005</v>
      </c>
      <c r="BA13" s="3">
        <v>869011809.06000006</v>
      </c>
      <c r="BB13" s="3">
        <f>BA13/1000</f>
        <v>869011.80906000012</v>
      </c>
      <c r="BC13" s="3">
        <v>921789935.46999991</v>
      </c>
      <c r="BD13" s="3">
        <f>BC13/1000</f>
        <v>921789.93546999991</v>
      </c>
      <c r="BF13" s="3">
        <v>943443253.05899978</v>
      </c>
      <c r="BG13" s="3">
        <f>BF13/1000</f>
        <v>943443.25305899978</v>
      </c>
      <c r="BI13" s="3">
        <v>986515016.33999991</v>
      </c>
      <c r="BJ13" s="3">
        <f t="shared" si="7"/>
        <v>986515.01633999986</v>
      </c>
      <c r="BK13" s="3">
        <v>985944496.14999998</v>
      </c>
      <c r="BL13" s="3">
        <f t="shared" ref="BL13:BL16" si="9">BK13/1000</f>
        <v>985944.49615000002</v>
      </c>
      <c r="BM13" s="3">
        <v>1022249048.23</v>
      </c>
      <c r="BN13" s="3">
        <f t="shared" ref="BN13:BN39" si="10">BM13/1000</f>
        <v>1022249.0482300001</v>
      </c>
    </row>
    <row r="14" spans="1:66">
      <c r="A14" s="1" t="s">
        <v>8</v>
      </c>
      <c r="B14" s="1">
        <v>921163</v>
      </c>
      <c r="C14" s="1">
        <v>1008905</v>
      </c>
      <c r="D14" s="1">
        <v>1063670.9177199998</v>
      </c>
      <c r="E14" s="1">
        <v>1107205.7631900001</v>
      </c>
      <c r="F14" s="1">
        <v>1229715.9189599999</v>
      </c>
      <c r="G14" s="1">
        <v>1280401.2398400002</v>
      </c>
      <c r="H14" s="1">
        <v>1285316.1737899999</v>
      </c>
      <c r="I14" s="1">
        <v>1389160.6193499998</v>
      </c>
      <c r="J14" s="1">
        <v>1405822.6765400001</v>
      </c>
      <c r="K14" s="1">
        <v>1356438.2789100003</v>
      </c>
      <c r="L14" s="239">
        <f t="shared" si="6"/>
        <v>-3.5128468514638196</v>
      </c>
      <c r="M14" s="239">
        <f t="shared" si="8"/>
        <v>45.97150027672842</v>
      </c>
      <c r="N14" s="14">
        <v>364731</v>
      </c>
      <c r="O14" s="14">
        <v>392102</v>
      </c>
      <c r="P14" s="14">
        <v>413877</v>
      </c>
      <c r="Q14" s="14">
        <v>446389</v>
      </c>
      <c r="R14" s="14">
        <v>476939</v>
      </c>
      <c r="S14" s="14">
        <v>519871</v>
      </c>
      <c r="T14" s="14">
        <v>568439</v>
      </c>
      <c r="U14" s="14">
        <v>594878</v>
      </c>
      <c r="V14" s="14">
        <f>634480202/1000</f>
        <v>634480.20200000005</v>
      </c>
      <c r="W14" s="14">
        <v>658735</v>
      </c>
      <c r="X14" s="14">
        <v>678132</v>
      </c>
      <c r="Y14" s="14">
        <v>704822</v>
      </c>
      <c r="Z14" s="14">
        <v>733527</v>
      </c>
      <c r="AA14" s="14">
        <v>796993</v>
      </c>
      <c r="AB14" s="14">
        <v>846482</v>
      </c>
      <c r="AC14" s="14">
        <v>859871</v>
      </c>
      <c r="AD14" s="1">
        <v>919756</v>
      </c>
      <c r="AE14" s="14">
        <v>940241.326</v>
      </c>
      <c r="AF14" s="14">
        <v>929248.70700000005</v>
      </c>
      <c r="AG14" s="3">
        <v>919756294</v>
      </c>
      <c r="AH14" s="3">
        <f>AG14/1000</f>
        <v>919756.29399999999</v>
      </c>
      <c r="AJ14" s="3">
        <v>940241326</v>
      </c>
      <c r="AK14" s="3">
        <f>AJ14/1000</f>
        <v>940241.326</v>
      </c>
      <c r="AM14" s="3">
        <v>929248707</v>
      </c>
      <c r="AN14" s="3">
        <f>AM14/1000</f>
        <v>929248.70700000005</v>
      </c>
      <c r="AP14" s="3">
        <v>921163220</v>
      </c>
      <c r="AQ14" s="3">
        <f>AP14/1000</f>
        <v>921163.22</v>
      </c>
      <c r="AS14" s="3">
        <v>1008905432</v>
      </c>
      <c r="AT14" s="3">
        <f>AS14/1000</f>
        <v>1008905.432</v>
      </c>
      <c r="AV14" s="3">
        <v>1063670917.7199999</v>
      </c>
      <c r="AW14" s="3">
        <f>AV14/1000</f>
        <v>1063670.9177199998</v>
      </c>
      <c r="AY14" s="3">
        <v>1107205763.1900001</v>
      </c>
      <c r="AZ14" s="3">
        <f>AY14/1000</f>
        <v>1107205.7631900001</v>
      </c>
      <c r="BA14" s="3">
        <v>1229715918.96</v>
      </c>
      <c r="BB14" s="3">
        <f>BA14/1000</f>
        <v>1229715.9189599999</v>
      </c>
      <c r="BC14" s="3">
        <v>1280401239.8400002</v>
      </c>
      <c r="BD14" s="3">
        <f>BC14/1000</f>
        <v>1280401.2398400002</v>
      </c>
      <c r="BF14" s="3">
        <v>1285316173.79</v>
      </c>
      <c r="BG14" s="3">
        <f>BF14/1000</f>
        <v>1285316.1737899999</v>
      </c>
      <c r="BI14" s="3">
        <v>1389160619.3499999</v>
      </c>
      <c r="BJ14" s="3">
        <f t="shared" si="7"/>
        <v>1389160.6193499998</v>
      </c>
      <c r="BK14" s="3">
        <v>1405822676.5400002</v>
      </c>
      <c r="BL14" s="3">
        <f t="shared" si="9"/>
        <v>1405822.6765400001</v>
      </c>
      <c r="BM14" s="3">
        <v>1356438278.9100003</v>
      </c>
      <c r="BN14" s="3">
        <f t="shared" si="10"/>
        <v>1356438.2789100003</v>
      </c>
    </row>
    <row r="15" spans="1:66">
      <c r="A15" s="1" t="s">
        <v>9</v>
      </c>
      <c r="B15" s="1">
        <v>995991</v>
      </c>
      <c r="C15" s="1">
        <v>1040714</v>
      </c>
      <c r="D15" s="1">
        <v>1128744.4739000001</v>
      </c>
      <c r="E15" s="1">
        <v>1199773.8915599999</v>
      </c>
      <c r="F15" s="1">
        <v>1273462.0764099997</v>
      </c>
      <c r="G15" s="1">
        <v>1310749.9890700001</v>
      </c>
      <c r="H15" s="1">
        <v>1369370.75006</v>
      </c>
      <c r="I15" s="1">
        <v>1410167.43371</v>
      </c>
      <c r="J15" s="1">
        <v>1411194.4082500001</v>
      </c>
      <c r="K15" s="1">
        <v>1457938.9538699999</v>
      </c>
      <c r="L15" s="239">
        <f t="shared" si="6"/>
        <v>3.3124100653124704</v>
      </c>
      <c r="M15" s="239">
        <f t="shared" si="8"/>
        <v>51.276166974692558</v>
      </c>
      <c r="N15" s="14">
        <v>347664</v>
      </c>
      <c r="O15" s="14">
        <v>364606</v>
      </c>
      <c r="P15" s="14">
        <v>393111</v>
      </c>
      <c r="Q15" s="14">
        <v>416472</v>
      </c>
      <c r="R15" s="14">
        <v>463102</v>
      </c>
      <c r="S15" s="14">
        <v>502726</v>
      </c>
      <c r="T15" s="14">
        <v>530557</v>
      </c>
      <c r="U15" s="14">
        <v>543781</v>
      </c>
      <c r="V15" s="14">
        <f>563296101/1000</f>
        <v>563296.10100000002</v>
      </c>
      <c r="W15" s="14">
        <v>590180</v>
      </c>
      <c r="X15" s="14">
        <v>643364</v>
      </c>
      <c r="Y15" s="14">
        <v>660732</v>
      </c>
      <c r="Z15" s="14">
        <v>695221</v>
      </c>
      <c r="AA15" s="14">
        <v>733337</v>
      </c>
      <c r="AB15" s="14">
        <v>762882</v>
      </c>
      <c r="AC15" s="14">
        <v>800158</v>
      </c>
      <c r="AD15" s="1">
        <v>874958</v>
      </c>
      <c r="AE15" s="14">
        <v>916580.83499999996</v>
      </c>
      <c r="AF15" s="14">
        <v>963759.84600000002</v>
      </c>
      <c r="AG15" s="3">
        <v>874957882</v>
      </c>
      <c r="AH15" s="3">
        <f>AG15/1000</f>
        <v>874957.88199999998</v>
      </c>
      <c r="AJ15" s="3">
        <v>916580835</v>
      </c>
      <c r="AK15" s="3">
        <f>AJ15/1000</f>
        <v>916580.83499999996</v>
      </c>
      <c r="AM15" s="3">
        <v>963759846</v>
      </c>
      <c r="AN15" s="3">
        <f>AM15/1000</f>
        <v>963759.84600000002</v>
      </c>
      <c r="AP15" s="3">
        <v>995990822</v>
      </c>
      <c r="AQ15" s="3">
        <f>AP15/1000</f>
        <v>995990.82200000004</v>
      </c>
      <c r="AS15" s="3">
        <v>1040713850</v>
      </c>
      <c r="AT15" s="3">
        <f>AS15/1000</f>
        <v>1040713.85</v>
      </c>
      <c r="AV15" s="3">
        <v>1128744473.9000001</v>
      </c>
      <c r="AW15" s="3">
        <f>AV15/1000</f>
        <v>1128744.4739000001</v>
      </c>
      <c r="AY15" s="3">
        <v>1199773891.5599999</v>
      </c>
      <c r="AZ15" s="3">
        <f>AY15/1000</f>
        <v>1199773.8915599999</v>
      </c>
      <c r="BA15" s="3">
        <v>1273462076.4099998</v>
      </c>
      <c r="BB15" s="3">
        <f>BA15/1000</f>
        <v>1273462.0764099997</v>
      </c>
      <c r="BC15" s="3">
        <v>1310749989.0700002</v>
      </c>
      <c r="BD15" s="3">
        <f>BC15/1000</f>
        <v>1310749.9890700001</v>
      </c>
      <c r="BF15" s="3">
        <v>1369370750.0599999</v>
      </c>
      <c r="BG15" s="3">
        <f>BF15/1000</f>
        <v>1369370.75006</v>
      </c>
      <c r="BI15" s="3">
        <v>1410167433.71</v>
      </c>
      <c r="BJ15" s="3">
        <f t="shared" si="7"/>
        <v>1410167.43371</v>
      </c>
      <c r="BK15" s="3">
        <v>1411194408.25</v>
      </c>
      <c r="BL15" s="3">
        <f t="shared" si="9"/>
        <v>1411194.4082500001</v>
      </c>
      <c r="BM15" s="3">
        <v>1457938953.8699999</v>
      </c>
      <c r="BN15" s="3">
        <f t="shared" si="10"/>
        <v>1457938.9538699999</v>
      </c>
    </row>
    <row r="16" spans="1:66">
      <c r="A16" s="1" t="s">
        <v>10</v>
      </c>
      <c r="B16" s="1">
        <v>150227</v>
      </c>
      <c r="C16" s="1">
        <v>154630</v>
      </c>
      <c r="D16" s="1">
        <v>171693.21776999999</v>
      </c>
      <c r="E16" s="1">
        <v>181772.08989999999</v>
      </c>
      <c r="F16" s="1">
        <v>200506.36319999999</v>
      </c>
      <c r="G16" s="1">
        <v>209782.82952999999</v>
      </c>
      <c r="H16" s="1">
        <v>215949.57771000001</v>
      </c>
      <c r="I16" s="1">
        <v>220096.77543999997</v>
      </c>
      <c r="J16" s="1">
        <v>222690.21192999999</v>
      </c>
      <c r="K16" s="1">
        <v>220095.33184999999</v>
      </c>
      <c r="L16" s="239">
        <f t="shared" si="6"/>
        <v>-1.1652420901263825</v>
      </c>
      <c r="M16" s="239">
        <f t="shared" si="8"/>
        <v>57.979760956550464</v>
      </c>
      <c r="N16" s="14">
        <v>29244</v>
      </c>
      <c r="O16" s="14">
        <v>31494</v>
      </c>
      <c r="P16" s="14">
        <v>33604</v>
      </c>
      <c r="Q16" s="14">
        <v>37643</v>
      </c>
      <c r="R16" s="14">
        <v>42105</v>
      </c>
      <c r="S16" s="14">
        <v>47443</v>
      </c>
      <c r="T16" s="14">
        <v>53160</v>
      </c>
      <c r="U16" s="14">
        <v>59527</v>
      </c>
      <c r="V16" s="14">
        <f>65203019/1000</f>
        <v>65203.019</v>
      </c>
      <c r="W16" s="14">
        <v>68996</v>
      </c>
      <c r="X16" s="14">
        <v>74084</v>
      </c>
      <c r="Y16" s="14">
        <v>79469</v>
      </c>
      <c r="Z16" s="14">
        <v>85187</v>
      </c>
      <c r="AA16" s="14">
        <v>91777</v>
      </c>
      <c r="AB16" s="14">
        <v>99660</v>
      </c>
      <c r="AC16" s="14">
        <v>107139</v>
      </c>
      <c r="AD16" s="1">
        <v>116556</v>
      </c>
      <c r="AE16" s="14">
        <v>127820.52499999999</v>
      </c>
      <c r="AF16" s="14">
        <v>139318.68900000001</v>
      </c>
      <c r="AG16" s="3">
        <v>116555943</v>
      </c>
      <c r="AH16" s="3">
        <f>AG16/1000</f>
        <v>116555.943</v>
      </c>
      <c r="AJ16" s="3">
        <v>127820525</v>
      </c>
      <c r="AK16" s="3">
        <f>AJ16/1000</f>
        <v>127820.52499999999</v>
      </c>
      <c r="AM16" s="3">
        <v>139318689</v>
      </c>
      <c r="AN16" s="3">
        <f>AM16/1000</f>
        <v>139318.68900000001</v>
      </c>
      <c r="AP16" s="3">
        <v>150226747</v>
      </c>
      <c r="AQ16" s="3">
        <f>AP16/1000</f>
        <v>150226.747</v>
      </c>
      <c r="AS16" s="3">
        <v>154630212</v>
      </c>
      <c r="AT16" s="3">
        <f>AS16/1000</f>
        <v>154630.212</v>
      </c>
      <c r="AV16" s="3">
        <v>171693217.76999998</v>
      </c>
      <c r="AW16" s="3">
        <f>AV16/1000</f>
        <v>171693.21776999999</v>
      </c>
      <c r="AY16" s="3">
        <v>181772089.90000001</v>
      </c>
      <c r="AZ16" s="3">
        <f>AY16/1000</f>
        <v>181772.08989999999</v>
      </c>
      <c r="BA16" s="3">
        <v>200506363.19999999</v>
      </c>
      <c r="BB16" s="3">
        <f>BA16/1000</f>
        <v>200506.36319999999</v>
      </c>
      <c r="BC16" s="3">
        <v>209782829.53</v>
      </c>
      <c r="BD16" s="3">
        <f>BC16/1000</f>
        <v>209782.82952999999</v>
      </c>
      <c r="BF16" s="3">
        <v>215949577.71000001</v>
      </c>
      <c r="BG16" s="3">
        <f>BF16/1000</f>
        <v>215949.57771000001</v>
      </c>
      <c r="BI16" s="3">
        <v>220096775.43999997</v>
      </c>
      <c r="BJ16" s="3">
        <f t="shared" si="7"/>
        <v>220096.77543999997</v>
      </c>
      <c r="BK16" s="3">
        <v>222690211.92999998</v>
      </c>
      <c r="BL16" s="3">
        <f t="shared" si="9"/>
        <v>222690.21192999999</v>
      </c>
      <c r="BM16" s="3">
        <v>220095331.84999999</v>
      </c>
      <c r="BN16" s="3">
        <f t="shared" si="10"/>
        <v>220095.33184999999</v>
      </c>
    </row>
    <row r="17" spans="1:66">
      <c r="L17" s="239"/>
      <c r="M17" s="239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E17" s="14"/>
      <c r="AF17" s="14"/>
    </row>
    <row r="18" spans="1:66">
      <c r="A18" s="1" t="s">
        <v>11</v>
      </c>
      <c r="B18" s="1">
        <v>45940</v>
      </c>
      <c r="C18" s="1">
        <v>47551</v>
      </c>
      <c r="D18" s="1">
        <v>51356.748950000001</v>
      </c>
      <c r="E18" s="1">
        <v>56033.793960000003</v>
      </c>
      <c r="F18" s="1">
        <v>62536.487560000001</v>
      </c>
      <c r="G18" s="1">
        <v>63745.976190000009</v>
      </c>
      <c r="H18" s="1">
        <v>65118.433110000005</v>
      </c>
      <c r="I18" s="1">
        <v>66884.609939999995</v>
      </c>
      <c r="J18" s="1">
        <v>67698.707989999995</v>
      </c>
      <c r="K18" s="1">
        <v>69617.655879999991</v>
      </c>
      <c r="L18" s="239">
        <f t="shared" ref="L18:L22" si="11">(K18-J18)*100/J18</f>
        <v>2.8345413774860373</v>
      </c>
      <c r="M18" s="239">
        <f t="shared" si="8"/>
        <v>60.125764093226501</v>
      </c>
      <c r="N18" s="14">
        <v>13200</v>
      </c>
      <c r="O18" s="14">
        <v>14290</v>
      </c>
      <c r="P18" s="14">
        <v>15692</v>
      </c>
      <c r="Q18" s="14">
        <v>17384</v>
      </c>
      <c r="R18" s="14">
        <v>18917</v>
      </c>
      <c r="S18" s="14">
        <v>20583</v>
      </c>
      <c r="T18" s="14">
        <v>22689</v>
      </c>
      <c r="U18" s="14">
        <v>23965</v>
      </c>
      <c r="V18" s="14">
        <f>25484058/1000</f>
        <v>25484.058000000001</v>
      </c>
      <c r="W18" s="14">
        <v>27296</v>
      </c>
      <c r="X18" s="14">
        <v>29370</v>
      </c>
      <c r="Y18" s="14">
        <v>30778</v>
      </c>
      <c r="Z18" s="14">
        <v>32930</v>
      </c>
      <c r="AA18" s="14">
        <v>34495</v>
      </c>
      <c r="AB18" s="14">
        <v>36824</v>
      </c>
      <c r="AC18" s="14">
        <v>37306</v>
      </c>
      <c r="AD18" s="1">
        <v>38291</v>
      </c>
      <c r="AE18" s="14">
        <v>40262.201000000001</v>
      </c>
      <c r="AF18" s="14">
        <v>43476.860999999997</v>
      </c>
      <c r="AG18" s="3">
        <v>38290787</v>
      </c>
      <c r="AH18" s="3">
        <f>AG18/1000</f>
        <v>38290.786999999997</v>
      </c>
      <c r="AJ18" s="3">
        <v>40262201</v>
      </c>
      <c r="AK18" s="3">
        <f>AJ18/1000</f>
        <v>40262.201000000001</v>
      </c>
      <c r="AM18" s="3">
        <v>43476861</v>
      </c>
      <c r="AN18" s="3">
        <f>AM18/1000</f>
        <v>43476.860999999997</v>
      </c>
      <c r="AP18" s="3">
        <v>45940351</v>
      </c>
      <c r="AQ18" s="3">
        <f>AP18/1000</f>
        <v>45940.351000000002</v>
      </c>
      <c r="AS18" s="3">
        <v>47551176</v>
      </c>
      <c r="AT18" s="3">
        <f>AS18/1000</f>
        <v>47551.175999999999</v>
      </c>
      <c r="AV18" s="3">
        <v>51356748.950000003</v>
      </c>
      <c r="AW18" s="3">
        <f>AV18/1000</f>
        <v>51356.748950000001</v>
      </c>
      <c r="AY18" s="3">
        <v>56033793.960000001</v>
      </c>
      <c r="AZ18" s="3">
        <f>AY18/1000</f>
        <v>56033.793960000003</v>
      </c>
      <c r="BA18" s="3">
        <v>62536487.560000002</v>
      </c>
      <c r="BB18" s="3">
        <f>BA18/1000</f>
        <v>62536.487560000001</v>
      </c>
      <c r="BC18" s="3">
        <v>63745976.190000005</v>
      </c>
      <c r="BD18" s="3">
        <f>BC18/1000</f>
        <v>63745.976190000009</v>
      </c>
      <c r="BF18" s="3">
        <v>65118433.110000007</v>
      </c>
      <c r="BG18" s="3">
        <f t="shared" ref="BG18:BG39" si="12">BF18/1000</f>
        <v>65118.433110000005</v>
      </c>
      <c r="BI18" s="3">
        <v>66884609.939999998</v>
      </c>
      <c r="BJ18" s="3">
        <f t="shared" ref="BJ18:BJ22" si="13">BI18/1000</f>
        <v>66884.609939999995</v>
      </c>
      <c r="BK18" s="3">
        <v>67698707.989999995</v>
      </c>
      <c r="BL18" s="3">
        <f>BK18/1000</f>
        <v>67698.707989999995</v>
      </c>
      <c r="BM18" s="3">
        <v>69617655.879999995</v>
      </c>
      <c r="BN18" s="3">
        <f t="shared" si="10"/>
        <v>69617.655879999991</v>
      </c>
    </row>
    <row r="19" spans="1:66">
      <c r="A19" s="1" t="s">
        <v>12</v>
      </c>
      <c r="B19" s="1">
        <v>237850</v>
      </c>
      <c r="C19" s="1">
        <v>247218</v>
      </c>
      <c r="D19" s="1">
        <v>275687.89953999995</v>
      </c>
      <c r="E19" s="1">
        <v>296818.56589999999</v>
      </c>
      <c r="F19" s="1">
        <v>322759.80457000004</v>
      </c>
      <c r="G19" s="1">
        <v>342385.99486000004</v>
      </c>
      <c r="H19" s="1">
        <v>349472.47091999993</v>
      </c>
      <c r="I19" s="1">
        <v>345271.18510999996</v>
      </c>
      <c r="J19" s="1">
        <v>352794.35209999996</v>
      </c>
      <c r="K19" s="1">
        <v>351339.59956</v>
      </c>
      <c r="L19" s="239">
        <f t="shared" si="11"/>
        <v>-0.41235142550910409</v>
      </c>
      <c r="M19" s="239">
        <f t="shared" si="8"/>
        <v>57.478114593701406</v>
      </c>
      <c r="N19" s="14">
        <v>58701</v>
      </c>
      <c r="O19" s="14">
        <v>63599</v>
      </c>
      <c r="P19" s="14">
        <v>69351</v>
      </c>
      <c r="Q19" s="14">
        <v>78655</v>
      </c>
      <c r="R19" s="14">
        <v>89068</v>
      </c>
      <c r="S19" s="14">
        <v>98450</v>
      </c>
      <c r="T19" s="14">
        <v>109672</v>
      </c>
      <c r="U19" s="14">
        <v>115356</v>
      </c>
      <c r="V19" s="14">
        <f>122294498/1000</f>
        <v>122294.49800000001</v>
      </c>
      <c r="W19" s="14">
        <v>130726</v>
      </c>
      <c r="X19" s="14">
        <v>143102</v>
      </c>
      <c r="Y19" s="14">
        <v>147472</v>
      </c>
      <c r="Z19" s="14">
        <v>154711</v>
      </c>
      <c r="AA19" s="14">
        <v>164890</v>
      </c>
      <c r="AB19" s="14">
        <v>176517</v>
      </c>
      <c r="AC19" s="14">
        <v>184028</v>
      </c>
      <c r="AD19" s="1">
        <v>195968</v>
      </c>
      <c r="AE19" s="14">
        <v>207134.889</v>
      </c>
      <c r="AF19" s="14">
        <v>223103.76300000001</v>
      </c>
      <c r="AG19" s="3">
        <v>195967598</v>
      </c>
      <c r="AH19" s="3">
        <f>AG19/1000</f>
        <v>195967.598</v>
      </c>
      <c r="AJ19" s="3">
        <v>207134889</v>
      </c>
      <c r="AK19" s="3">
        <f>AJ19/1000</f>
        <v>207134.889</v>
      </c>
      <c r="AM19" s="3">
        <v>223103763</v>
      </c>
      <c r="AN19" s="3">
        <f>AM19/1000</f>
        <v>223103.76300000001</v>
      </c>
      <c r="AP19" s="3">
        <v>237849954</v>
      </c>
      <c r="AQ19" s="3">
        <f>AP19/1000</f>
        <v>237849.954</v>
      </c>
      <c r="AS19" s="3">
        <v>247217789</v>
      </c>
      <c r="AT19" s="3">
        <f>AS19/1000</f>
        <v>247217.78899999999</v>
      </c>
      <c r="AV19" s="3">
        <v>275687899.53999996</v>
      </c>
      <c r="AW19" s="3">
        <f>AV19/1000</f>
        <v>275687.89953999995</v>
      </c>
      <c r="AY19" s="3">
        <v>296818565.89999998</v>
      </c>
      <c r="AZ19" s="3">
        <f>AY19/1000</f>
        <v>296818.56589999999</v>
      </c>
      <c r="BA19" s="3">
        <v>322759804.57000005</v>
      </c>
      <c r="BB19" s="3">
        <f>BA19/1000</f>
        <v>322759.80457000004</v>
      </c>
      <c r="BC19" s="3">
        <v>342385994.86000001</v>
      </c>
      <c r="BD19" s="3">
        <f>BC19/1000</f>
        <v>342385.99486000004</v>
      </c>
      <c r="BF19" s="3">
        <v>349472470.91999996</v>
      </c>
      <c r="BG19" s="3">
        <f t="shared" si="12"/>
        <v>349472.47091999993</v>
      </c>
      <c r="BI19" s="3">
        <v>345271185.10999995</v>
      </c>
      <c r="BJ19" s="3">
        <f t="shared" si="13"/>
        <v>345271.18510999996</v>
      </c>
      <c r="BK19" s="3">
        <v>352794352.09999996</v>
      </c>
      <c r="BL19" s="3">
        <f t="shared" ref="BL19:BL22" si="14">BK19/1000</f>
        <v>352794.35209999996</v>
      </c>
      <c r="BM19" s="3">
        <v>351339599.56</v>
      </c>
      <c r="BN19" s="3">
        <f t="shared" si="10"/>
        <v>351339.59956</v>
      </c>
    </row>
    <row r="20" spans="1:66">
      <c r="A20" s="1" t="s">
        <v>13</v>
      </c>
      <c r="B20" s="1">
        <v>133840</v>
      </c>
      <c r="C20" s="1">
        <v>141188</v>
      </c>
      <c r="D20" s="1">
        <v>157337.75283000001</v>
      </c>
      <c r="E20" s="1">
        <v>169500.00266</v>
      </c>
      <c r="F20" s="1">
        <v>182216.77765999999</v>
      </c>
      <c r="G20" s="1">
        <v>190237.68518</v>
      </c>
      <c r="H20" s="1">
        <v>191255.77365000005</v>
      </c>
      <c r="I20" s="1">
        <v>199596.78697999998</v>
      </c>
      <c r="J20" s="1">
        <v>193989.12403000001</v>
      </c>
      <c r="K20" s="1">
        <v>195835.43799999999</v>
      </c>
      <c r="L20" s="239">
        <f t="shared" si="11"/>
        <v>0.95176158933243071</v>
      </c>
      <c r="M20" s="239">
        <f t="shared" si="8"/>
        <v>54.337308830537907</v>
      </c>
      <c r="N20" s="14">
        <v>36853</v>
      </c>
      <c r="O20" s="14">
        <v>39228</v>
      </c>
      <c r="P20" s="14">
        <v>42895</v>
      </c>
      <c r="Q20" s="14">
        <v>46438</v>
      </c>
      <c r="R20" s="14">
        <v>51269</v>
      </c>
      <c r="S20" s="14">
        <v>57387</v>
      </c>
      <c r="T20" s="14">
        <v>62796</v>
      </c>
      <c r="U20" s="14">
        <v>66949</v>
      </c>
      <c r="V20" s="14">
        <f>68698870/1000</f>
        <v>68698.87</v>
      </c>
      <c r="W20" s="14">
        <v>74118</v>
      </c>
      <c r="X20" s="14">
        <v>79214</v>
      </c>
      <c r="Y20" s="14">
        <v>81961</v>
      </c>
      <c r="Z20" s="14">
        <v>85699</v>
      </c>
      <c r="AA20" s="14">
        <v>91123</v>
      </c>
      <c r="AB20" s="14">
        <v>98374</v>
      </c>
      <c r="AC20" s="14">
        <v>102839</v>
      </c>
      <c r="AD20" s="1">
        <v>111310</v>
      </c>
      <c r="AE20" s="14">
        <v>117832.77</v>
      </c>
      <c r="AF20" s="14">
        <v>126887.944</v>
      </c>
      <c r="AG20" s="3">
        <v>111310489</v>
      </c>
      <c r="AH20" s="3">
        <f>AG20/1000</f>
        <v>111310.489</v>
      </c>
      <c r="AJ20" s="3">
        <v>117832770</v>
      </c>
      <c r="AK20" s="3">
        <f>AJ20/1000</f>
        <v>117832.77</v>
      </c>
      <c r="AM20" s="3">
        <v>126887944</v>
      </c>
      <c r="AN20" s="3">
        <f>AM20/1000</f>
        <v>126887.944</v>
      </c>
      <c r="AP20" s="3">
        <v>133839646</v>
      </c>
      <c r="AQ20" s="3">
        <f>AP20/1000</f>
        <v>133839.64600000001</v>
      </c>
      <c r="AS20" s="3">
        <v>141188103</v>
      </c>
      <c r="AT20" s="3">
        <f>AS20/1000</f>
        <v>141188.103</v>
      </c>
      <c r="AV20" s="3">
        <v>157337752.83000001</v>
      </c>
      <c r="AW20" s="3">
        <f>AV20/1000</f>
        <v>157337.75283000001</v>
      </c>
      <c r="AY20" s="3">
        <v>169500002.66</v>
      </c>
      <c r="AZ20" s="3">
        <f>AY20/1000</f>
        <v>169500.00266</v>
      </c>
      <c r="BA20" s="3">
        <v>182216777.66</v>
      </c>
      <c r="BB20" s="3">
        <f>BA20/1000</f>
        <v>182216.77765999999</v>
      </c>
      <c r="BC20" s="3">
        <v>190237685.18000001</v>
      </c>
      <c r="BD20" s="3">
        <f>BC20/1000</f>
        <v>190237.68518</v>
      </c>
      <c r="BF20" s="3">
        <v>191255773.65000004</v>
      </c>
      <c r="BG20" s="3">
        <f t="shared" si="12"/>
        <v>191255.77365000005</v>
      </c>
      <c r="BI20" s="3">
        <v>199596786.97999999</v>
      </c>
      <c r="BJ20" s="3">
        <f t="shared" si="13"/>
        <v>199596.78697999998</v>
      </c>
      <c r="BK20" s="3">
        <v>193989124.03</v>
      </c>
      <c r="BL20" s="3">
        <f t="shared" si="14"/>
        <v>193989.12403000001</v>
      </c>
      <c r="BM20" s="3">
        <v>195835438</v>
      </c>
      <c r="BN20" s="3">
        <f t="shared" si="10"/>
        <v>195835.43799999999</v>
      </c>
    </row>
    <row r="21" spans="1:66">
      <c r="A21" s="1" t="s">
        <v>14</v>
      </c>
      <c r="B21" s="1">
        <v>209001</v>
      </c>
      <c r="C21" s="1">
        <v>219730</v>
      </c>
      <c r="D21" s="1">
        <v>252904.33974</v>
      </c>
      <c r="E21" s="1">
        <v>278570.00789000001</v>
      </c>
      <c r="F21" s="1">
        <v>311723.37563000002</v>
      </c>
      <c r="G21" s="1">
        <v>326875.66616000002</v>
      </c>
      <c r="H21" s="1">
        <v>334178.32190000004</v>
      </c>
      <c r="I21" s="1">
        <v>335185.98705</v>
      </c>
      <c r="J21" s="1">
        <v>350788.88866999996</v>
      </c>
      <c r="K21" s="1">
        <v>354891.66591999994</v>
      </c>
      <c r="L21" s="239">
        <f t="shared" si="11"/>
        <v>1.1695858627550824</v>
      </c>
      <c r="M21" s="239">
        <f t="shared" si="8"/>
        <v>82.43777752565687</v>
      </c>
      <c r="N21" s="14">
        <v>53594</v>
      </c>
      <c r="O21" s="14">
        <v>59192</v>
      </c>
      <c r="P21" s="14">
        <v>64594</v>
      </c>
      <c r="Q21" s="14">
        <v>70363</v>
      </c>
      <c r="R21" s="14">
        <v>78084</v>
      </c>
      <c r="S21" s="14">
        <v>90253</v>
      </c>
      <c r="T21" s="14">
        <v>98065</v>
      </c>
      <c r="U21" s="14">
        <v>103805</v>
      </c>
      <c r="V21" s="14">
        <f>109492360/1000</f>
        <v>109492.36</v>
      </c>
      <c r="W21" s="14">
        <v>115495</v>
      </c>
      <c r="X21" s="14">
        <v>122848</v>
      </c>
      <c r="Y21" s="14">
        <v>125269</v>
      </c>
      <c r="Z21" s="14">
        <v>130949</v>
      </c>
      <c r="AA21" s="14">
        <v>140938</v>
      </c>
      <c r="AB21" s="14">
        <v>147233</v>
      </c>
      <c r="AC21" s="14">
        <v>158305</v>
      </c>
      <c r="AD21" s="1">
        <v>167431</v>
      </c>
      <c r="AE21" s="14">
        <v>179349.446</v>
      </c>
      <c r="AF21" s="14">
        <v>194527.51</v>
      </c>
      <c r="AG21" s="3">
        <v>167431305</v>
      </c>
      <c r="AH21" s="3">
        <f>AG21/1000</f>
        <v>167431.30499999999</v>
      </c>
      <c r="AJ21" s="3">
        <v>179349446</v>
      </c>
      <c r="AK21" s="3">
        <f>AJ21/1000</f>
        <v>179349.446</v>
      </c>
      <c r="AM21" s="3">
        <v>194527510</v>
      </c>
      <c r="AN21" s="3">
        <f>AM21/1000</f>
        <v>194527.51</v>
      </c>
      <c r="AP21" s="3">
        <v>209001256</v>
      </c>
      <c r="AQ21" s="3">
        <f>AP21/1000</f>
        <v>209001.25599999999</v>
      </c>
      <c r="AS21" s="3">
        <v>219729570</v>
      </c>
      <c r="AT21" s="3">
        <f>AS21/1000</f>
        <v>219729.57</v>
      </c>
      <c r="AV21" s="3">
        <v>252904339.74000001</v>
      </c>
      <c r="AW21" s="3">
        <f>AV21/1000</f>
        <v>252904.33974</v>
      </c>
      <c r="AY21" s="3">
        <v>278570007.88999999</v>
      </c>
      <c r="AZ21" s="3">
        <f>AY21/1000</f>
        <v>278570.00789000001</v>
      </c>
      <c r="BA21" s="3">
        <v>311723375.63</v>
      </c>
      <c r="BB21" s="3">
        <f>BA21/1000</f>
        <v>311723.37563000002</v>
      </c>
      <c r="BC21" s="3">
        <v>326875666.16000003</v>
      </c>
      <c r="BD21" s="3">
        <f>BC21/1000</f>
        <v>326875.66616000002</v>
      </c>
      <c r="BF21" s="3">
        <v>334178321.90000004</v>
      </c>
      <c r="BG21" s="3">
        <f t="shared" si="12"/>
        <v>334178.32190000004</v>
      </c>
      <c r="BI21" s="3">
        <v>335185987.05000001</v>
      </c>
      <c r="BJ21" s="3">
        <f t="shared" si="13"/>
        <v>335185.98705</v>
      </c>
      <c r="BK21" s="3">
        <v>350788888.66999996</v>
      </c>
      <c r="BL21" s="3">
        <f t="shared" si="14"/>
        <v>350788.88866999996</v>
      </c>
      <c r="BM21" s="3">
        <v>354891665.91999996</v>
      </c>
      <c r="BN21" s="3">
        <f t="shared" si="10"/>
        <v>354891.66591999994</v>
      </c>
    </row>
    <row r="22" spans="1:66">
      <c r="A22" s="1" t="s">
        <v>15</v>
      </c>
      <c r="B22" s="1">
        <v>43620</v>
      </c>
      <c r="C22" s="1">
        <v>45791</v>
      </c>
      <c r="D22" s="1">
        <v>48132.33844</v>
      </c>
      <c r="E22" s="1">
        <v>50771.67697</v>
      </c>
      <c r="F22" s="1">
        <v>56189.151119999995</v>
      </c>
      <c r="G22" s="1">
        <v>56779.342120000001</v>
      </c>
      <c r="H22" s="1">
        <v>56612.806689999998</v>
      </c>
      <c r="I22" s="1">
        <v>59272.968000000008</v>
      </c>
      <c r="J22" s="1">
        <v>58864.701850000005</v>
      </c>
      <c r="K22" s="1">
        <v>62066.550050000005</v>
      </c>
      <c r="L22" s="239">
        <f t="shared" si="11"/>
        <v>5.4393347785214345</v>
      </c>
      <c r="M22" s="239">
        <f t="shared" si="8"/>
        <v>49.147777569782207</v>
      </c>
      <c r="N22" s="14">
        <v>17223</v>
      </c>
      <c r="O22" s="14">
        <v>18557</v>
      </c>
      <c r="P22" s="14">
        <v>19284</v>
      </c>
      <c r="Q22" s="14">
        <v>20539</v>
      </c>
      <c r="R22" s="14">
        <v>22379</v>
      </c>
      <c r="S22" s="14">
        <v>24707</v>
      </c>
      <c r="T22" s="14">
        <v>26005</v>
      </c>
      <c r="U22" s="14">
        <v>26331</v>
      </c>
      <c r="V22" s="14">
        <f>26929614/1000</f>
        <v>26929.614000000001</v>
      </c>
      <c r="W22" s="14">
        <v>28762</v>
      </c>
      <c r="X22" s="14">
        <v>30942</v>
      </c>
      <c r="Y22" s="14">
        <v>31637</v>
      </c>
      <c r="Z22" s="14">
        <v>33570</v>
      </c>
      <c r="AA22" s="14">
        <v>35145</v>
      </c>
      <c r="AB22" s="14">
        <v>36158</v>
      </c>
      <c r="AC22" s="14">
        <v>37886</v>
      </c>
      <c r="AD22" s="1">
        <v>39987</v>
      </c>
      <c r="AE22" s="14">
        <v>39809.349000000002</v>
      </c>
      <c r="AF22" s="14">
        <v>41614.129999999997</v>
      </c>
      <c r="AG22" s="3">
        <v>39987149</v>
      </c>
      <c r="AH22" s="3">
        <f>AG22/1000</f>
        <v>39987.148999999998</v>
      </c>
      <c r="AJ22" s="3">
        <v>39809349</v>
      </c>
      <c r="AK22" s="3">
        <f>AJ22/1000</f>
        <v>39809.349000000002</v>
      </c>
      <c r="AM22" s="3">
        <v>41614130</v>
      </c>
      <c r="AN22" s="3">
        <f>AM22/1000</f>
        <v>41614.129999999997</v>
      </c>
      <c r="AP22" s="3">
        <v>43620370</v>
      </c>
      <c r="AQ22" s="3">
        <f>AP22/1000</f>
        <v>43620.37</v>
      </c>
      <c r="AS22" s="3">
        <v>45790721</v>
      </c>
      <c r="AT22" s="3">
        <f>AS22/1000</f>
        <v>45790.720999999998</v>
      </c>
      <c r="AV22" s="3">
        <v>48132338.439999998</v>
      </c>
      <c r="AW22" s="3">
        <f>AV22/1000</f>
        <v>48132.33844</v>
      </c>
      <c r="AY22" s="3">
        <v>50771676.969999999</v>
      </c>
      <c r="AZ22" s="3">
        <f>AY22/1000</f>
        <v>50771.67697</v>
      </c>
      <c r="BA22" s="3">
        <v>56189151.119999997</v>
      </c>
      <c r="BB22" s="3">
        <f>BA22/1000</f>
        <v>56189.151119999995</v>
      </c>
      <c r="BC22" s="3">
        <v>56779342.120000005</v>
      </c>
      <c r="BD22" s="3">
        <f>BC22/1000</f>
        <v>56779.342120000001</v>
      </c>
      <c r="BF22" s="3">
        <v>56612806.689999998</v>
      </c>
      <c r="BG22" s="3">
        <f t="shared" si="12"/>
        <v>56612.806689999998</v>
      </c>
      <c r="BI22" s="3">
        <v>59272968.000000007</v>
      </c>
      <c r="BJ22" s="3">
        <f t="shared" si="13"/>
        <v>59272.968000000008</v>
      </c>
      <c r="BK22" s="3">
        <v>58864701.850000001</v>
      </c>
      <c r="BL22" s="3">
        <f t="shared" si="14"/>
        <v>58864.701850000005</v>
      </c>
      <c r="BM22" s="3">
        <v>62066550.050000004</v>
      </c>
      <c r="BN22" s="3">
        <f t="shared" si="10"/>
        <v>62066.550050000005</v>
      </c>
    </row>
    <row r="23" spans="1:66">
      <c r="L23" s="239"/>
      <c r="M23" s="239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E23" s="14"/>
      <c r="AF23" s="14"/>
    </row>
    <row r="24" spans="1:66">
      <c r="A24" s="1" t="s">
        <v>16</v>
      </c>
      <c r="B24" s="1">
        <v>323651</v>
      </c>
      <c r="C24" s="1">
        <v>337833</v>
      </c>
      <c r="D24" s="1">
        <v>376870.64498000004</v>
      </c>
      <c r="E24" s="1">
        <v>410150.24592000002</v>
      </c>
      <c r="F24" s="1">
        <v>468578.65179999993</v>
      </c>
      <c r="G24" s="1">
        <v>489491.01265000005</v>
      </c>
      <c r="H24" s="1">
        <v>480171.65534</v>
      </c>
      <c r="I24" s="1">
        <v>506087.71141000005</v>
      </c>
      <c r="J24" s="1">
        <v>518883.92842999997</v>
      </c>
      <c r="K24" s="1">
        <v>517699.07287999999</v>
      </c>
      <c r="L24" s="239">
        <f t="shared" ref="L24:L28" si="15">(K24-J24)*100/J24</f>
        <v>-0.22834693562104061</v>
      </c>
      <c r="M24" s="239">
        <f t="shared" si="8"/>
        <v>71.553581337868948</v>
      </c>
      <c r="N24" s="14">
        <v>75384</v>
      </c>
      <c r="O24" s="14">
        <v>81537</v>
      </c>
      <c r="P24" s="14">
        <v>90178</v>
      </c>
      <c r="Q24" s="14">
        <v>99880</v>
      </c>
      <c r="R24" s="14">
        <v>112533</v>
      </c>
      <c r="S24" s="14">
        <v>126428</v>
      </c>
      <c r="T24" s="14">
        <v>139187</v>
      </c>
      <c r="U24" s="14">
        <v>146964</v>
      </c>
      <c r="V24" s="14">
        <f>154712888/1000</f>
        <v>154712.88800000001</v>
      </c>
      <c r="W24" s="14">
        <v>166137</v>
      </c>
      <c r="X24" s="14">
        <v>180856</v>
      </c>
      <c r="Y24" s="14">
        <v>189782</v>
      </c>
      <c r="Z24" s="14">
        <v>199618</v>
      </c>
      <c r="AA24" s="14">
        <v>212892</v>
      </c>
      <c r="AB24" s="14">
        <v>224989</v>
      </c>
      <c r="AC24" s="14">
        <v>238788</v>
      </c>
      <c r="AD24" s="1">
        <v>259886</v>
      </c>
      <c r="AE24" s="14">
        <v>279706.82799999998</v>
      </c>
      <c r="AF24" s="14">
        <v>301771.06699999998</v>
      </c>
      <c r="AG24" s="3">
        <v>259886317</v>
      </c>
      <c r="AH24" s="3">
        <f>AG24/1000</f>
        <v>259886.31700000001</v>
      </c>
      <c r="AJ24" s="3">
        <v>279706828</v>
      </c>
      <c r="AK24" s="3">
        <f>AJ24/1000</f>
        <v>279706.82799999998</v>
      </c>
      <c r="AM24" s="3">
        <v>301771067</v>
      </c>
      <c r="AN24" s="3">
        <f>AM24/1000</f>
        <v>301771.06699999998</v>
      </c>
      <c r="AP24" s="3">
        <v>323650507</v>
      </c>
      <c r="AQ24" s="3">
        <f>AP24/1000</f>
        <v>323650.50699999998</v>
      </c>
      <c r="AS24" s="3">
        <v>337832586</v>
      </c>
      <c r="AT24" s="3">
        <f>AS24/1000</f>
        <v>337832.58600000001</v>
      </c>
      <c r="AV24" s="3">
        <v>376870644.98000002</v>
      </c>
      <c r="AW24" s="3">
        <f>AV24/1000</f>
        <v>376870.64498000004</v>
      </c>
      <c r="AY24" s="3">
        <v>410150245.92000002</v>
      </c>
      <c r="AZ24" s="3">
        <f>AY24/1000</f>
        <v>410150.24592000002</v>
      </c>
      <c r="BA24" s="3">
        <v>468578651.79999995</v>
      </c>
      <c r="BB24" s="3">
        <f>BA24/1000</f>
        <v>468578.65179999993</v>
      </c>
      <c r="BC24" s="3">
        <v>489491012.65000004</v>
      </c>
      <c r="BD24" s="3">
        <f>BC24/1000</f>
        <v>489491.01265000005</v>
      </c>
      <c r="BF24" s="3">
        <v>480171655.33999997</v>
      </c>
      <c r="BG24" s="3">
        <f t="shared" si="12"/>
        <v>480171.65534</v>
      </c>
      <c r="BI24" s="3">
        <v>506087711.41000003</v>
      </c>
      <c r="BJ24" s="3">
        <f t="shared" ref="BJ24:BJ28" si="16">BI24/1000</f>
        <v>506087.71141000005</v>
      </c>
      <c r="BK24" s="3">
        <v>518883928.42999995</v>
      </c>
      <c r="BL24" s="3">
        <f>BK24/1000</f>
        <v>518883.92842999997</v>
      </c>
      <c r="BM24" s="3">
        <v>517699072.88</v>
      </c>
      <c r="BN24" s="3">
        <f t="shared" si="10"/>
        <v>517699.07287999999</v>
      </c>
    </row>
    <row r="25" spans="1:66">
      <c r="A25" s="1" t="s">
        <v>17</v>
      </c>
      <c r="B25" s="1">
        <v>44554</v>
      </c>
      <c r="C25" s="1">
        <v>45303</v>
      </c>
      <c r="D25" s="1">
        <v>47970.326270000005</v>
      </c>
      <c r="E25" s="1">
        <v>49773.022700000001</v>
      </c>
      <c r="F25" s="1">
        <v>54733.85349999999</v>
      </c>
      <c r="G25" s="1">
        <v>55841.300599999995</v>
      </c>
      <c r="H25" s="1">
        <v>57085.554730000003</v>
      </c>
      <c r="I25" s="1">
        <v>58023.16764</v>
      </c>
      <c r="J25" s="1">
        <v>61253.766879999996</v>
      </c>
      <c r="K25" s="1">
        <v>57159.101090000004</v>
      </c>
      <c r="L25" s="239">
        <f t="shared" si="15"/>
        <v>-6.6847575236012853</v>
      </c>
      <c r="M25" s="239">
        <f t="shared" si="8"/>
        <v>35.084250058397224</v>
      </c>
      <c r="N25" s="14">
        <v>16300</v>
      </c>
      <c r="O25" s="14">
        <v>18239</v>
      </c>
      <c r="P25" s="14">
        <v>19317</v>
      </c>
      <c r="Q25" s="14">
        <v>20941</v>
      </c>
      <c r="R25" s="14">
        <v>22889</v>
      </c>
      <c r="S25" s="14">
        <v>25003</v>
      </c>
      <c r="T25" s="14">
        <v>28358</v>
      </c>
      <c r="U25" s="14">
        <v>27211</v>
      </c>
      <c r="V25" s="14">
        <f>28378866/1000</f>
        <v>28378.866000000002</v>
      </c>
      <c r="W25" s="14">
        <v>29932</v>
      </c>
      <c r="X25" s="14">
        <v>30691</v>
      </c>
      <c r="Y25" s="14">
        <v>31873</v>
      </c>
      <c r="Z25" s="14">
        <v>33171</v>
      </c>
      <c r="AA25" s="14">
        <v>34351</v>
      </c>
      <c r="AB25" s="14">
        <v>36383</v>
      </c>
      <c r="AC25" s="14">
        <v>37241</v>
      </c>
      <c r="AD25" s="1">
        <v>38977</v>
      </c>
      <c r="AE25" s="14">
        <v>40406.322</v>
      </c>
      <c r="AF25" s="14">
        <v>42313.667999999998</v>
      </c>
      <c r="AG25" s="3">
        <v>38976929</v>
      </c>
      <c r="AH25" s="3">
        <f>AG25/1000</f>
        <v>38976.928999999996</v>
      </c>
      <c r="AJ25" s="3">
        <v>40406322</v>
      </c>
      <c r="AK25" s="3">
        <f>AJ25/1000</f>
        <v>40406.322</v>
      </c>
      <c r="AM25" s="3">
        <v>42313668</v>
      </c>
      <c r="AN25" s="3">
        <f>AM25/1000</f>
        <v>42313.667999999998</v>
      </c>
      <c r="AP25" s="3">
        <v>44553793</v>
      </c>
      <c r="AQ25" s="3">
        <f>AP25/1000</f>
        <v>44553.792999999998</v>
      </c>
      <c r="AS25" s="3">
        <v>45303253</v>
      </c>
      <c r="AT25" s="3">
        <f>AS25/1000</f>
        <v>45303.252999999997</v>
      </c>
      <c r="AV25" s="3">
        <v>47970326.270000003</v>
      </c>
      <c r="AW25" s="3">
        <f>AV25/1000</f>
        <v>47970.326270000005</v>
      </c>
      <c r="AY25" s="3">
        <v>49773022.700000003</v>
      </c>
      <c r="AZ25" s="3">
        <f>AY25/1000</f>
        <v>49773.022700000001</v>
      </c>
      <c r="BA25" s="3">
        <v>54733853.499999993</v>
      </c>
      <c r="BB25" s="3">
        <f>BA25/1000</f>
        <v>54733.85349999999</v>
      </c>
      <c r="BC25" s="3">
        <v>55841300.599999994</v>
      </c>
      <c r="BD25" s="3">
        <f>BC25/1000</f>
        <v>55841.300599999995</v>
      </c>
      <c r="BF25" s="3">
        <v>57085554.730000004</v>
      </c>
      <c r="BG25" s="3">
        <f t="shared" si="12"/>
        <v>57085.554730000003</v>
      </c>
      <c r="BI25" s="3">
        <v>58023167.640000001</v>
      </c>
      <c r="BJ25" s="3">
        <f t="shared" si="16"/>
        <v>58023.16764</v>
      </c>
      <c r="BK25" s="3">
        <v>61253766.879999995</v>
      </c>
      <c r="BL25" s="3">
        <f t="shared" ref="BL25:BL28" si="17">BK25/1000</f>
        <v>61253.766879999996</v>
      </c>
      <c r="BM25" s="3">
        <v>57159101.090000004</v>
      </c>
      <c r="BN25" s="3">
        <f t="shared" si="10"/>
        <v>57159.101090000004</v>
      </c>
    </row>
    <row r="26" spans="1:66">
      <c r="A26" s="1" t="s">
        <v>18</v>
      </c>
      <c r="B26" s="1">
        <v>320434</v>
      </c>
      <c r="C26" s="1">
        <v>333071</v>
      </c>
      <c r="D26" s="1">
        <v>384893.2697</v>
      </c>
      <c r="E26" s="1">
        <v>418095.69394000008</v>
      </c>
      <c r="F26" s="1">
        <v>454490.59314000001</v>
      </c>
      <c r="G26" s="1">
        <v>465946.9655300001</v>
      </c>
      <c r="H26" s="1">
        <v>482599.08681999997</v>
      </c>
      <c r="I26" s="1">
        <v>496362.21786000003</v>
      </c>
      <c r="J26" s="1">
        <v>504840.71366999997</v>
      </c>
      <c r="K26" s="1">
        <v>499061.39216000005</v>
      </c>
      <c r="L26" s="239">
        <f t="shared" si="15"/>
        <v>-1.1447811861263035</v>
      </c>
      <c r="M26" s="239">
        <f t="shared" si="8"/>
        <v>63.509854142579393</v>
      </c>
      <c r="N26" s="14">
        <v>87184</v>
      </c>
      <c r="O26" s="14">
        <v>93262</v>
      </c>
      <c r="P26" s="14">
        <v>101626</v>
      </c>
      <c r="Q26" s="14">
        <v>110388</v>
      </c>
      <c r="R26" s="14">
        <v>121661</v>
      </c>
      <c r="S26" s="14">
        <v>135641</v>
      </c>
      <c r="T26" s="14">
        <v>151025</v>
      </c>
      <c r="U26" s="14">
        <v>160235</v>
      </c>
      <c r="V26" s="14">
        <f>173681021/1000</f>
        <v>173681.02100000001</v>
      </c>
      <c r="W26" s="14">
        <v>185580</v>
      </c>
      <c r="X26" s="14">
        <v>198372</v>
      </c>
      <c r="Y26" s="14">
        <v>210676</v>
      </c>
      <c r="Z26" s="14">
        <v>220112</v>
      </c>
      <c r="AA26" s="14">
        <v>232231</v>
      </c>
      <c r="AB26" s="14">
        <v>241889</v>
      </c>
      <c r="AC26" s="14">
        <v>252011</v>
      </c>
      <c r="AD26" s="1">
        <v>271523</v>
      </c>
      <c r="AE26" s="14">
        <v>288792.84000000003</v>
      </c>
      <c r="AF26" s="14">
        <v>305217.93</v>
      </c>
      <c r="AG26" s="3">
        <v>271522776</v>
      </c>
      <c r="AH26" s="3">
        <f>AG26/1000</f>
        <v>271522.77600000001</v>
      </c>
      <c r="AJ26" s="3">
        <v>288792840</v>
      </c>
      <c r="AK26" s="3">
        <f>AJ26/1000</f>
        <v>288792.84000000003</v>
      </c>
      <c r="AM26" s="3">
        <v>305217930</v>
      </c>
      <c r="AN26" s="3">
        <f>AM26/1000</f>
        <v>305217.93</v>
      </c>
      <c r="AP26" s="3">
        <v>320433917</v>
      </c>
      <c r="AQ26" s="3">
        <f>AP26/1000</f>
        <v>320433.91700000002</v>
      </c>
      <c r="AS26" s="3">
        <v>333071314</v>
      </c>
      <c r="AT26" s="3">
        <f>AS26/1000</f>
        <v>333071.31400000001</v>
      </c>
      <c r="AV26" s="3">
        <v>384893269.69999999</v>
      </c>
      <c r="AW26" s="3">
        <f>AV26/1000</f>
        <v>384893.2697</v>
      </c>
      <c r="AY26" s="3">
        <v>418095693.94000006</v>
      </c>
      <c r="AZ26" s="3">
        <f>AY26/1000</f>
        <v>418095.69394000008</v>
      </c>
      <c r="BA26" s="3">
        <v>454490593.13999999</v>
      </c>
      <c r="BB26" s="3">
        <f>BA26/1000</f>
        <v>454490.59314000001</v>
      </c>
      <c r="BC26" s="3">
        <v>465946965.53000009</v>
      </c>
      <c r="BD26" s="3">
        <f>BC26/1000</f>
        <v>465946.9655300001</v>
      </c>
      <c r="BF26" s="3">
        <v>482599086.81999999</v>
      </c>
      <c r="BG26" s="3">
        <f t="shared" si="12"/>
        <v>482599.08681999997</v>
      </c>
      <c r="BI26" s="3">
        <v>496362217.86000001</v>
      </c>
      <c r="BJ26" s="3">
        <f t="shared" si="16"/>
        <v>496362.21786000003</v>
      </c>
      <c r="BK26" s="3">
        <v>504840713.66999996</v>
      </c>
      <c r="BL26" s="3">
        <f t="shared" si="17"/>
        <v>504840.71366999997</v>
      </c>
      <c r="BM26" s="3">
        <v>499061392.16000003</v>
      </c>
      <c r="BN26" s="3">
        <f t="shared" si="10"/>
        <v>499061.39216000005</v>
      </c>
    </row>
    <row r="27" spans="1:66">
      <c r="A27" s="1" t="s">
        <v>19</v>
      </c>
      <c r="B27" s="1">
        <v>477018</v>
      </c>
      <c r="C27" s="1">
        <v>485975</v>
      </c>
      <c r="D27" s="1">
        <v>553371.18236999994</v>
      </c>
      <c r="E27" s="1">
        <v>603542.18958000001</v>
      </c>
      <c r="F27" s="1">
        <v>672811.88290999993</v>
      </c>
      <c r="G27" s="1">
        <v>722210.77538000001</v>
      </c>
      <c r="H27" s="1">
        <v>733342.33449000015</v>
      </c>
      <c r="I27" s="1">
        <v>769170.23602000007</v>
      </c>
      <c r="J27" s="1">
        <v>771804.9164000001</v>
      </c>
      <c r="K27" s="1">
        <v>789964.92504999996</v>
      </c>
      <c r="L27" s="239">
        <f t="shared" si="15"/>
        <v>2.3529273089766307</v>
      </c>
      <c r="M27" s="239">
        <f t="shared" si="8"/>
        <v>80.175527505237824</v>
      </c>
      <c r="N27" s="14">
        <v>100203</v>
      </c>
      <c r="O27" s="14">
        <v>109561</v>
      </c>
      <c r="P27" s="14">
        <v>124154</v>
      </c>
      <c r="Q27" s="14">
        <v>136741</v>
      </c>
      <c r="R27" s="14">
        <v>156259</v>
      </c>
      <c r="S27" s="14">
        <v>178254</v>
      </c>
      <c r="T27" s="14">
        <v>205336</v>
      </c>
      <c r="U27" s="14">
        <v>202147</v>
      </c>
      <c r="V27" s="14">
        <f>214253511/1000</f>
        <v>214253.511</v>
      </c>
      <c r="W27" s="14">
        <v>229112</v>
      </c>
      <c r="X27" s="14">
        <v>247525</v>
      </c>
      <c r="Y27" s="14">
        <v>260197</v>
      </c>
      <c r="Z27" s="14">
        <v>270201</v>
      </c>
      <c r="AA27" s="14">
        <v>287508</v>
      </c>
      <c r="AB27" s="14">
        <v>312913</v>
      </c>
      <c r="AC27" s="14">
        <v>336551</v>
      </c>
      <c r="AD27" s="1">
        <v>405466</v>
      </c>
      <c r="AE27" s="14">
        <v>406995.70600000001</v>
      </c>
      <c r="AF27" s="14">
        <v>438441.85499999998</v>
      </c>
      <c r="AG27" s="3">
        <v>405466159</v>
      </c>
      <c r="AH27" s="3">
        <f>AG27/1000</f>
        <v>405466.15899999999</v>
      </c>
      <c r="AJ27" s="3">
        <v>406995706</v>
      </c>
      <c r="AK27" s="3">
        <f>AJ27/1000</f>
        <v>406995.70600000001</v>
      </c>
      <c r="AM27" s="3">
        <v>438441855</v>
      </c>
      <c r="AN27" s="3">
        <f>AM27/1000</f>
        <v>438441.85499999998</v>
      </c>
      <c r="AP27" s="3">
        <v>477018130</v>
      </c>
      <c r="AQ27" s="3">
        <f>AP27/1000</f>
        <v>477018.13</v>
      </c>
      <c r="AS27" s="3">
        <v>485975326</v>
      </c>
      <c r="AT27" s="3">
        <f>AS27/1000</f>
        <v>485975.326</v>
      </c>
      <c r="AV27" s="3">
        <v>553371182.36999989</v>
      </c>
      <c r="AW27" s="3">
        <f>AV27/1000</f>
        <v>553371.18236999994</v>
      </c>
      <c r="AY27" s="3">
        <v>603542189.58000004</v>
      </c>
      <c r="AZ27" s="3">
        <f>AY27/1000</f>
        <v>603542.18958000001</v>
      </c>
      <c r="BA27" s="3">
        <v>672811882.90999997</v>
      </c>
      <c r="BB27" s="3">
        <f>BA27/1000</f>
        <v>672811.88290999993</v>
      </c>
      <c r="BC27" s="3">
        <v>722210775.38</v>
      </c>
      <c r="BD27" s="3">
        <f>BC27/1000</f>
        <v>722210.77538000001</v>
      </c>
      <c r="BF27" s="3">
        <v>733342334.49000013</v>
      </c>
      <c r="BG27" s="3">
        <f t="shared" si="12"/>
        <v>733342.33449000015</v>
      </c>
      <c r="BI27" s="3">
        <v>769170236.0200001</v>
      </c>
      <c r="BJ27" s="3">
        <f t="shared" si="16"/>
        <v>769170.23602000007</v>
      </c>
      <c r="BK27" s="3">
        <v>771804916.4000001</v>
      </c>
      <c r="BL27" s="3">
        <f t="shared" si="17"/>
        <v>771804.9164000001</v>
      </c>
      <c r="BM27" s="3">
        <v>789964925.04999995</v>
      </c>
      <c r="BN27" s="3">
        <f t="shared" si="10"/>
        <v>789964.92504999996</v>
      </c>
    </row>
    <row r="28" spans="1:66">
      <c r="A28" s="1" t="s">
        <v>20</v>
      </c>
      <c r="B28" s="1">
        <v>25803</v>
      </c>
      <c r="C28" s="1">
        <v>26788</v>
      </c>
      <c r="D28" s="1">
        <v>27275.56539</v>
      </c>
      <c r="E28" s="1">
        <v>28951.736629999999</v>
      </c>
      <c r="F28" s="1">
        <v>30686.653009999998</v>
      </c>
      <c r="G28" s="1">
        <v>32317.724549999999</v>
      </c>
      <c r="H28" s="1">
        <v>33512.602319999998</v>
      </c>
      <c r="I28" s="1">
        <v>32503.100619999997</v>
      </c>
      <c r="J28" s="1">
        <v>31625.438919999997</v>
      </c>
      <c r="K28" s="1">
        <v>32676.285570000004</v>
      </c>
      <c r="L28" s="239">
        <f t="shared" si="15"/>
        <v>3.3227891402811456</v>
      </c>
      <c r="M28" s="239">
        <f t="shared" si="8"/>
        <v>21.27226982510204</v>
      </c>
      <c r="N28" s="14">
        <v>8786</v>
      </c>
      <c r="O28" s="14">
        <v>9524</v>
      </c>
      <c r="P28" s="14">
        <v>10455</v>
      </c>
      <c r="Q28" s="14">
        <v>10985</v>
      </c>
      <c r="R28" s="14">
        <v>12817</v>
      </c>
      <c r="S28" s="14">
        <v>14191</v>
      </c>
      <c r="T28" s="14">
        <v>14989</v>
      </c>
      <c r="U28" s="14">
        <v>15127</v>
      </c>
      <c r="V28" s="14">
        <f>15761349/1000</f>
        <v>15761.349</v>
      </c>
      <c r="W28" s="14">
        <v>17125</v>
      </c>
      <c r="X28" s="14">
        <v>18095</v>
      </c>
      <c r="Y28" s="14">
        <v>18854</v>
      </c>
      <c r="Z28" s="14">
        <v>19521</v>
      </c>
      <c r="AA28" s="14">
        <v>20739</v>
      </c>
      <c r="AB28" s="14">
        <v>21890</v>
      </c>
      <c r="AC28" s="14">
        <v>22694</v>
      </c>
      <c r="AD28" s="1">
        <v>24240</v>
      </c>
      <c r="AE28" s="14">
        <v>26254.73</v>
      </c>
      <c r="AF28" s="14">
        <v>26944.564999999999</v>
      </c>
      <c r="AG28" s="3">
        <v>24240126</v>
      </c>
      <c r="AH28" s="3">
        <f>AG28/1000</f>
        <v>24240.126</v>
      </c>
      <c r="AJ28" s="3">
        <v>26254730</v>
      </c>
      <c r="AK28" s="3">
        <f>AJ28/1000</f>
        <v>26254.73</v>
      </c>
      <c r="AM28" s="3">
        <v>26944565</v>
      </c>
      <c r="AN28" s="3">
        <f>AM28/1000</f>
        <v>26944.564999999999</v>
      </c>
      <c r="AP28" s="3">
        <v>25802894</v>
      </c>
      <c r="AQ28" s="3">
        <f>AP28/1000</f>
        <v>25802.894</v>
      </c>
      <c r="AS28" s="3">
        <v>26787615</v>
      </c>
      <c r="AT28" s="3">
        <f>AS28/1000</f>
        <v>26787.615000000002</v>
      </c>
      <c r="AV28" s="3">
        <v>27275565.390000001</v>
      </c>
      <c r="AW28" s="3">
        <f>AV28/1000</f>
        <v>27275.56539</v>
      </c>
      <c r="AY28" s="3">
        <v>28951736.629999999</v>
      </c>
      <c r="AZ28" s="3">
        <f>AY28/1000</f>
        <v>28951.736629999999</v>
      </c>
      <c r="BA28" s="3">
        <v>30686653.009999998</v>
      </c>
      <c r="BB28" s="3">
        <f>BA28/1000</f>
        <v>30686.653009999998</v>
      </c>
      <c r="BC28" s="3">
        <v>32317724.550000001</v>
      </c>
      <c r="BD28" s="3">
        <f>BC28/1000</f>
        <v>32317.724549999999</v>
      </c>
      <c r="BF28" s="3">
        <v>33512602.32</v>
      </c>
      <c r="BG28" s="3">
        <f t="shared" si="12"/>
        <v>33512.602319999998</v>
      </c>
      <c r="BI28" s="3">
        <v>32503100.619999997</v>
      </c>
      <c r="BJ28" s="3">
        <f t="shared" si="16"/>
        <v>32503.100619999997</v>
      </c>
      <c r="BK28" s="3">
        <v>31625438.919999998</v>
      </c>
      <c r="BL28" s="3">
        <f t="shared" si="17"/>
        <v>31625.438919999997</v>
      </c>
      <c r="BM28" s="3">
        <v>32676285.570000004</v>
      </c>
      <c r="BN28" s="3">
        <f t="shared" si="10"/>
        <v>32676.285570000004</v>
      </c>
    </row>
    <row r="29" spans="1:66">
      <c r="L29" s="239"/>
      <c r="M29" s="239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E29" s="14"/>
      <c r="AF29" s="14"/>
    </row>
    <row r="30" spans="1:66">
      <c r="A30" s="1" t="s">
        <v>21</v>
      </c>
      <c r="B30" s="1">
        <v>1553754</v>
      </c>
      <c r="C30" s="1">
        <v>1587753</v>
      </c>
      <c r="D30" s="1">
        <v>1774934.1495399999</v>
      </c>
      <c r="E30" s="1">
        <v>1904304.6824500002</v>
      </c>
      <c r="F30" s="1">
        <v>2054411.36595</v>
      </c>
      <c r="G30" s="1">
        <v>2152630.6597899999</v>
      </c>
      <c r="H30" s="1">
        <v>2148743.6883399999</v>
      </c>
      <c r="I30" s="1">
        <v>2229662.0943399998</v>
      </c>
      <c r="J30" s="1">
        <v>2222194.46735</v>
      </c>
      <c r="K30" s="1">
        <v>2284798.2665299997</v>
      </c>
      <c r="L30" s="239">
        <f t="shared" ref="L30:L34" si="18">(K30-J30)*100/J30</f>
        <v>2.817206149138495</v>
      </c>
      <c r="M30" s="239">
        <f t="shared" si="8"/>
        <v>57.255210476540576</v>
      </c>
      <c r="N30" s="14">
        <v>451095</v>
      </c>
      <c r="O30" s="14">
        <v>489309</v>
      </c>
      <c r="P30" s="14">
        <v>535242</v>
      </c>
      <c r="Q30" s="14">
        <v>586065</v>
      </c>
      <c r="R30" s="14">
        <v>649792</v>
      </c>
      <c r="S30" s="14">
        <v>719405</v>
      </c>
      <c r="T30" s="14">
        <v>786709</v>
      </c>
      <c r="U30" s="14">
        <v>795873</v>
      </c>
      <c r="V30" s="14">
        <f>822642892/1000</f>
        <v>822642.89199999999</v>
      </c>
      <c r="W30" s="14">
        <v>853939</v>
      </c>
      <c r="X30" s="14">
        <v>899273</v>
      </c>
      <c r="Y30" s="14">
        <v>945752</v>
      </c>
      <c r="Z30" s="14">
        <v>987884</v>
      </c>
      <c r="AA30" s="14">
        <v>1036255</v>
      </c>
      <c r="AB30" s="14">
        <v>1096476</v>
      </c>
      <c r="AC30" s="14">
        <v>1164850</v>
      </c>
      <c r="AD30" s="1">
        <v>1269483</v>
      </c>
      <c r="AE30" s="14">
        <v>1373236.071</v>
      </c>
      <c r="AF30" s="14">
        <v>1452923.7279999999</v>
      </c>
      <c r="AG30" s="3">
        <v>1269483383</v>
      </c>
      <c r="AH30" s="3">
        <f>AG30/1000</f>
        <v>1269483.3829999999</v>
      </c>
      <c r="AJ30" s="3">
        <v>1373236071</v>
      </c>
      <c r="AK30" s="3">
        <f>AJ30/1000</f>
        <v>1373236.071</v>
      </c>
      <c r="AM30" s="3">
        <v>1452923728</v>
      </c>
      <c r="AN30" s="3">
        <f>AM30/1000</f>
        <v>1452923.7279999999</v>
      </c>
      <c r="AP30" s="3">
        <v>1553753884</v>
      </c>
      <c r="AQ30" s="3">
        <f>AP30/1000</f>
        <v>1553753.8840000001</v>
      </c>
      <c r="AS30" s="3">
        <v>1587753449</v>
      </c>
      <c r="AT30" s="3">
        <f>AS30/1000</f>
        <v>1587753.449</v>
      </c>
      <c r="AV30" s="3">
        <v>1774934149.54</v>
      </c>
      <c r="AW30" s="3">
        <f>AV30/1000</f>
        <v>1774934.1495399999</v>
      </c>
      <c r="AY30" s="3">
        <v>1904304682.4500003</v>
      </c>
      <c r="AZ30" s="3">
        <f>AY30/1000</f>
        <v>1904304.6824500002</v>
      </c>
      <c r="BA30" s="3">
        <v>2054411365.95</v>
      </c>
      <c r="BB30" s="3">
        <f>BA30/1000</f>
        <v>2054411.36595</v>
      </c>
      <c r="BC30" s="3">
        <v>2152630659.79</v>
      </c>
      <c r="BD30" s="3">
        <f>BC30/1000</f>
        <v>2152630.6597899999</v>
      </c>
      <c r="BF30" s="3">
        <v>2148743688.3399997</v>
      </c>
      <c r="BG30" s="3">
        <f t="shared" si="12"/>
        <v>2148743.6883399999</v>
      </c>
      <c r="BI30" s="3">
        <v>2229662094.3399997</v>
      </c>
      <c r="BJ30" s="3">
        <f t="shared" ref="BJ30:BJ34" si="19">BI30/1000</f>
        <v>2229662.0943399998</v>
      </c>
      <c r="BK30" s="3">
        <v>2222194467.3499999</v>
      </c>
      <c r="BL30" s="3">
        <f>BK30/1000</f>
        <v>2222194.46735</v>
      </c>
      <c r="BM30" s="3">
        <v>2284798266.5299997</v>
      </c>
      <c r="BN30" s="3">
        <f t="shared" si="10"/>
        <v>2284798.2665299997</v>
      </c>
    </row>
    <row r="31" spans="1:66">
      <c r="A31" s="1" t="s">
        <v>22</v>
      </c>
      <c r="B31" s="1">
        <v>1244807</v>
      </c>
      <c r="C31" s="1">
        <v>1332440</v>
      </c>
      <c r="D31" s="1">
        <v>1415572.58075</v>
      </c>
      <c r="E31" s="1">
        <v>1544702.6196299999</v>
      </c>
      <c r="F31" s="1">
        <v>1685301.11628</v>
      </c>
      <c r="G31" s="1">
        <v>1707413.44759</v>
      </c>
      <c r="H31" s="1">
        <v>1743283.6818299999</v>
      </c>
      <c r="I31" s="1">
        <v>1767692.5704300001</v>
      </c>
      <c r="J31" s="1">
        <v>1776300.8933599999</v>
      </c>
      <c r="K31" s="1">
        <v>1805949.3248899998</v>
      </c>
      <c r="L31" s="239">
        <f t="shared" si="18"/>
        <v>1.6691108832309272</v>
      </c>
      <c r="M31" s="239">
        <f t="shared" si="8"/>
        <v>53.702096043573853</v>
      </c>
      <c r="N31" s="14">
        <v>377229</v>
      </c>
      <c r="O31" s="14">
        <v>409799</v>
      </c>
      <c r="P31" s="14">
        <v>448356</v>
      </c>
      <c r="Q31" s="14">
        <v>500893</v>
      </c>
      <c r="R31" s="14">
        <v>538545</v>
      </c>
      <c r="S31" s="14">
        <v>581630</v>
      </c>
      <c r="T31" s="14">
        <v>633729</v>
      </c>
      <c r="U31" s="14">
        <v>634536</v>
      </c>
      <c r="V31" s="14">
        <f>675680520/1000</f>
        <v>675680.52</v>
      </c>
      <c r="W31" s="14">
        <v>711713</v>
      </c>
      <c r="X31" s="14">
        <v>761421</v>
      </c>
      <c r="Y31" s="14">
        <v>788055</v>
      </c>
      <c r="Z31" s="14">
        <v>824222</v>
      </c>
      <c r="AA31" s="14">
        <v>876798</v>
      </c>
      <c r="AB31" s="14">
        <v>925086</v>
      </c>
      <c r="AC31" s="14">
        <v>972642</v>
      </c>
      <c r="AD31" s="1">
        <v>1030545</v>
      </c>
      <c r="AE31" s="14">
        <v>1084505.3089999999</v>
      </c>
      <c r="AF31" s="14">
        <v>1174967.2720000001</v>
      </c>
      <c r="AG31" s="3">
        <v>1030545286</v>
      </c>
      <c r="AH31" s="3">
        <f>AG31/1000</f>
        <v>1030545.286</v>
      </c>
      <c r="AJ31" s="3">
        <v>1084505309</v>
      </c>
      <c r="AK31" s="3">
        <f>AJ31/1000</f>
        <v>1084505.3089999999</v>
      </c>
      <c r="AM31" s="3">
        <v>1174967272</v>
      </c>
      <c r="AN31" s="3">
        <f>AM31/1000</f>
        <v>1174967.2720000001</v>
      </c>
      <c r="AP31" s="3">
        <v>1244806580</v>
      </c>
      <c r="AQ31" s="3">
        <f>AP31/1000</f>
        <v>1244806.58</v>
      </c>
      <c r="AS31" s="3">
        <v>1332440418</v>
      </c>
      <c r="AT31" s="3">
        <f>AS31/1000</f>
        <v>1332440.4180000001</v>
      </c>
      <c r="AV31" s="3">
        <v>1415572580.75</v>
      </c>
      <c r="AW31" s="3">
        <f>AV31/1000</f>
        <v>1415572.58075</v>
      </c>
      <c r="AY31" s="3">
        <v>1544702619.6299999</v>
      </c>
      <c r="AZ31" s="3">
        <f>AY31/1000</f>
        <v>1544702.6196299999</v>
      </c>
      <c r="BA31" s="3">
        <v>1685301116.28</v>
      </c>
      <c r="BB31" s="3">
        <f>BA31/1000</f>
        <v>1685301.11628</v>
      </c>
      <c r="BC31" s="3">
        <v>1707413447.5899999</v>
      </c>
      <c r="BD31" s="3">
        <f>BC31/1000</f>
        <v>1707413.44759</v>
      </c>
      <c r="BF31" s="3">
        <v>1743283681.8299999</v>
      </c>
      <c r="BG31" s="3">
        <f t="shared" si="12"/>
        <v>1743283.6818299999</v>
      </c>
      <c r="BI31" s="3">
        <v>1767692570.4300001</v>
      </c>
      <c r="BJ31" s="3">
        <f t="shared" si="19"/>
        <v>1767692.5704300001</v>
      </c>
      <c r="BK31" s="3">
        <v>1776300893.3599999</v>
      </c>
      <c r="BL31" s="3">
        <f t="shared" ref="BL31:BL34" si="20">BK31/1000</f>
        <v>1776300.8933599999</v>
      </c>
      <c r="BM31" s="3">
        <v>1805949324.8899999</v>
      </c>
      <c r="BN31" s="3">
        <f t="shared" si="10"/>
        <v>1805949.3248899998</v>
      </c>
    </row>
    <row r="32" spans="1:66">
      <c r="A32" s="1" t="s">
        <v>23</v>
      </c>
      <c r="B32" s="1">
        <v>63997</v>
      </c>
      <c r="C32" s="1">
        <v>65388</v>
      </c>
      <c r="D32" s="1">
        <v>71447.010880000016</v>
      </c>
      <c r="E32" s="1">
        <v>75198.828180000011</v>
      </c>
      <c r="F32" s="1">
        <v>83170.687010000009</v>
      </c>
      <c r="G32" s="1">
        <v>88460.171629999997</v>
      </c>
      <c r="H32" s="1">
        <v>90661.558799999999</v>
      </c>
      <c r="I32" s="1">
        <v>92533.858619999985</v>
      </c>
      <c r="J32" s="1">
        <v>88167.346329999986</v>
      </c>
      <c r="K32" s="1">
        <v>90565.317670000019</v>
      </c>
      <c r="L32" s="239">
        <f t="shared" si="18"/>
        <v>2.7197952981648204</v>
      </c>
      <c r="M32" s="239">
        <f t="shared" si="8"/>
        <v>50.106520593443527</v>
      </c>
      <c r="N32" s="14">
        <v>15658</v>
      </c>
      <c r="O32" s="14">
        <v>18457</v>
      </c>
      <c r="P32" s="14">
        <v>20513</v>
      </c>
      <c r="Q32" s="14">
        <v>22155</v>
      </c>
      <c r="R32" s="14">
        <v>23730</v>
      </c>
      <c r="S32" s="14">
        <v>26520</v>
      </c>
      <c r="T32" s="14">
        <v>29915</v>
      </c>
      <c r="U32" s="14">
        <v>32299</v>
      </c>
      <c r="V32" s="14">
        <f>32655484/1000</f>
        <v>32655.484</v>
      </c>
      <c r="W32" s="14">
        <v>34589</v>
      </c>
      <c r="X32" s="14">
        <v>36420</v>
      </c>
      <c r="Y32" s="14">
        <v>37577</v>
      </c>
      <c r="Z32" s="14">
        <v>40009</v>
      </c>
      <c r="AA32" s="14">
        <v>41729</v>
      </c>
      <c r="AB32" s="14">
        <v>46117</v>
      </c>
      <c r="AC32" s="14">
        <v>48358</v>
      </c>
      <c r="AD32" s="1">
        <v>52384</v>
      </c>
      <c r="AE32" s="14">
        <v>56914.517</v>
      </c>
      <c r="AF32" s="14">
        <v>60334.033000000003</v>
      </c>
      <c r="AG32" s="3">
        <v>52384264</v>
      </c>
      <c r="AH32" s="3">
        <f>AG32/1000</f>
        <v>52384.264000000003</v>
      </c>
      <c r="AJ32" s="3">
        <v>56914517</v>
      </c>
      <c r="AK32" s="3">
        <f>AJ32/1000</f>
        <v>56914.517</v>
      </c>
      <c r="AM32" s="3">
        <v>60334033</v>
      </c>
      <c r="AN32" s="3">
        <f>AM32/1000</f>
        <v>60334.033000000003</v>
      </c>
      <c r="AP32" s="3">
        <v>63996688</v>
      </c>
      <c r="AQ32" s="3">
        <f>AP32/1000</f>
        <v>63996.688000000002</v>
      </c>
      <c r="AS32" s="3">
        <v>65388388</v>
      </c>
      <c r="AT32" s="3">
        <f>AS32/1000</f>
        <v>65388.387999999999</v>
      </c>
      <c r="AV32" s="3">
        <v>71447010.88000001</v>
      </c>
      <c r="AW32" s="3">
        <f>AV32/1000</f>
        <v>71447.010880000016</v>
      </c>
      <c r="AY32" s="3">
        <v>75198828.180000007</v>
      </c>
      <c r="AZ32" s="3">
        <f>AY32/1000</f>
        <v>75198.828180000011</v>
      </c>
      <c r="BA32" s="3">
        <v>83170687.010000005</v>
      </c>
      <c r="BB32" s="3">
        <f>BA32/1000</f>
        <v>83170.687010000009</v>
      </c>
      <c r="BC32" s="3">
        <v>88460171.629999995</v>
      </c>
      <c r="BD32" s="3">
        <f>BC32/1000</f>
        <v>88460.171629999997</v>
      </c>
      <c r="BF32" s="3">
        <v>90661558.799999997</v>
      </c>
      <c r="BG32" s="3">
        <f t="shared" si="12"/>
        <v>90661.558799999999</v>
      </c>
      <c r="BI32" s="3">
        <v>92533858.61999999</v>
      </c>
      <c r="BJ32" s="3">
        <f t="shared" si="19"/>
        <v>92533.858619999985</v>
      </c>
      <c r="BK32" s="3">
        <v>88167346.329999983</v>
      </c>
      <c r="BL32" s="3">
        <f t="shared" si="20"/>
        <v>88167.346329999986</v>
      </c>
      <c r="BM32" s="3">
        <v>90565317.670000017</v>
      </c>
      <c r="BN32" s="3">
        <f t="shared" si="10"/>
        <v>90565.317670000019</v>
      </c>
    </row>
    <row r="33" spans="1:66">
      <c r="A33" s="1" t="s">
        <v>24</v>
      </c>
      <c r="B33" s="1">
        <v>134795</v>
      </c>
      <c r="C33" s="1">
        <v>140812</v>
      </c>
      <c r="D33" s="1">
        <v>157832.25778000001</v>
      </c>
      <c r="E33" s="1">
        <v>168720.14928000001</v>
      </c>
      <c r="F33" s="1">
        <v>192954.03862000001</v>
      </c>
      <c r="G33" s="1">
        <v>199553.50366999998</v>
      </c>
      <c r="H33" s="1">
        <v>200496.29494999998</v>
      </c>
      <c r="I33" s="1">
        <v>204078.63321</v>
      </c>
      <c r="J33" s="1">
        <v>203981.85444000002</v>
      </c>
      <c r="K33" s="1">
        <v>215527.37529</v>
      </c>
      <c r="L33" s="239">
        <f t="shared" si="18"/>
        <v>5.6600725009076793</v>
      </c>
      <c r="M33" s="239">
        <f t="shared" si="8"/>
        <v>70.912553695410239</v>
      </c>
      <c r="N33" s="14">
        <v>37214</v>
      </c>
      <c r="O33" s="14">
        <v>40446</v>
      </c>
      <c r="P33" s="14">
        <v>44576</v>
      </c>
      <c r="Q33" s="14">
        <v>49553</v>
      </c>
      <c r="R33" s="14">
        <v>53583</v>
      </c>
      <c r="S33" s="14">
        <v>58369</v>
      </c>
      <c r="T33" s="14">
        <v>63845</v>
      </c>
      <c r="U33" s="14">
        <v>71320</v>
      </c>
      <c r="V33" s="14">
        <f>73289900/1000</f>
        <v>73289.899999999994</v>
      </c>
      <c r="W33" s="14">
        <v>75984</v>
      </c>
      <c r="X33" s="14">
        <v>80578</v>
      </c>
      <c r="Y33" s="14">
        <v>81446</v>
      </c>
      <c r="Z33" s="14">
        <v>87200</v>
      </c>
      <c r="AA33" s="14">
        <v>91633</v>
      </c>
      <c r="AB33" s="14">
        <v>96785</v>
      </c>
      <c r="AC33" s="14">
        <v>102952</v>
      </c>
      <c r="AD33" s="1">
        <v>110571</v>
      </c>
      <c r="AE33" s="14">
        <v>119941.02800000001</v>
      </c>
      <c r="AF33" s="14">
        <v>126103.88800000001</v>
      </c>
      <c r="AG33" s="3">
        <v>110571476</v>
      </c>
      <c r="AH33" s="3">
        <f>AG33/1000</f>
        <v>110571.476</v>
      </c>
      <c r="AJ33" s="3">
        <v>119941028</v>
      </c>
      <c r="AK33" s="3">
        <f>AJ33/1000</f>
        <v>119941.02800000001</v>
      </c>
      <c r="AM33" s="3">
        <v>126103888</v>
      </c>
      <c r="AN33" s="3">
        <f>AM33/1000</f>
        <v>126103.88800000001</v>
      </c>
      <c r="AP33" s="3">
        <v>134794651</v>
      </c>
      <c r="AQ33" s="3">
        <f>AP33/1000</f>
        <v>134794.65100000001</v>
      </c>
      <c r="AS33" s="3">
        <v>140812053</v>
      </c>
      <c r="AT33" s="3">
        <f>AS33/1000</f>
        <v>140812.05300000001</v>
      </c>
      <c r="AV33" s="3">
        <v>157832257.78</v>
      </c>
      <c r="AW33" s="3">
        <f>AV33/1000</f>
        <v>157832.25778000001</v>
      </c>
      <c r="AY33" s="3">
        <v>168720149.28</v>
      </c>
      <c r="AZ33" s="3">
        <f>AY33/1000</f>
        <v>168720.14928000001</v>
      </c>
      <c r="BA33" s="3">
        <v>192954038.62</v>
      </c>
      <c r="BB33" s="3">
        <f>BA33/1000</f>
        <v>192954.03862000001</v>
      </c>
      <c r="BC33" s="3">
        <v>199553503.66999999</v>
      </c>
      <c r="BD33" s="3">
        <f>BC33/1000</f>
        <v>199553.50366999998</v>
      </c>
      <c r="BF33" s="3">
        <v>200496294.94999999</v>
      </c>
      <c r="BG33" s="3">
        <f t="shared" si="12"/>
        <v>200496.29494999998</v>
      </c>
      <c r="BI33" s="3">
        <v>204078633.21000001</v>
      </c>
      <c r="BJ33" s="3">
        <f t="shared" si="19"/>
        <v>204078.63321</v>
      </c>
      <c r="BK33" s="3">
        <v>203981854.44000003</v>
      </c>
      <c r="BL33" s="3">
        <f t="shared" si="20"/>
        <v>203981.85444000002</v>
      </c>
      <c r="BM33" s="3">
        <v>215527375.28999999</v>
      </c>
      <c r="BN33" s="3">
        <f t="shared" si="10"/>
        <v>215527.37529</v>
      </c>
    </row>
    <row r="34" spans="1:66">
      <c r="A34" s="1" t="s">
        <v>25</v>
      </c>
      <c r="B34" s="1">
        <v>29198</v>
      </c>
      <c r="C34" s="1">
        <v>30864</v>
      </c>
      <c r="D34" s="1">
        <v>33129.130109999998</v>
      </c>
      <c r="E34" s="1">
        <v>37157.094489999996</v>
      </c>
      <c r="F34" s="1">
        <v>40022.820740000003</v>
      </c>
      <c r="G34" s="1">
        <v>40539.006870000005</v>
      </c>
      <c r="H34" s="1">
        <v>41184.973819999992</v>
      </c>
      <c r="I34" s="1">
        <v>40878.40438</v>
      </c>
      <c r="J34" s="1">
        <v>41247.583570000003</v>
      </c>
      <c r="K34" s="1">
        <v>41191.902670000003</v>
      </c>
      <c r="L34" s="239">
        <f t="shared" si="18"/>
        <v>-0.13499190784232257</v>
      </c>
      <c r="M34" s="239">
        <f t="shared" si="8"/>
        <v>43.269570374960438</v>
      </c>
      <c r="N34" s="14">
        <v>10681</v>
      </c>
      <c r="O34" s="14">
        <v>11539</v>
      </c>
      <c r="P34" s="14">
        <v>12404</v>
      </c>
      <c r="Q34" s="14">
        <v>13369</v>
      </c>
      <c r="R34" s="14">
        <v>15015</v>
      </c>
      <c r="S34" s="14">
        <v>16222</v>
      </c>
      <c r="T34" s="14">
        <v>17441</v>
      </c>
      <c r="U34" s="14">
        <v>17675</v>
      </c>
      <c r="V34" s="14">
        <f>18672234/1000</f>
        <v>18672.234</v>
      </c>
      <c r="W34" s="14">
        <v>19936</v>
      </c>
      <c r="X34" s="14">
        <v>20966</v>
      </c>
      <c r="Y34" s="14">
        <v>21879</v>
      </c>
      <c r="Z34" s="14">
        <v>21775</v>
      </c>
      <c r="AA34" s="14">
        <v>23881</v>
      </c>
      <c r="AB34" s="14">
        <v>24388</v>
      </c>
      <c r="AC34" s="14">
        <v>25102</v>
      </c>
      <c r="AD34" s="1">
        <v>26248</v>
      </c>
      <c r="AE34" s="14">
        <v>27406.363000000001</v>
      </c>
      <c r="AF34" s="14">
        <v>28751.327000000001</v>
      </c>
      <c r="AG34" s="3">
        <v>26248393</v>
      </c>
      <c r="AH34" s="3">
        <f>AG34/1000</f>
        <v>26248.393</v>
      </c>
      <c r="AJ34" s="3">
        <v>27406363</v>
      </c>
      <c r="AK34" s="3">
        <f>AJ34/1000</f>
        <v>27406.363000000001</v>
      </c>
      <c r="AM34" s="3">
        <v>28751327</v>
      </c>
      <c r="AN34" s="3">
        <f>AM34/1000</f>
        <v>28751.327000000001</v>
      </c>
      <c r="AP34" s="3">
        <v>29198324</v>
      </c>
      <c r="AQ34" s="3">
        <f>AP34/1000</f>
        <v>29198.324000000001</v>
      </c>
      <c r="AS34" s="3">
        <v>30864104</v>
      </c>
      <c r="AT34" s="3">
        <f>AS34/1000</f>
        <v>30864.103999999999</v>
      </c>
      <c r="AV34" s="3">
        <v>33129130.109999999</v>
      </c>
      <c r="AW34" s="3">
        <f>AV34/1000</f>
        <v>33129.130109999998</v>
      </c>
      <c r="AY34" s="3">
        <v>37157094.489999995</v>
      </c>
      <c r="AZ34" s="3">
        <f>AY34/1000</f>
        <v>37157.094489999996</v>
      </c>
      <c r="BA34" s="3">
        <v>40022820.740000002</v>
      </c>
      <c r="BB34" s="3">
        <f>BA34/1000</f>
        <v>40022.820740000003</v>
      </c>
      <c r="BC34" s="3">
        <v>40539006.870000005</v>
      </c>
      <c r="BD34" s="3">
        <f>BC34/1000</f>
        <v>40539.006870000005</v>
      </c>
      <c r="BF34" s="3">
        <v>41184973.819999993</v>
      </c>
      <c r="BG34" s="3">
        <f t="shared" si="12"/>
        <v>41184.973819999992</v>
      </c>
      <c r="BI34" s="3">
        <v>40878404.380000003</v>
      </c>
      <c r="BJ34" s="3">
        <f t="shared" si="19"/>
        <v>40878.40438</v>
      </c>
      <c r="BK34" s="3">
        <v>41247583.57</v>
      </c>
      <c r="BL34" s="3">
        <f t="shared" si="20"/>
        <v>41247.583570000003</v>
      </c>
      <c r="BM34" s="3">
        <v>41191902.670000002</v>
      </c>
      <c r="BN34" s="3">
        <f t="shared" si="10"/>
        <v>41191.902670000003</v>
      </c>
    </row>
    <row r="35" spans="1:66">
      <c r="L35" s="239"/>
      <c r="M35" s="239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E35" s="14"/>
      <c r="AF35" s="14"/>
    </row>
    <row r="36" spans="1:66">
      <c r="A36" s="1" t="s">
        <v>26</v>
      </c>
      <c r="B36" s="1">
        <v>40464</v>
      </c>
      <c r="C36" s="1">
        <v>40896</v>
      </c>
      <c r="D36" s="1">
        <v>43709.370900000009</v>
      </c>
      <c r="E36" s="1">
        <v>46233.238040000004</v>
      </c>
      <c r="F36" s="1">
        <v>47855.74811</v>
      </c>
      <c r="G36" s="1">
        <v>50191.265950000001</v>
      </c>
      <c r="H36" s="1">
        <v>52479.281660000001</v>
      </c>
      <c r="I36" s="1">
        <v>53435.554759999999</v>
      </c>
      <c r="J36" s="1">
        <v>52290.65713</v>
      </c>
      <c r="K36" s="1">
        <v>54902.155159999995</v>
      </c>
      <c r="L36" s="239">
        <f t="shared" ref="L36:L39" si="21">(K36-J36)*100/J36</f>
        <v>4.9941962356822946</v>
      </c>
      <c r="M36" s="239">
        <f t="shared" si="8"/>
        <v>44.503636097802215</v>
      </c>
      <c r="N36" s="14">
        <v>12772</v>
      </c>
      <c r="O36" s="14">
        <v>13595</v>
      </c>
      <c r="P36" s="14">
        <v>14223</v>
      </c>
      <c r="Q36" s="14">
        <v>16325</v>
      </c>
      <c r="R36" s="14">
        <v>17771</v>
      </c>
      <c r="S36" s="14">
        <v>20709</v>
      </c>
      <c r="T36" s="14">
        <v>21642</v>
      </c>
      <c r="U36" s="14">
        <v>21550</v>
      </c>
      <c r="V36" s="14">
        <f>22152464/1000</f>
        <v>22152.464</v>
      </c>
      <c r="W36" s="14">
        <v>24317</v>
      </c>
      <c r="X36" s="14">
        <v>26254</v>
      </c>
      <c r="Y36" s="14">
        <v>27215</v>
      </c>
      <c r="Z36" s="14">
        <v>27114</v>
      </c>
      <c r="AA36" s="14">
        <v>27765</v>
      </c>
      <c r="AB36" s="14">
        <v>29900</v>
      </c>
      <c r="AC36" s="14">
        <v>31143</v>
      </c>
      <c r="AD36" s="1">
        <v>33273</v>
      </c>
      <c r="AE36" s="14">
        <v>35813.696000000004</v>
      </c>
      <c r="AF36" s="14">
        <v>37993.614999999998</v>
      </c>
      <c r="AG36" s="3">
        <v>33272922</v>
      </c>
      <c r="AH36" s="3">
        <f>AG36/1000</f>
        <v>33272.921999999999</v>
      </c>
      <c r="AJ36" s="3">
        <v>35813696</v>
      </c>
      <c r="AK36" s="3">
        <f>AJ36/1000</f>
        <v>35813.696000000004</v>
      </c>
      <c r="AM36" s="3">
        <v>37993615</v>
      </c>
      <c r="AN36" s="3">
        <f>AM36/1000</f>
        <v>37993.614999999998</v>
      </c>
      <c r="AP36" s="3">
        <v>40464053</v>
      </c>
      <c r="AQ36" s="3">
        <f>AP36/1000</f>
        <v>40464.053</v>
      </c>
      <c r="AS36" s="3">
        <v>40895823</v>
      </c>
      <c r="AT36" s="3">
        <f>AS36/1000</f>
        <v>40895.822999999997</v>
      </c>
      <c r="AV36" s="3">
        <v>43709370.900000006</v>
      </c>
      <c r="AW36" s="3">
        <f>AV36/1000</f>
        <v>43709.370900000009</v>
      </c>
      <c r="AY36" s="3">
        <v>46233238.040000007</v>
      </c>
      <c r="AZ36" s="3">
        <f>AY36/1000</f>
        <v>46233.238040000004</v>
      </c>
      <c r="BA36" s="3">
        <v>47855748.109999999</v>
      </c>
      <c r="BB36" s="3">
        <f>BA36/1000</f>
        <v>47855.74811</v>
      </c>
      <c r="BC36" s="3">
        <v>50191265.950000003</v>
      </c>
      <c r="BD36" s="3">
        <f>BC36/1000</f>
        <v>50191.265950000001</v>
      </c>
      <c r="BF36" s="3">
        <v>52479281.660000004</v>
      </c>
      <c r="BG36" s="3">
        <f t="shared" si="12"/>
        <v>52479.281660000001</v>
      </c>
      <c r="BI36" s="3">
        <v>53435554.759999998</v>
      </c>
      <c r="BJ36" s="3">
        <f t="shared" ref="BJ36:BJ39" si="22">BI36/1000</f>
        <v>53435.554759999999</v>
      </c>
      <c r="BK36" s="3">
        <v>52290657.130000003</v>
      </c>
      <c r="BL36" s="3">
        <f>BK36/1000</f>
        <v>52290.65713</v>
      </c>
      <c r="BM36" s="3">
        <v>54902155.159999996</v>
      </c>
      <c r="BN36" s="3">
        <f t="shared" si="10"/>
        <v>54902.155159999995</v>
      </c>
    </row>
    <row r="37" spans="1:66">
      <c r="A37" s="1" t="s">
        <v>27</v>
      </c>
      <c r="B37" s="1">
        <v>170560</v>
      </c>
      <c r="C37" s="1">
        <v>178983</v>
      </c>
      <c r="D37" s="1">
        <v>202365.81320999999</v>
      </c>
      <c r="E37" s="1">
        <v>217409.61916</v>
      </c>
      <c r="F37" s="1">
        <v>247705.48995000002</v>
      </c>
      <c r="G37" s="1">
        <v>256921.39682999998</v>
      </c>
      <c r="H37" s="1">
        <v>264479.22005</v>
      </c>
      <c r="I37" s="1">
        <v>275774.75277999998</v>
      </c>
      <c r="J37" s="1">
        <v>284780.44842000009</v>
      </c>
      <c r="K37" s="1">
        <v>290178.81925</v>
      </c>
      <c r="L37" s="239">
        <f t="shared" si="21"/>
        <v>1.8956255107928912</v>
      </c>
      <c r="M37" s="239">
        <f t="shared" si="8"/>
        <v>82.227433453872607</v>
      </c>
      <c r="N37" s="14">
        <v>59424</v>
      </c>
      <c r="O37" s="14">
        <v>64757</v>
      </c>
      <c r="P37" s="14">
        <v>68434</v>
      </c>
      <c r="Q37" s="14">
        <v>74127</v>
      </c>
      <c r="R37" s="14">
        <v>79718</v>
      </c>
      <c r="S37" s="14">
        <v>85468</v>
      </c>
      <c r="T37" s="14">
        <v>91813</v>
      </c>
      <c r="U37" s="14">
        <v>96112</v>
      </c>
      <c r="V37" s="14">
        <f>97725056/1000</f>
        <v>97725.055999999997</v>
      </c>
      <c r="W37" s="14">
        <v>104445</v>
      </c>
      <c r="X37" s="14">
        <v>110155</v>
      </c>
      <c r="Y37" s="14">
        <v>112839</v>
      </c>
      <c r="Z37" s="14">
        <v>116065</v>
      </c>
      <c r="AA37" s="14">
        <v>122267</v>
      </c>
      <c r="AB37" s="14">
        <v>129850</v>
      </c>
      <c r="AC37" s="14">
        <v>136679</v>
      </c>
      <c r="AD37" s="1">
        <v>142372</v>
      </c>
      <c r="AE37" s="14">
        <v>152086.83100000001</v>
      </c>
      <c r="AF37" s="14">
        <v>159239.92000000001</v>
      </c>
      <c r="AG37" s="3">
        <v>142371845</v>
      </c>
      <c r="AH37" s="3">
        <f>AG37/1000</f>
        <v>142371.845</v>
      </c>
      <c r="AJ37" s="3">
        <v>152086831</v>
      </c>
      <c r="AK37" s="3">
        <f>AJ37/1000</f>
        <v>152086.83100000001</v>
      </c>
      <c r="AM37" s="3">
        <v>159239920</v>
      </c>
      <c r="AN37" s="3">
        <f>AM37/1000</f>
        <v>159239.92000000001</v>
      </c>
      <c r="AP37" s="3">
        <v>170560234</v>
      </c>
      <c r="AQ37" s="3">
        <f>AP37/1000</f>
        <v>170560.234</v>
      </c>
      <c r="AS37" s="3">
        <v>178983436</v>
      </c>
      <c r="AT37" s="3">
        <f>AS37/1000</f>
        <v>178983.43599999999</v>
      </c>
      <c r="AV37" s="3">
        <v>202365813.20999998</v>
      </c>
      <c r="AW37" s="3">
        <f>AV37/1000</f>
        <v>202365.81320999999</v>
      </c>
      <c r="AY37" s="3">
        <v>217409619.16</v>
      </c>
      <c r="AZ37" s="3">
        <f>AY37/1000</f>
        <v>217409.61916</v>
      </c>
      <c r="BA37" s="3">
        <v>247705489.95000002</v>
      </c>
      <c r="BB37" s="3">
        <f>BA37/1000</f>
        <v>247705.48995000002</v>
      </c>
      <c r="BC37" s="3">
        <v>256921396.82999998</v>
      </c>
      <c r="BD37" s="3">
        <f>BC37/1000</f>
        <v>256921.39682999998</v>
      </c>
      <c r="BF37" s="3">
        <v>264479220.05000001</v>
      </c>
      <c r="BG37" s="3">
        <f t="shared" si="12"/>
        <v>264479.22005</v>
      </c>
      <c r="BI37" s="3">
        <v>275774752.77999997</v>
      </c>
      <c r="BJ37" s="3">
        <f t="shared" si="22"/>
        <v>275774.75277999998</v>
      </c>
      <c r="BK37" s="3">
        <v>284780448.42000008</v>
      </c>
      <c r="BL37" s="3">
        <f t="shared" ref="BL37:BL39" si="23">BK37/1000</f>
        <v>284780.44842000009</v>
      </c>
      <c r="BM37" s="3">
        <v>290178819.25</v>
      </c>
      <c r="BN37" s="3">
        <f t="shared" si="10"/>
        <v>290178.81925</v>
      </c>
    </row>
    <row r="38" spans="1:66">
      <c r="A38" s="1" t="s">
        <v>28</v>
      </c>
      <c r="B38" s="1">
        <v>125951</v>
      </c>
      <c r="C38" s="1">
        <v>134483</v>
      </c>
      <c r="D38" s="1">
        <v>146235.85091000001</v>
      </c>
      <c r="E38" s="1">
        <v>160583.22832999998</v>
      </c>
      <c r="F38" s="1">
        <v>177035.92376000003</v>
      </c>
      <c r="G38" s="1">
        <v>186003.08109999998</v>
      </c>
      <c r="H38" s="1">
        <v>192502.80108999999</v>
      </c>
      <c r="I38" s="1">
        <v>191171.82503000001</v>
      </c>
      <c r="J38" s="1">
        <v>183775.79128999999</v>
      </c>
      <c r="K38" s="1">
        <v>194344.56594999999</v>
      </c>
      <c r="L38" s="239">
        <f t="shared" si="21"/>
        <v>5.7509068990062824</v>
      </c>
      <c r="M38" s="239">
        <f t="shared" si="8"/>
        <v>65.293139611331242</v>
      </c>
      <c r="N38" s="14">
        <v>34871</v>
      </c>
      <c r="O38" s="14">
        <v>39012</v>
      </c>
      <c r="P38" s="14">
        <v>42006</v>
      </c>
      <c r="Q38" s="14">
        <v>45351</v>
      </c>
      <c r="R38" s="14">
        <v>49977</v>
      </c>
      <c r="S38" s="14">
        <v>56692</v>
      </c>
      <c r="T38" s="14">
        <v>62569</v>
      </c>
      <c r="U38" s="14">
        <v>63271</v>
      </c>
      <c r="V38" s="14">
        <f>68144105/1000</f>
        <v>68144.104999999996</v>
      </c>
      <c r="W38" s="14">
        <v>70801</v>
      </c>
      <c r="X38" s="14">
        <v>75223</v>
      </c>
      <c r="Y38" s="14">
        <v>75715</v>
      </c>
      <c r="Z38" s="14">
        <v>81014</v>
      </c>
      <c r="AA38" s="14">
        <v>86121</v>
      </c>
      <c r="AB38" s="14">
        <v>93366</v>
      </c>
      <c r="AC38" s="14">
        <v>98530</v>
      </c>
      <c r="AD38" s="1">
        <v>106373</v>
      </c>
      <c r="AE38" s="14">
        <v>110791.31200000001</v>
      </c>
      <c r="AF38" s="14">
        <v>117575.7</v>
      </c>
      <c r="AG38" s="3">
        <v>106373182</v>
      </c>
      <c r="AH38" s="3">
        <f>AG38/1000</f>
        <v>106373.182</v>
      </c>
      <c r="AJ38" s="3">
        <v>110791312</v>
      </c>
      <c r="AK38" s="3">
        <f>AJ38/1000</f>
        <v>110791.31200000001</v>
      </c>
      <c r="AM38" s="3">
        <v>117575700</v>
      </c>
      <c r="AN38" s="3">
        <f>AM38/1000</f>
        <v>117575.7</v>
      </c>
      <c r="AP38" s="3">
        <v>125951044</v>
      </c>
      <c r="AQ38" s="3">
        <f>AP38/1000</f>
        <v>125951.04399999999</v>
      </c>
      <c r="AS38" s="3">
        <v>134483079</v>
      </c>
      <c r="AT38" s="3">
        <f>AS38/1000</f>
        <v>134483.079</v>
      </c>
      <c r="AV38" s="3">
        <v>146235850.91</v>
      </c>
      <c r="AW38" s="3">
        <f>AV38/1000</f>
        <v>146235.85091000001</v>
      </c>
      <c r="AY38" s="3">
        <v>160583228.32999998</v>
      </c>
      <c r="AZ38" s="3">
        <f>AY38/1000</f>
        <v>160583.22832999998</v>
      </c>
      <c r="BA38" s="3">
        <v>177035923.76000002</v>
      </c>
      <c r="BB38" s="3">
        <f>BA38/1000</f>
        <v>177035.92376000003</v>
      </c>
      <c r="BC38" s="3">
        <v>186003081.09999999</v>
      </c>
      <c r="BD38" s="3">
        <f>BC38/1000</f>
        <v>186003.08109999998</v>
      </c>
      <c r="BF38" s="3">
        <v>192502801.09</v>
      </c>
      <c r="BG38" s="3">
        <f t="shared" si="12"/>
        <v>192502.80108999999</v>
      </c>
      <c r="BI38" s="3">
        <v>191171825.03</v>
      </c>
      <c r="BJ38" s="3">
        <f t="shared" si="22"/>
        <v>191171.82503000001</v>
      </c>
      <c r="BK38" s="3">
        <v>183775791.28999999</v>
      </c>
      <c r="BL38" s="3">
        <f t="shared" si="23"/>
        <v>183775.79128999999</v>
      </c>
      <c r="BM38" s="3">
        <v>194344565.94999999</v>
      </c>
      <c r="BN38" s="3">
        <f t="shared" si="10"/>
        <v>194344.56594999999</v>
      </c>
    </row>
    <row r="39" spans="1:66">
      <c r="A39" s="17" t="s">
        <v>29</v>
      </c>
      <c r="B39" s="1">
        <v>71341</v>
      </c>
      <c r="C39" s="1">
        <v>73641</v>
      </c>
      <c r="D39" s="1">
        <v>81948.85169000001</v>
      </c>
      <c r="E39" s="1">
        <v>88864.767800000001</v>
      </c>
      <c r="F39" s="1">
        <v>96393.459350000005</v>
      </c>
      <c r="G39" s="1">
        <v>102892.19547999999</v>
      </c>
      <c r="H39" s="1">
        <v>104060.67328</v>
      </c>
      <c r="I39" s="1">
        <v>107457.82979</v>
      </c>
      <c r="J39" s="1">
        <v>108206.44406000001</v>
      </c>
      <c r="K39" s="1">
        <v>107824.46049</v>
      </c>
      <c r="L39" s="239">
        <f t="shared" si="21"/>
        <v>-0.35301369832299728</v>
      </c>
      <c r="M39" s="239">
        <f t="shared" si="8"/>
        <v>59.186864981299578</v>
      </c>
      <c r="N39" s="14">
        <v>19147</v>
      </c>
      <c r="O39" s="24">
        <v>21400</v>
      </c>
      <c r="P39" s="14">
        <v>24454</v>
      </c>
      <c r="Q39" s="14">
        <v>26358</v>
      </c>
      <c r="R39" s="14">
        <v>28006</v>
      </c>
      <c r="S39" s="14">
        <v>30784</v>
      </c>
      <c r="T39" s="14">
        <v>33702</v>
      </c>
      <c r="U39" s="14">
        <v>35750</v>
      </c>
      <c r="V39" s="14">
        <f>36351048/1000</f>
        <v>36351.048000000003</v>
      </c>
      <c r="W39" s="14">
        <v>38481</v>
      </c>
      <c r="X39" s="14">
        <v>40069</v>
      </c>
      <c r="Y39" s="14">
        <v>41957</v>
      </c>
      <c r="Z39" s="14">
        <v>44511</v>
      </c>
      <c r="AA39" s="14">
        <v>47323</v>
      </c>
      <c r="AB39" s="14">
        <v>51076</v>
      </c>
      <c r="AC39" s="14">
        <v>52680</v>
      </c>
      <c r="AD39" s="1">
        <v>56684</v>
      </c>
      <c r="AE39" s="14">
        <v>62078.017</v>
      </c>
      <c r="AF39" s="14">
        <v>67734.520999999993</v>
      </c>
      <c r="AG39" s="3">
        <v>56684130</v>
      </c>
      <c r="AH39" s="3">
        <f>AG39/1000</f>
        <v>56684.13</v>
      </c>
      <c r="AJ39" s="3">
        <v>62078017</v>
      </c>
      <c r="AK39" s="3">
        <f>AJ39/1000</f>
        <v>62078.017</v>
      </c>
      <c r="AM39" s="3">
        <v>67734521</v>
      </c>
      <c r="AN39" s="3">
        <f>AM39/1000</f>
        <v>67734.520999999993</v>
      </c>
      <c r="AP39" s="3">
        <v>71341008</v>
      </c>
      <c r="AQ39" s="3">
        <f>AP39/1000</f>
        <v>71341.008000000002</v>
      </c>
      <c r="AS39" s="3">
        <v>73640530</v>
      </c>
      <c r="AT39" s="3">
        <f>AS39/1000</f>
        <v>73640.53</v>
      </c>
      <c r="AV39" s="3">
        <v>81948851.690000013</v>
      </c>
      <c r="AW39" s="3">
        <f>AV39/1000</f>
        <v>81948.85169000001</v>
      </c>
      <c r="AY39" s="3">
        <v>88864767.799999997</v>
      </c>
      <c r="AZ39" s="3">
        <f>AY39/1000</f>
        <v>88864.767800000001</v>
      </c>
      <c r="BA39" s="3">
        <v>96393459.350000009</v>
      </c>
      <c r="BB39" s="3">
        <f>BA39/1000</f>
        <v>96393.459350000005</v>
      </c>
      <c r="BC39" s="3">
        <v>102892195.47999999</v>
      </c>
      <c r="BD39" s="3">
        <f>BC39/1000</f>
        <v>102892.19547999999</v>
      </c>
      <c r="BF39" s="3">
        <v>104060673.28</v>
      </c>
      <c r="BG39" s="3">
        <f t="shared" si="12"/>
        <v>104060.67328</v>
      </c>
      <c r="BI39" s="3">
        <v>107457829.79000001</v>
      </c>
      <c r="BJ39" s="3">
        <f t="shared" si="22"/>
        <v>107457.82979</v>
      </c>
      <c r="BK39" s="3">
        <v>108206444.06</v>
      </c>
      <c r="BL39" s="3">
        <f t="shared" si="23"/>
        <v>108206.44406000001</v>
      </c>
      <c r="BM39" s="3">
        <v>107824460.48999999</v>
      </c>
      <c r="BN39" s="3">
        <f t="shared" si="10"/>
        <v>107824.46049</v>
      </c>
    </row>
    <row r="40" spans="1:66">
      <c r="A40" s="1" t="s">
        <v>298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6"/>
      <c r="P40" s="19"/>
      <c r="Q40" s="19"/>
      <c r="R40" s="19"/>
      <c r="X40" s="19"/>
      <c r="AD40" s="18"/>
    </row>
    <row r="41" spans="1:66">
      <c r="P41" s="14"/>
      <c r="Q41" s="14"/>
      <c r="R41" s="14"/>
      <c r="X41" s="14"/>
    </row>
    <row r="42" spans="1:66">
      <c r="P42" s="14"/>
      <c r="Q42" s="14"/>
      <c r="R42" s="14"/>
      <c r="X42" s="14"/>
    </row>
    <row r="43" spans="1:66">
      <c r="P43" s="14"/>
      <c r="Q43" s="14"/>
      <c r="R43" s="14"/>
      <c r="X43" s="14"/>
    </row>
    <row r="44" spans="1:66">
      <c r="P44" s="14"/>
      <c r="Q44" s="14"/>
      <c r="R44" s="14"/>
      <c r="X44" s="14"/>
    </row>
    <row r="45" spans="1:66">
      <c r="P45" s="14"/>
      <c r="Q45" s="14"/>
      <c r="R45" s="14"/>
      <c r="X45" s="14"/>
    </row>
  </sheetData>
  <sheetProtection password="CAF5" sheet="1" objects="1" scenarios="1"/>
  <mergeCells count="3">
    <mergeCell ref="A1:M1"/>
    <mergeCell ref="A3:M3"/>
    <mergeCell ref="A4:M4"/>
  </mergeCells>
  <phoneticPr fontId="2" type="noConversion"/>
  <pageMargins left="0.5" right="0.47" top="1" bottom="1" header="0.5" footer="0.5"/>
  <pageSetup scale="77" orientation="landscape" horizontalDpi="4294967292" verticalDpi="4294967292" r:id="rId1"/>
  <headerFooter scaleWithDoc="0" alignWithMargins="0">
    <oddFooter>&amp;L&amp;"Arial,Italic"&amp;10MSDE - LFRO  12 / 2014&amp;C&amp;"Arial,Regular"&amp;10- 2 -&amp;R&amp;"Arial,Italic"&amp;10Selected Financial Data - Part 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52"/>
  <sheetViews>
    <sheetView workbookViewId="0">
      <selection activeCell="A3" sqref="A3:M3"/>
    </sheetView>
  </sheetViews>
  <sheetFormatPr defaultColWidth="10" defaultRowHeight="12.75"/>
  <cols>
    <col min="1" max="1" width="12.875" style="1" customWidth="1"/>
    <col min="2" max="11" width="12.625" style="1" customWidth="1"/>
    <col min="12" max="12" width="7.875" style="1" customWidth="1"/>
    <col min="13" max="13" width="8.625" style="1" customWidth="1"/>
    <col min="14" max="14" width="8.75" style="1" customWidth="1"/>
    <col min="15" max="15" width="9.875" style="1" customWidth="1"/>
    <col min="16" max="16" width="9.375" style="1" bestFit="1" customWidth="1"/>
    <col min="17" max="17" width="9.25" style="1" customWidth="1"/>
    <col min="18" max="25" width="10.125" style="1" customWidth="1"/>
    <col min="26" max="26" width="10.875" style="1" customWidth="1"/>
    <col min="27" max="27" width="10.875" style="1" bestFit="1" customWidth="1"/>
    <col min="28" max="28" width="10.875" style="1" customWidth="1"/>
    <col min="29" max="29" width="9.375" style="1" bestFit="1" customWidth="1"/>
    <col min="30" max="30" width="12.625" style="1" customWidth="1"/>
    <col min="31" max="32" width="9.375" style="1" customWidth="1"/>
    <col min="33" max="33" width="12.5" style="1" bestFit="1" customWidth="1"/>
    <col min="34" max="34" width="10.125" style="1" customWidth="1"/>
    <col min="35" max="35" width="2.25" style="3" customWidth="1"/>
    <col min="36" max="36" width="11" style="3" customWidth="1"/>
    <col min="37" max="37" width="10.125" style="3" customWidth="1"/>
    <col min="38" max="38" width="3.125" style="3" customWidth="1"/>
    <col min="39" max="39" width="11.625" style="3" customWidth="1"/>
    <col min="40" max="40" width="10.125" style="3" customWidth="1"/>
    <col min="41" max="41" width="3.75" style="3" customWidth="1"/>
    <col min="42" max="42" width="10.625" style="3" bestFit="1" customWidth="1"/>
    <col min="43" max="43" width="10.125" style="3" customWidth="1"/>
    <col min="44" max="44" width="2.625" style="3" customWidth="1"/>
    <col min="45" max="46" width="10.125" style="3" customWidth="1"/>
    <col min="47" max="47" width="3.125" style="3" customWidth="1"/>
    <col min="48" max="48" width="11.375" style="3" customWidth="1"/>
    <col min="49" max="49" width="10.125" style="3" customWidth="1"/>
    <col min="50" max="50" width="2.875" style="3" customWidth="1"/>
    <col min="51" max="51" width="10.625" style="3" bestFit="1" customWidth="1"/>
    <col min="52" max="52" width="10.125" style="3" customWidth="1"/>
    <col min="53" max="53" width="11" style="3" customWidth="1"/>
    <col min="54" max="54" width="10.125" style="3" customWidth="1"/>
    <col min="55" max="55" width="10.625" style="3" bestFit="1" customWidth="1"/>
    <col min="56" max="56" width="10.125" style="3" customWidth="1"/>
    <col min="57" max="57" width="10.875" style="3" customWidth="1"/>
    <col min="58" max="58" width="10.125" style="3" customWidth="1"/>
    <col min="59" max="59" width="11.5" style="3" customWidth="1"/>
    <col min="60" max="62" width="10.125" style="3" customWidth="1"/>
    <col min="63" max="63" width="12.125" style="3" customWidth="1"/>
    <col min="64" max="64" width="10.125" style="3" customWidth="1"/>
    <col min="65" max="16384" width="10" style="3"/>
  </cols>
  <sheetData>
    <row r="1" spans="1:64">
      <c r="A1" s="405" t="s">
        <v>82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115"/>
      <c r="O1" s="199"/>
      <c r="P1" s="199"/>
      <c r="Q1" s="10"/>
      <c r="X1" s="2"/>
      <c r="Y1" s="2"/>
      <c r="Z1" s="10"/>
      <c r="AA1" s="2"/>
      <c r="AB1" s="2"/>
      <c r="AC1" s="2"/>
      <c r="AD1" s="2"/>
      <c r="AE1" s="2"/>
      <c r="AF1" s="2"/>
      <c r="AG1" s="68"/>
    </row>
    <row r="2" spans="1:64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99"/>
      <c r="P2" s="199"/>
      <c r="Q2" s="2"/>
      <c r="X2" s="2"/>
      <c r="Y2" s="2"/>
      <c r="Z2" s="2"/>
      <c r="AA2" s="2"/>
      <c r="AB2" s="2"/>
      <c r="AC2" s="2"/>
      <c r="AD2" s="115"/>
      <c r="AE2" s="2"/>
      <c r="AF2" s="2"/>
      <c r="AG2" s="2"/>
    </row>
    <row r="3" spans="1:64">
      <c r="A3" s="405" t="s">
        <v>226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115"/>
      <c r="O3" s="199"/>
      <c r="P3" s="199"/>
      <c r="Q3" s="10"/>
      <c r="X3" s="2"/>
      <c r="Y3" s="2"/>
      <c r="Z3" s="10"/>
      <c r="AA3" s="2"/>
      <c r="AB3" s="2"/>
      <c r="AC3" s="2"/>
      <c r="AD3" s="2"/>
      <c r="AE3" s="2"/>
      <c r="AF3" s="2"/>
      <c r="AG3" s="2"/>
    </row>
    <row r="4" spans="1:64">
      <c r="A4" s="405" t="s">
        <v>367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115"/>
      <c r="O4" s="199"/>
      <c r="P4" s="199"/>
      <c r="Q4" s="10"/>
      <c r="X4" s="2"/>
      <c r="Y4" s="2"/>
      <c r="Z4" s="10"/>
      <c r="AA4" s="2"/>
      <c r="AB4" s="2"/>
      <c r="AC4" s="2"/>
      <c r="AD4" s="2"/>
      <c r="AE4" s="2"/>
      <c r="AF4" s="2"/>
      <c r="AG4" s="2"/>
    </row>
    <row r="5" spans="1:64" ht="13.5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68"/>
      <c r="P5" s="68"/>
      <c r="Q5" s="94"/>
      <c r="Z5" s="94"/>
      <c r="AD5" s="115"/>
    </row>
    <row r="6" spans="1:64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7"/>
      <c r="AG6" s="3"/>
      <c r="AH6" s="3"/>
      <c r="BG6" s="3" t="s">
        <v>327</v>
      </c>
      <c r="BI6" s="3" t="s">
        <v>327</v>
      </c>
      <c r="BK6" s="3" t="s">
        <v>327</v>
      </c>
    </row>
    <row r="7" spans="1:64">
      <c r="L7" s="6" t="s">
        <v>34</v>
      </c>
      <c r="M7" s="6"/>
      <c r="S7" s="3"/>
      <c r="AG7" s="3"/>
      <c r="AH7" s="3"/>
      <c r="BG7" s="3" t="s">
        <v>328</v>
      </c>
      <c r="BH7" s="314" t="s">
        <v>329</v>
      </c>
      <c r="BI7" s="3" t="s">
        <v>328</v>
      </c>
      <c r="BJ7" s="382" t="s">
        <v>329</v>
      </c>
      <c r="BK7" s="3" t="s">
        <v>328</v>
      </c>
      <c r="BL7" s="385" t="s">
        <v>329</v>
      </c>
    </row>
    <row r="8" spans="1:64"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S8" s="3"/>
      <c r="Z8" s="7"/>
      <c r="AA8" s="7"/>
      <c r="AB8" s="7"/>
      <c r="AC8" s="7"/>
      <c r="AD8" s="7"/>
      <c r="AE8" s="7"/>
      <c r="AF8" s="7"/>
      <c r="AG8" s="3"/>
      <c r="AH8" s="3"/>
      <c r="AK8" s="3" t="s">
        <v>209</v>
      </c>
      <c r="AN8" s="3" t="s">
        <v>209</v>
      </c>
      <c r="AQ8" s="3" t="s">
        <v>209</v>
      </c>
      <c r="AT8" s="3" t="s">
        <v>209</v>
      </c>
      <c r="AW8" s="3" t="s">
        <v>209</v>
      </c>
      <c r="AZ8" s="3" t="s">
        <v>209</v>
      </c>
      <c r="BB8" s="187" t="s">
        <v>209</v>
      </c>
      <c r="BD8" s="187" t="s">
        <v>209</v>
      </c>
      <c r="BF8" s="187" t="s">
        <v>209</v>
      </c>
      <c r="BG8" s="314" t="s">
        <v>326</v>
      </c>
      <c r="BH8" s="187" t="s">
        <v>209</v>
      </c>
      <c r="BI8" s="382" t="s">
        <v>326</v>
      </c>
      <c r="BJ8" s="187" t="s">
        <v>209</v>
      </c>
      <c r="BK8" s="385" t="s">
        <v>326</v>
      </c>
      <c r="BL8" s="187" t="s">
        <v>209</v>
      </c>
    </row>
    <row r="9" spans="1:64" ht="13.5" thickBot="1">
      <c r="A9" s="8" t="s">
        <v>1</v>
      </c>
      <c r="B9" s="397" t="s">
        <v>184</v>
      </c>
      <c r="C9" s="397" t="s">
        <v>194</v>
      </c>
      <c r="D9" s="397" t="s">
        <v>208</v>
      </c>
      <c r="E9" s="397" t="s">
        <v>243</v>
      </c>
      <c r="F9" s="397" t="s">
        <v>256</v>
      </c>
      <c r="G9" s="397" t="s">
        <v>269</v>
      </c>
      <c r="H9" s="397" t="s">
        <v>283</v>
      </c>
      <c r="I9" s="397" t="s">
        <v>303</v>
      </c>
      <c r="J9" s="397" t="s">
        <v>330</v>
      </c>
      <c r="K9" s="397" t="s">
        <v>360</v>
      </c>
      <c r="L9" s="9" t="s">
        <v>84</v>
      </c>
      <c r="M9" s="9" t="s">
        <v>84</v>
      </c>
      <c r="N9" s="10" t="s">
        <v>43</v>
      </c>
      <c r="O9" s="9" t="s">
        <v>35</v>
      </c>
      <c r="P9" s="9" t="s">
        <v>36</v>
      </c>
      <c r="Q9" s="9" t="s">
        <v>37</v>
      </c>
      <c r="R9" s="9" t="s">
        <v>38</v>
      </c>
      <c r="S9" s="9" t="s">
        <v>39</v>
      </c>
      <c r="T9" s="9" t="s">
        <v>40</v>
      </c>
      <c r="U9" s="8" t="s">
        <v>65</v>
      </c>
      <c r="V9" s="8" t="s">
        <v>66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9" t="s">
        <v>105</v>
      </c>
      <c r="AE9" s="331" t="s">
        <v>161</v>
      </c>
      <c r="AF9" s="387" t="s">
        <v>168</v>
      </c>
      <c r="AG9" s="9" t="s">
        <v>105</v>
      </c>
      <c r="AH9" s="9" t="s">
        <v>105</v>
      </c>
      <c r="AJ9" s="114" t="s">
        <v>161</v>
      </c>
      <c r="AK9" s="114" t="s">
        <v>161</v>
      </c>
      <c r="AM9" s="114" t="s">
        <v>168</v>
      </c>
      <c r="AN9" s="114" t="s">
        <v>168</v>
      </c>
      <c r="AP9" s="20" t="s">
        <v>184</v>
      </c>
      <c r="AQ9" s="20" t="s">
        <v>184</v>
      </c>
      <c r="AS9" s="3" t="s">
        <v>194</v>
      </c>
      <c r="AT9" s="3" t="s">
        <v>194</v>
      </c>
      <c r="AV9" s="3" t="s">
        <v>208</v>
      </c>
      <c r="AW9" s="3" t="s">
        <v>208</v>
      </c>
      <c r="AY9" s="20" t="s">
        <v>243</v>
      </c>
      <c r="AZ9" s="20" t="s">
        <v>243</v>
      </c>
      <c r="BA9" s="20" t="s">
        <v>256</v>
      </c>
      <c r="BB9" s="20" t="s">
        <v>256</v>
      </c>
      <c r="BC9" s="20" t="s">
        <v>269</v>
      </c>
      <c r="BD9" s="20" t="s">
        <v>269</v>
      </c>
      <c r="BE9" s="3" t="s">
        <v>283</v>
      </c>
      <c r="BF9" s="3" t="s">
        <v>283</v>
      </c>
      <c r="BG9" s="20" t="s">
        <v>303</v>
      </c>
      <c r="BH9" s="20" t="s">
        <v>303</v>
      </c>
      <c r="BI9" s="3" t="s">
        <v>330</v>
      </c>
      <c r="BJ9" s="3" t="s">
        <v>330</v>
      </c>
      <c r="BK9" s="3" t="s">
        <v>360</v>
      </c>
      <c r="BL9" s="3" t="s">
        <v>360</v>
      </c>
    </row>
    <row r="10" spans="1:64" ht="13.5" thickTop="1">
      <c r="A10" s="7" t="s">
        <v>5</v>
      </c>
      <c r="B10" s="11">
        <f t="shared" ref="B10:F10" si="0">SUM(B12:B39)</f>
        <v>3291558</v>
      </c>
      <c r="C10" s="11">
        <f t="shared" si="0"/>
        <v>3586692</v>
      </c>
      <c r="D10" s="11">
        <f t="shared" si="0"/>
        <v>3979367.29898</v>
      </c>
      <c r="E10" s="11">
        <f t="shared" si="0"/>
        <v>4419141.6627999991</v>
      </c>
      <c r="F10" s="11">
        <f t="shared" si="0"/>
        <v>5122604.8031800007</v>
      </c>
      <c r="G10" s="11">
        <f>SUM(G12:G39)</f>
        <v>5340712.5438700002</v>
      </c>
      <c r="H10" s="11">
        <f>SUM(H12:H39)</f>
        <v>5272955.9403689997</v>
      </c>
      <c r="I10" s="11">
        <f>SUM(I12:I39)</f>
        <v>5286341.7764300006</v>
      </c>
      <c r="J10" s="11">
        <f>SUM(J12:J39)</f>
        <v>5737465.2422700003</v>
      </c>
      <c r="K10" s="11">
        <f>SUM(K12:K39)</f>
        <v>5788326.3827299997</v>
      </c>
      <c r="L10" s="239">
        <f>(K10-J10)*100/J10</f>
        <v>0.88647404929422247</v>
      </c>
      <c r="M10" s="239">
        <f>(K10-AF10)*100/AF10</f>
        <v>88.245589540058418</v>
      </c>
      <c r="N10" s="13">
        <f>SUM(N12:N39)</f>
        <v>994434</v>
      </c>
      <c r="O10" s="13">
        <f t="shared" ref="O10:X10" si="1">SUM(O12:O39)</f>
        <v>1076131</v>
      </c>
      <c r="P10" s="13">
        <f t="shared" si="1"/>
        <v>1179082</v>
      </c>
      <c r="Q10" s="13">
        <f t="shared" si="1"/>
        <v>1285974</v>
      </c>
      <c r="R10" s="13">
        <f t="shared" si="1"/>
        <v>1385784</v>
      </c>
      <c r="S10" s="13">
        <f t="shared" si="1"/>
        <v>1504562</v>
      </c>
      <c r="T10" s="13">
        <f t="shared" si="1"/>
        <v>1631931</v>
      </c>
      <c r="U10" s="13">
        <f t="shared" si="1"/>
        <v>1720447</v>
      </c>
      <c r="V10" s="13">
        <f t="shared" si="1"/>
        <v>1866666</v>
      </c>
      <c r="W10" s="13">
        <f t="shared" si="1"/>
        <v>1868902</v>
      </c>
      <c r="X10" s="13">
        <f t="shared" si="1"/>
        <v>1963115</v>
      </c>
      <c r="Y10" s="11">
        <f t="shared" ref="Y10:AF10" si="2">SUM(Y12:Y39)</f>
        <v>2080392</v>
      </c>
      <c r="Z10" s="11">
        <f t="shared" si="2"/>
        <v>2191846</v>
      </c>
      <c r="AA10" s="11">
        <f t="shared" si="2"/>
        <v>2378117</v>
      </c>
      <c r="AB10" s="11">
        <f t="shared" si="2"/>
        <v>2522733</v>
      </c>
      <c r="AC10" s="11">
        <f t="shared" si="2"/>
        <v>2594552</v>
      </c>
      <c r="AD10" s="11">
        <f t="shared" si="2"/>
        <v>2924890</v>
      </c>
      <c r="AE10" s="11">
        <f t="shared" si="2"/>
        <v>2853965.3969999994</v>
      </c>
      <c r="AF10" s="11">
        <f t="shared" si="2"/>
        <v>3074880.2120000008</v>
      </c>
      <c r="AG10" s="130">
        <f>SUM(AG12:AG39)</f>
        <v>2924893128</v>
      </c>
      <c r="AH10" s="130">
        <f>SUM(AH12:AH39)</f>
        <v>2924893.128</v>
      </c>
      <c r="AJ10" s="130">
        <f>SUM(AJ12:AJ39)</f>
        <v>2853965397</v>
      </c>
      <c r="AK10" s="130">
        <f>SUM(AK12:AK39)</f>
        <v>2853965.3969999994</v>
      </c>
      <c r="AM10" s="130">
        <f>SUM(AM12:AM39)</f>
        <v>3074880212</v>
      </c>
      <c r="AN10" s="130">
        <f>SUM(AN12:AN39)</f>
        <v>3074880.2120000008</v>
      </c>
      <c r="AP10" s="130">
        <f>SUM(AP12:AP39)</f>
        <v>3291557899</v>
      </c>
      <c r="AQ10" s="130">
        <f>SUM(AQ12:AQ39)</f>
        <v>3291557.8990000007</v>
      </c>
      <c r="AS10" s="3">
        <v>3586692424</v>
      </c>
      <c r="AT10" s="3">
        <f t="shared" ref="AT10:AT39" si="3">AS10/1000</f>
        <v>3586692.4240000001</v>
      </c>
      <c r="AV10" s="130">
        <f>SUM(AV12:AV39)</f>
        <v>3979367298.9800005</v>
      </c>
      <c r="AW10" s="3">
        <f t="shared" ref="AW10:AW39" si="4">AV10/1000</f>
        <v>3979367.2989800004</v>
      </c>
      <c r="AY10" s="130">
        <f t="shared" ref="AY10:BF10" si="5">SUM(AY12:AY39)</f>
        <v>4419141662.8000002</v>
      </c>
      <c r="AZ10" s="130">
        <f t="shared" si="5"/>
        <v>4419141.6627999991</v>
      </c>
      <c r="BA10" s="130">
        <f t="shared" si="5"/>
        <v>5122604803.1800013</v>
      </c>
      <c r="BB10" s="130">
        <f t="shared" si="5"/>
        <v>5122604.8031800007</v>
      </c>
      <c r="BC10" s="130">
        <f t="shared" si="5"/>
        <v>5340712543.8699999</v>
      </c>
      <c r="BD10" s="130">
        <f t="shared" si="5"/>
        <v>5340712.5438700002</v>
      </c>
      <c r="BE10" s="130">
        <f t="shared" si="5"/>
        <v>5272955940.3690004</v>
      </c>
      <c r="BF10" s="130">
        <f t="shared" si="5"/>
        <v>5272955.9403689997</v>
      </c>
      <c r="BG10" s="3">
        <v>5286435522.6799994</v>
      </c>
      <c r="BH10" s="3">
        <f>BG10/1000</f>
        <v>5286435.5226799995</v>
      </c>
      <c r="BI10" s="3">
        <f>SUM(BI12:BI39)</f>
        <v>5737465242.2700005</v>
      </c>
      <c r="BJ10" s="3">
        <f>BI10/1000</f>
        <v>5737465.2422700003</v>
      </c>
      <c r="BK10" s="3">
        <f>SUM(BK12:BK39)</f>
        <v>5788326382.7300005</v>
      </c>
      <c r="BL10" s="3">
        <f>SUM(BL12:BL39)</f>
        <v>5788326.3827299997</v>
      </c>
    </row>
    <row r="11" spans="1:64">
      <c r="L11" s="239"/>
      <c r="M11" s="239"/>
      <c r="O11" s="14"/>
      <c r="X11" s="14"/>
      <c r="Y11" s="14"/>
      <c r="Z11" s="14"/>
      <c r="AA11" s="14"/>
      <c r="AB11" s="14"/>
      <c r="AC11" s="14"/>
      <c r="AE11" s="14"/>
      <c r="AF11" s="14"/>
      <c r="AG11" s="3"/>
      <c r="AH11" s="3"/>
    </row>
    <row r="12" spans="1:64">
      <c r="A12" s="1" t="s">
        <v>6</v>
      </c>
      <c r="B12" s="1">
        <v>52255</v>
      </c>
      <c r="C12" s="1">
        <v>55657</v>
      </c>
      <c r="D12" s="1">
        <v>64804.846100000002</v>
      </c>
      <c r="E12" s="1">
        <v>74454.621239999993</v>
      </c>
      <c r="F12" s="1">
        <v>88531.182329999996</v>
      </c>
      <c r="G12" s="1">
        <v>93726.158759999991</v>
      </c>
      <c r="H12" s="1">
        <v>92417.486369999984</v>
      </c>
      <c r="I12" s="1">
        <v>88331.565310000005</v>
      </c>
      <c r="J12" s="1">
        <v>87570.581590000002</v>
      </c>
      <c r="K12" s="1">
        <v>83815.876170000003</v>
      </c>
      <c r="L12" s="239">
        <f t="shared" ref="L12:L16" si="6">(K12-J12)*100/J12</f>
        <v>-4.287633303132889</v>
      </c>
      <c r="M12" s="239">
        <f>(K12-AF12)*100/AF12</f>
        <v>67.951905621533896</v>
      </c>
      <c r="N12" s="14">
        <v>19506</v>
      </c>
      <c r="O12" s="14">
        <v>20859</v>
      </c>
      <c r="P12" s="14">
        <v>22940</v>
      </c>
      <c r="Q12" s="14">
        <v>25256</v>
      </c>
      <c r="R12" s="14">
        <v>26749</v>
      </c>
      <c r="S12" s="14">
        <v>28899</v>
      </c>
      <c r="T12" s="14">
        <v>30898</v>
      </c>
      <c r="U12" s="14">
        <v>31885</v>
      </c>
      <c r="V12" s="14">
        <v>34128</v>
      </c>
      <c r="W12" s="14">
        <v>34353</v>
      </c>
      <c r="X12" s="14">
        <v>36719</v>
      </c>
      <c r="Y12" s="14">
        <v>38216</v>
      </c>
      <c r="Z12" s="14">
        <v>39703</v>
      </c>
      <c r="AA12" s="14">
        <v>41569</v>
      </c>
      <c r="AB12" s="14">
        <v>43231</v>
      </c>
      <c r="AC12" s="14">
        <v>42159</v>
      </c>
      <c r="AD12" s="14">
        <v>45611</v>
      </c>
      <c r="AE12" s="14">
        <v>47590.525000000001</v>
      </c>
      <c r="AF12" s="14">
        <v>49904.688999999998</v>
      </c>
      <c r="AG12" s="3">
        <v>45611115</v>
      </c>
      <c r="AH12" s="3">
        <f>AG12/1000</f>
        <v>45611.114999999998</v>
      </c>
      <c r="AJ12" s="3">
        <v>47590525</v>
      </c>
      <c r="AK12" s="3">
        <f>AJ12/1000</f>
        <v>47590.525000000001</v>
      </c>
      <c r="AM12" s="3">
        <v>49904689</v>
      </c>
      <c r="AN12" s="3">
        <f>AM12/1000</f>
        <v>49904.688999999998</v>
      </c>
      <c r="AP12" s="3">
        <v>52254860</v>
      </c>
      <c r="AQ12" s="3">
        <f>AP12/1000</f>
        <v>52254.86</v>
      </c>
      <c r="AS12" s="3">
        <v>55657047</v>
      </c>
      <c r="AT12" s="3">
        <f t="shared" si="3"/>
        <v>55657.046999999999</v>
      </c>
      <c r="AV12" s="3">
        <v>64804846.100000001</v>
      </c>
      <c r="AW12" s="3">
        <f t="shared" si="4"/>
        <v>64804.846100000002</v>
      </c>
      <c r="AY12" s="3">
        <v>74454621.239999995</v>
      </c>
      <c r="AZ12" s="3">
        <f>AY12/1000</f>
        <v>74454.621239999993</v>
      </c>
      <c r="BA12" s="3">
        <v>88531182.329999998</v>
      </c>
      <c r="BB12" s="3">
        <f>BA12/1000</f>
        <v>88531.182329999996</v>
      </c>
      <c r="BC12" s="3">
        <v>93726158.75999999</v>
      </c>
      <c r="BD12" s="3">
        <f>BC12/1000</f>
        <v>93726.158759999991</v>
      </c>
      <c r="BE12" s="3">
        <v>92417486.36999999</v>
      </c>
      <c r="BF12" s="3">
        <f>BE12/1000</f>
        <v>92417.486369999984</v>
      </c>
      <c r="BG12" s="3">
        <v>88331565.310000002</v>
      </c>
      <c r="BH12" s="3">
        <f t="shared" ref="BH12:BH16" si="7">BG12/1000</f>
        <v>88331.565310000005</v>
      </c>
      <c r="BI12" s="3">
        <v>87570581.589999989</v>
      </c>
      <c r="BJ12" s="3">
        <f>BI12/1000</f>
        <v>87570.581589999987</v>
      </c>
      <c r="BK12" s="3">
        <v>83815876.170000002</v>
      </c>
      <c r="BL12" s="3">
        <f>BK12/1000</f>
        <v>83815.876170000003</v>
      </c>
    </row>
    <row r="13" spans="1:64">
      <c r="A13" s="1" t="s">
        <v>7</v>
      </c>
      <c r="B13" s="1">
        <v>224235</v>
      </c>
      <c r="C13" s="1">
        <v>228397</v>
      </c>
      <c r="D13" s="1">
        <v>239759.51284999997</v>
      </c>
      <c r="E13" s="1">
        <v>271107.32389999996</v>
      </c>
      <c r="F13" s="1">
        <v>309597.22786000004</v>
      </c>
      <c r="G13" s="1">
        <v>328199.48420999997</v>
      </c>
      <c r="H13" s="1">
        <v>325975.27604899986</v>
      </c>
      <c r="I13" s="1">
        <v>341126.03892000002</v>
      </c>
      <c r="J13" s="1">
        <v>371878.05669</v>
      </c>
      <c r="K13" s="1">
        <v>378050.66419000004</v>
      </c>
      <c r="L13" s="239">
        <f t="shared" si="6"/>
        <v>1.6598471969389601</v>
      </c>
      <c r="M13" s="239">
        <f t="shared" ref="M13:M39" si="8">(K13-AF13)*100/AF13</f>
        <v>78.352470563048414</v>
      </c>
      <c r="N13" s="14">
        <v>92071</v>
      </c>
      <c r="O13" s="14">
        <v>99282</v>
      </c>
      <c r="P13" s="14">
        <v>108143</v>
      </c>
      <c r="Q13" s="14">
        <v>116727</v>
      </c>
      <c r="R13" s="14">
        <v>125441</v>
      </c>
      <c r="S13" s="14">
        <v>134602</v>
      </c>
      <c r="T13" s="14">
        <v>145661</v>
      </c>
      <c r="U13" s="14">
        <v>150959</v>
      </c>
      <c r="V13" s="14">
        <v>156689</v>
      </c>
      <c r="W13" s="14">
        <v>154386</v>
      </c>
      <c r="X13" s="14">
        <v>158598</v>
      </c>
      <c r="Y13" s="14">
        <v>165298</v>
      </c>
      <c r="Z13" s="14">
        <v>172092</v>
      </c>
      <c r="AA13" s="14">
        <v>179696</v>
      </c>
      <c r="AB13" s="14">
        <v>183503</v>
      </c>
      <c r="AC13" s="14">
        <v>192266</v>
      </c>
      <c r="AD13" s="14">
        <v>203641</v>
      </c>
      <c r="AE13" s="14">
        <v>198643.43599999999</v>
      </c>
      <c r="AF13" s="14">
        <v>211968.28</v>
      </c>
      <c r="AG13" s="3">
        <v>203641256</v>
      </c>
      <c r="AH13" s="3">
        <f>AG13/1000</f>
        <v>203641.25599999999</v>
      </c>
      <c r="AJ13" s="3">
        <v>198643436</v>
      </c>
      <c r="AK13" s="3">
        <f>AJ13/1000</f>
        <v>198643.43599999999</v>
      </c>
      <c r="AM13" s="3">
        <v>211968280</v>
      </c>
      <c r="AN13" s="3">
        <f>AM13/1000</f>
        <v>211968.28</v>
      </c>
      <c r="AP13" s="3">
        <v>224234666</v>
      </c>
      <c r="AQ13" s="3">
        <f>AP13/1000</f>
        <v>224234.666</v>
      </c>
      <c r="AS13" s="3">
        <v>228396801</v>
      </c>
      <c r="AT13" s="3">
        <f t="shared" si="3"/>
        <v>228396.80100000001</v>
      </c>
      <c r="AV13" s="3">
        <v>239759512.84999996</v>
      </c>
      <c r="AW13" s="3">
        <f t="shared" si="4"/>
        <v>239759.51284999997</v>
      </c>
      <c r="AY13" s="3">
        <v>271107323.89999998</v>
      </c>
      <c r="AZ13" s="3">
        <f>AY13/1000</f>
        <v>271107.32389999996</v>
      </c>
      <c r="BA13" s="3">
        <v>309597227.86000001</v>
      </c>
      <c r="BB13" s="3">
        <f>BA13/1000</f>
        <v>309597.22786000004</v>
      </c>
      <c r="BC13" s="3">
        <v>328199484.20999998</v>
      </c>
      <c r="BD13" s="3">
        <f>BC13/1000</f>
        <v>328199.48420999997</v>
      </c>
      <c r="BE13" s="3">
        <v>325975276.04899985</v>
      </c>
      <c r="BF13" s="3">
        <f>BE13/1000</f>
        <v>325975.27604899986</v>
      </c>
      <c r="BG13" s="3">
        <v>341126038.92000002</v>
      </c>
      <c r="BH13" s="3">
        <f t="shared" si="7"/>
        <v>341126.03892000002</v>
      </c>
      <c r="BI13" s="3">
        <v>371878056.69</v>
      </c>
      <c r="BJ13" s="3">
        <f t="shared" ref="BJ13:BJ22" si="9">BI13/1000</f>
        <v>371878.05669</v>
      </c>
      <c r="BK13" s="3">
        <v>378050664.19000006</v>
      </c>
      <c r="BL13" s="3">
        <f t="shared" ref="BL13:BL39" si="10">BK13/1000</f>
        <v>378050.66419000004</v>
      </c>
    </row>
    <row r="14" spans="1:64">
      <c r="A14" s="1" t="s">
        <v>8</v>
      </c>
      <c r="B14" s="1">
        <v>593685</v>
      </c>
      <c r="C14" s="1">
        <v>647566</v>
      </c>
      <c r="D14" s="1">
        <v>717755.90552999999</v>
      </c>
      <c r="E14" s="1">
        <v>772744.13209000009</v>
      </c>
      <c r="F14" s="1">
        <v>878817.84284000006</v>
      </c>
      <c r="G14" s="1">
        <v>906918.57300999993</v>
      </c>
      <c r="H14" s="1">
        <v>871046.73511000001</v>
      </c>
      <c r="I14" s="1">
        <v>873589.57511999994</v>
      </c>
      <c r="J14" s="1">
        <v>948134.13742000004</v>
      </c>
      <c r="K14" s="1">
        <v>935194.18157000013</v>
      </c>
      <c r="L14" s="239">
        <f t="shared" si="6"/>
        <v>-1.3647811358434223</v>
      </c>
      <c r="M14" s="239">
        <f t="shared" si="8"/>
        <v>63.48431047813235</v>
      </c>
      <c r="N14" s="14">
        <v>200985</v>
      </c>
      <c r="O14" s="14">
        <v>221168</v>
      </c>
      <c r="P14" s="14">
        <v>236677</v>
      </c>
      <c r="Q14" s="14">
        <v>252274</v>
      </c>
      <c r="R14" s="14">
        <v>263456</v>
      </c>
      <c r="S14" s="14">
        <v>286869</v>
      </c>
      <c r="T14" s="14">
        <v>311258</v>
      </c>
      <c r="U14" s="14">
        <v>332330</v>
      </c>
      <c r="V14" s="14">
        <v>371677</v>
      </c>
      <c r="W14" s="14">
        <v>388191</v>
      </c>
      <c r="X14" s="14">
        <v>398957</v>
      </c>
      <c r="Y14" s="14">
        <v>418500</v>
      </c>
      <c r="Z14" s="14">
        <v>427969</v>
      </c>
      <c r="AA14" s="14">
        <v>487607</v>
      </c>
      <c r="AB14" s="14">
        <v>530367</v>
      </c>
      <c r="AC14" s="14">
        <v>535693</v>
      </c>
      <c r="AD14" s="1">
        <v>580166</v>
      </c>
      <c r="AE14" s="14">
        <v>564194.80000000005</v>
      </c>
      <c r="AF14" s="14">
        <v>572039.10199999996</v>
      </c>
      <c r="AG14" s="3">
        <v>580166324</v>
      </c>
      <c r="AH14" s="3">
        <f>AG14/1000</f>
        <v>580166.32400000002</v>
      </c>
      <c r="AJ14" s="3">
        <v>564194800</v>
      </c>
      <c r="AK14" s="3">
        <f>AJ14/1000</f>
        <v>564194.80000000005</v>
      </c>
      <c r="AM14" s="3">
        <v>572039102</v>
      </c>
      <c r="AN14" s="3">
        <f>AM14/1000</f>
        <v>572039.10199999996</v>
      </c>
      <c r="AP14" s="3">
        <v>593685348</v>
      </c>
      <c r="AQ14" s="3">
        <f>AP14/1000</f>
        <v>593685.348</v>
      </c>
      <c r="AS14" s="3">
        <v>647566411</v>
      </c>
      <c r="AT14" s="3">
        <f t="shared" si="3"/>
        <v>647566.41099999996</v>
      </c>
      <c r="AV14" s="3">
        <v>717755905.52999997</v>
      </c>
      <c r="AW14" s="3">
        <f t="shared" si="4"/>
        <v>717755.90552999999</v>
      </c>
      <c r="AY14" s="3">
        <v>772744132.09000003</v>
      </c>
      <c r="AZ14" s="3">
        <f>AY14/1000</f>
        <v>772744.13209000009</v>
      </c>
      <c r="BA14" s="3">
        <v>878817842.84000003</v>
      </c>
      <c r="BB14" s="3">
        <f>BA14/1000</f>
        <v>878817.84284000006</v>
      </c>
      <c r="BC14" s="3">
        <v>906918573.00999999</v>
      </c>
      <c r="BD14" s="3">
        <f>BC14/1000</f>
        <v>906918.57300999993</v>
      </c>
      <c r="BE14" s="3">
        <v>871046735.11000001</v>
      </c>
      <c r="BF14" s="3">
        <f>BE14/1000</f>
        <v>871046.73511000001</v>
      </c>
      <c r="BG14" s="3">
        <v>873589575.11999989</v>
      </c>
      <c r="BH14" s="3">
        <f t="shared" si="7"/>
        <v>873589.57511999994</v>
      </c>
      <c r="BI14" s="3">
        <v>948134137.42000008</v>
      </c>
      <c r="BJ14" s="3">
        <f t="shared" si="9"/>
        <v>948134.13742000004</v>
      </c>
      <c r="BK14" s="3">
        <v>935194181.57000017</v>
      </c>
      <c r="BL14" s="3">
        <f t="shared" si="10"/>
        <v>935194.18157000013</v>
      </c>
    </row>
    <row r="15" spans="1:64">
      <c r="A15" s="1" t="s">
        <v>9</v>
      </c>
      <c r="B15" s="1">
        <v>358620</v>
      </c>
      <c r="C15" s="1">
        <v>395864</v>
      </c>
      <c r="D15" s="1">
        <v>439043.74264999997</v>
      </c>
      <c r="E15" s="1">
        <v>498766.28166000004</v>
      </c>
      <c r="F15" s="1">
        <v>578654.26520000002</v>
      </c>
      <c r="G15" s="1">
        <v>595386.35419999994</v>
      </c>
      <c r="H15" s="1">
        <v>587119.42801999999</v>
      </c>
      <c r="I15" s="1">
        <v>586253.40603999991</v>
      </c>
      <c r="J15" s="1">
        <v>637170.15290999995</v>
      </c>
      <c r="K15" s="1">
        <v>649284.62249999982</v>
      </c>
      <c r="L15" s="239">
        <f t="shared" si="6"/>
        <v>1.9012926978252607</v>
      </c>
      <c r="M15" s="239">
        <f t="shared" si="8"/>
        <v>89.646801411773168</v>
      </c>
      <c r="N15" s="14">
        <v>110037</v>
      </c>
      <c r="O15" s="14">
        <v>112318</v>
      </c>
      <c r="P15" s="14">
        <v>123280</v>
      </c>
      <c r="Q15" s="14">
        <v>134919</v>
      </c>
      <c r="R15" s="14">
        <v>147759</v>
      </c>
      <c r="S15" s="14">
        <v>157959</v>
      </c>
      <c r="T15" s="14">
        <v>171887</v>
      </c>
      <c r="U15" s="14">
        <v>180069</v>
      </c>
      <c r="V15" s="14">
        <v>194966</v>
      </c>
      <c r="W15" s="14">
        <v>196064</v>
      </c>
      <c r="X15" s="14">
        <v>208757</v>
      </c>
      <c r="Y15" s="14">
        <v>225656</v>
      </c>
      <c r="Z15" s="14">
        <v>239301</v>
      </c>
      <c r="AA15" s="14">
        <v>263698</v>
      </c>
      <c r="AB15" s="14">
        <v>279677</v>
      </c>
      <c r="AC15" s="14">
        <v>280585</v>
      </c>
      <c r="AD15" s="1">
        <v>311112</v>
      </c>
      <c r="AE15" s="14">
        <v>309774.41800000001</v>
      </c>
      <c r="AF15" s="14">
        <v>342365.185</v>
      </c>
      <c r="AG15" s="3">
        <v>311112268</v>
      </c>
      <c r="AH15" s="3">
        <f>AG15/1000</f>
        <v>311112.26799999998</v>
      </c>
      <c r="AJ15" s="3">
        <v>309774418</v>
      </c>
      <c r="AK15" s="3">
        <f>AJ15/1000</f>
        <v>309774.41800000001</v>
      </c>
      <c r="AM15" s="3">
        <v>342365185</v>
      </c>
      <c r="AN15" s="3">
        <f>AM15/1000</f>
        <v>342365.185</v>
      </c>
      <c r="AP15" s="3">
        <v>358620438</v>
      </c>
      <c r="AQ15" s="3">
        <f>AP15/1000</f>
        <v>358620.43800000002</v>
      </c>
      <c r="AS15" s="3">
        <v>395863501</v>
      </c>
      <c r="AT15" s="3">
        <f t="shared" si="3"/>
        <v>395863.50099999999</v>
      </c>
      <c r="AV15" s="3">
        <v>439043742.64999998</v>
      </c>
      <c r="AW15" s="3">
        <f t="shared" si="4"/>
        <v>439043.74264999997</v>
      </c>
      <c r="AY15" s="3">
        <v>498766281.66000003</v>
      </c>
      <c r="AZ15" s="3">
        <f>AY15/1000</f>
        <v>498766.28166000004</v>
      </c>
      <c r="BA15" s="3">
        <v>578654265.20000005</v>
      </c>
      <c r="BB15" s="3">
        <f>BA15/1000</f>
        <v>578654.26520000002</v>
      </c>
      <c r="BC15" s="3">
        <v>595386354.19999993</v>
      </c>
      <c r="BD15" s="3">
        <f>BC15/1000</f>
        <v>595386.35419999994</v>
      </c>
      <c r="BE15" s="3">
        <v>587119428.01999998</v>
      </c>
      <c r="BF15" s="3">
        <f>BE15/1000</f>
        <v>587119.42801999999</v>
      </c>
      <c r="BG15" s="3">
        <v>586253406.03999996</v>
      </c>
      <c r="BH15" s="3">
        <f t="shared" si="7"/>
        <v>586253.40603999991</v>
      </c>
      <c r="BI15" s="3">
        <v>637170152.90999997</v>
      </c>
      <c r="BJ15" s="3">
        <f t="shared" si="9"/>
        <v>637170.15290999995</v>
      </c>
      <c r="BK15" s="3">
        <v>649284622.49999988</v>
      </c>
      <c r="BL15" s="3">
        <f t="shared" si="10"/>
        <v>649284.62249999982</v>
      </c>
    </row>
    <row r="16" spans="1:64">
      <c r="A16" s="1" t="s">
        <v>10</v>
      </c>
      <c r="B16" s="1">
        <v>62681</v>
      </c>
      <c r="C16" s="1">
        <v>67630</v>
      </c>
      <c r="D16" s="1">
        <v>74973.899659999995</v>
      </c>
      <c r="E16" s="1">
        <v>82208.907880000013</v>
      </c>
      <c r="F16" s="1">
        <v>95345.860659999977</v>
      </c>
      <c r="G16" s="1">
        <v>99231.752840000001</v>
      </c>
      <c r="H16" s="1">
        <v>99063.464179999995</v>
      </c>
      <c r="I16" s="1">
        <v>97947.755009999993</v>
      </c>
      <c r="J16" s="1">
        <v>99895.068660000004</v>
      </c>
      <c r="K16" s="1">
        <v>98554.977880000006</v>
      </c>
      <c r="L16" s="239">
        <f t="shared" si="6"/>
        <v>-1.3414984322810701</v>
      </c>
      <c r="M16" s="239">
        <f t="shared" si="8"/>
        <v>75.895730993320228</v>
      </c>
      <c r="N16" s="14">
        <v>9620</v>
      </c>
      <c r="O16" s="14">
        <v>10997</v>
      </c>
      <c r="P16" s="14">
        <v>12517</v>
      </c>
      <c r="Q16" s="14">
        <v>14189</v>
      </c>
      <c r="R16" s="14">
        <v>16012</v>
      </c>
      <c r="S16" s="14">
        <v>18275</v>
      </c>
      <c r="T16" s="14">
        <v>21713</v>
      </c>
      <c r="U16" s="14">
        <v>24111</v>
      </c>
      <c r="V16" s="14">
        <v>26394</v>
      </c>
      <c r="W16" s="14">
        <v>26272</v>
      </c>
      <c r="X16" s="14">
        <v>28661</v>
      </c>
      <c r="Y16" s="14">
        <v>30643</v>
      </c>
      <c r="Z16" s="14">
        <v>33668</v>
      </c>
      <c r="AA16" s="14">
        <v>37031</v>
      </c>
      <c r="AB16" s="14">
        <v>39524</v>
      </c>
      <c r="AC16" s="14">
        <v>41705</v>
      </c>
      <c r="AD16" s="1">
        <v>46050</v>
      </c>
      <c r="AE16" s="14">
        <v>49651.794000000002</v>
      </c>
      <c r="AF16" s="14">
        <v>56030.341</v>
      </c>
      <c r="AG16" s="3">
        <v>46049798</v>
      </c>
      <c r="AH16" s="3">
        <f>AG16/1000</f>
        <v>46049.798000000003</v>
      </c>
      <c r="AJ16" s="3">
        <v>49651794</v>
      </c>
      <c r="AK16" s="3">
        <f>AJ16/1000</f>
        <v>49651.794000000002</v>
      </c>
      <c r="AM16" s="3">
        <v>56030341</v>
      </c>
      <c r="AN16" s="3">
        <f>AM16/1000</f>
        <v>56030.341</v>
      </c>
      <c r="AP16" s="3">
        <v>62681107</v>
      </c>
      <c r="AQ16" s="3">
        <f>AP16/1000</f>
        <v>62681.107000000004</v>
      </c>
      <c r="AS16" s="3">
        <v>67629729</v>
      </c>
      <c r="AT16" s="3">
        <f t="shared" si="3"/>
        <v>67629.729000000007</v>
      </c>
      <c r="AV16" s="3">
        <v>74973899.659999996</v>
      </c>
      <c r="AW16" s="3">
        <f t="shared" si="4"/>
        <v>74973.899659999995</v>
      </c>
      <c r="AY16" s="3">
        <v>82208907.88000001</v>
      </c>
      <c r="AZ16" s="3">
        <f>AY16/1000</f>
        <v>82208.907880000013</v>
      </c>
      <c r="BA16" s="3">
        <v>95345860.659999982</v>
      </c>
      <c r="BB16" s="3">
        <f>BA16/1000</f>
        <v>95345.860659999977</v>
      </c>
      <c r="BC16" s="3">
        <v>99231752.840000004</v>
      </c>
      <c r="BD16" s="3">
        <f>BC16/1000</f>
        <v>99231.752840000001</v>
      </c>
      <c r="BE16" s="3">
        <v>99063464.179999992</v>
      </c>
      <c r="BF16" s="3">
        <f>BE16/1000</f>
        <v>99063.464179999995</v>
      </c>
      <c r="BG16" s="3">
        <v>97947755.00999999</v>
      </c>
      <c r="BH16" s="3">
        <f t="shared" si="7"/>
        <v>97947.755009999993</v>
      </c>
      <c r="BI16" s="3">
        <v>99895068.659999996</v>
      </c>
      <c r="BJ16" s="3">
        <f t="shared" si="9"/>
        <v>99895.06865999999</v>
      </c>
      <c r="BK16" s="3">
        <v>98554977.88000001</v>
      </c>
      <c r="BL16" s="3">
        <f t="shared" si="10"/>
        <v>98554.977880000006</v>
      </c>
    </row>
    <row r="17" spans="1:64">
      <c r="L17" s="239"/>
      <c r="M17" s="239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E17" s="14"/>
      <c r="AF17" s="14"/>
      <c r="AG17" s="3"/>
      <c r="AH17" s="3"/>
    </row>
    <row r="18" spans="1:64">
      <c r="A18" s="1" t="s">
        <v>11</v>
      </c>
      <c r="B18" s="1">
        <v>29577</v>
      </c>
      <c r="C18" s="1">
        <v>31088</v>
      </c>
      <c r="D18" s="1">
        <v>34209.09807</v>
      </c>
      <c r="E18" s="1">
        <v>39598.5092</v>
      </c>
      <c r="F18" s="1">
        <v>45177.96501</v>
      </c>
      <c r="G18" s="1">
        <v>46566.385350000004</v>
      </c>
      <c r="H18" s="1">
        <v>45530.086450000003</v>
      </c>
      <c r="I18" s="1">
        <v>44733.543699999995</v>
      </c>
      <c r="J18" s="1">
        <v>47367.038919999999</v>
      </c>
      <c r="K18" s="1">
        <v>49522.77463</v>
      </c>
      <c r="L18" s="239">
        <f t="shared" ref="L18:L22" si="11">(K18-J18)*100/J18</f>
        <v>4.5511304045011238</v>
      </c>
      <c r="M18" s="239">
        <f t="shared" si="8"/>
        <v>80.838220828343083</v>
      </c>
      <c r="N18" s="14">
        <v>7587</v>
      </c>
      <c r="O18" s="14">
        <v>8223</v>
      </c>
      <c r="P18" s="14">
        <v>9196</v>
      </c>
      <c r="Q18" s="14">
        <v>10357</v>
      </c>
      <c r="R18" s="14">
        <v>11147</v>
      </c>
      <c r="S18" s="14">
        <v>12152</v>
      </c>
      <c r="T18" s="14">
        <v>13256</v>
      </c>
      <c r="U18" s="14">
        <v>14512</v>
      </c>
      <c r="V18" s="14">
        <v>15808</v>
      </c>
      <c r="W18" s="14">
        <v>16112</v>
      </c>
      <c r="X18" s="14">
        <v>17211</v>
      </c>
      <c r="Y18" s="14">
        <v>18265</v>
      </c>
      <c r="Z18" s="14">
        <v>20087</v>
      </c>
      <c r="AA18" s="14">
        <v>21135</v>
      </c>
      <c r="AB18" s="14">
        <v>22230</v>
      </c>
      <c r="AC18" s="14">
        <v>22901</v>
      </c>
      <c r="AD18" s="1">
        <v>23681</v>
      </c>
      <c r="AE18" s="14">
        <v>24628.892</v>
      </c>
      <c r="AF18" s="14">
        <v>27385.126</v>
      </c>
      <c r="AG18" s="3">
        <v>23681420</v>
      </c>
      <c r="AH18" s="3">
        <f>AG18/1000</f>
        <v>23681.42</v>
      </c>
      <c r="AJ18" s="3">
        <v>24628892</v>
      </c>
      <c r="AK18" s="3">
        <f>AJ18/1000</f>
        <v>24628.892</v>
      </c>
      <c r="AM18" s="3">
        <v>27385126</v>
      </c>
      <c r="AN18" s="3">
        <f>AM18/1000</f>
        <v>27385.126</v>
      </c>
      <c r="AP18" s="3">
        <v>29577443</v>
      </c>
      <c r="AQ18" s="3">
        <f>AP18/1000</f>
        <v>29577.442999999999</v>
      </c>
      <c r="AS18" s="3">
        <v>31087966</v>
      </c>
      <c r="AT18" s="3">
        <f t="shared" si="3"/>
        <v>31087.966</v>
      </c>
      <c r="AV18" s="3">
        <v>34209098.07</v>
      </c>
      <c r="AW18" s="3">
        <f t="shared" si="4"/>
        <v>34209.09807</v>
      </c>
      <c r="AY18" s="3">
        <v>39598509.200000003</v>
      </c>
      <c r="AZ18" s="3">
        <f>AY18/1000</f>
        <v>39598.5092</v>
      </c>
      <c r="BA18" s="3">
        <v>45177965.009999998</v>
      </c>
      <c r="BB18" s="3">
        <f>BA18/1000</f>
        <v>45177.96501</v>
      </c>
      <c r="BC18" s="3">
        <v>46566385.350000001</v>
      </c>
      <c r="BD18" s="3">
        <f>BC18/1000</f>
        <v>46566.385350000004</v>
      </c>
      <c r="BE18" s="3">
        <v>45530086.450000003</v>
      </c>
      <c r="BF18" s="3">
        <f>BE18/1000</f>
        <v>45530.086450000003</v>
      </c>
      <c r="BG18" s="3">
        <v>44733543.699999996</v>
      </c>
      <c r="BH18" s="3">
        <f t="shared" ref="BH18:BH22" si="12">BG18/1000</f>
        <v>44733.543699999995</v>
      </c>
      <c r="BI18" s="3">
        <v>47367038.920000002</v>
      </c>
      <c r="BJ18" s="3">
        <f t="shared" si="9"/>
        <v>47367.038919999999</v>
      </c>
      <c r="BK18" s="3">
        <v>49522774.630000003</v>
      </c>
      <c r="BL18" s="3">
        <f t="shared" si="10"/>
        <v>49522.77463</v>
      </c>
    </row>
    <row r="19" spans="1:64">
      <c r="A19" s="1" t="s">
        <v>12</v>
      </c>
      <c r="B19" s="1">
        <v>103423</v>
      </c>
      <c r="C19" s="1">
        <v>112889</v>
      </c>
      <c r="D19" s="1">
        <v>124237.95775999999</v>
      </c>
      <c r="E19" s="1">
        <v>138616.62263</v>
      </c>
      <c r="F19" s="1">
        <v>157765.42489000002</v>
      </c>
      <c r="G19" s="1">
        <v>163637.25704</v>
      </c>
      <c r="H19" s="1">
        <v>161120.1764</v>
      </c>
      <c r="I19" s="1">
        <v>157638.86375999998</v>
      </c>
      <c r="J19" s="1">
        <v>164639.87234</v>
      </c>
      <c r="K19" s="1">
        <v>162772.30083999998</v>
      </c>
      <c r="L19" s="239">
        <f t="shared" si="11"/>
        <v>-1.1343373105533472</v>
      </c>
      <c r="M19" s="239">
        <f t="shared" si="8"/>
        <v>68.490347659085515</v>
      </c>
      <c r="N19" s="14">
        <v>27889</v>
      </c>
      <c r="O19" s="14">
        <v>30925</v>
      </c>
      <c r="P19" s="14">
        <v>34474</v>
      </c>
      <c r="Q19" s="14">
        <v>38792</v>
      </c>
      <c r="R19" s="14">
        <v>42629</v>
      </c>
      <c r="S19" s="14">
        <v>46693</v>
      </c>
      <c r="T19" s="14">
        <v>51564</v>
      </c>
      <c r="U19" s="14">
        <v>55569</v>
      </c>
      <c r="V19" s="14">
        <v>60679</v>
      </c>
      <c r="W19" s="14">
        <v>60589</v>
      </c>
      <c r="X19" s="14">
        <v>63373</v>
      </c>
      <c r="Y19" s="14">
        <v>66144</v>
      </c>
      <c r="Z19" s="14">
        <v>70315</v>
      </c>
      <c r="AA19" s="14">
        <v>76325</v>
      </c>
      <c r="AB19" s="14">
        <v>79649</v>
      </c>
      <c r="AC19" s="14">
        <v>82264</v>
      </c>
      <c r="AD19" s="1">
        <v>91478</v>
      </c>
      <c r="AE19" s="14">
        <v>89001.774999999994</v>
      </c>
      <c r="AF19" s="14">
        <v>96606.305999999997</v>
      </c>
      <c r="AG19" s="3">
        <v>91478208</v>
      </c>
      <c r="AH19" s="3">
        <f>AG19/1000</f>
        <v>91478.207999999999</v>
      </c>
      <c r="AJ19" s="3">
        <v>89001775</v>
      </c>
      <c r="AK19" s="3">
        <f>AJ19/1000</f>
        <v>89001.774999999994</v>
      </c>
      <c r="AM19" s="3">
        <v>96606306</v>
      </c>
      <c r="AN19" s="3">
        <f>AM19/1000</f>
        <v>96606.305999999997</v>
      </c>
      <c r="AP19" s="3">
        <v>103423006</v>
      </c>
      <c r="AQ19" s="3">
        <f>AP19/1000</f>
        <v>103423.00599999999</v>
      </c>
      <c r="AS19" s="3">
        <v>112889101</v>
      </c>
      <c r="AT19" s="3">
        <f t="shared" si="3"/>
        <v>112889.101</v>
      </c>
      <c r="AV19" s="3">
        <v>124237957.75999999</v>
      </c>
      <c r="AW19" s="3">
        <f t="shared" si="4"/>
        <v>124237.95775999999</v>
      </c>
      <c r="AY19" s="3">
        <v>138616622.63</v>
      </c>
      <c r="AZ19" s="3">
        <f>AY19/1000</f>
        <v>138616.62263</v>
      </c>
      <c r="BA19" s="3">
        <v>157765424.89000002</v>
      </c>
      <c r="BB19" s="3">
        <f>BA19/1000</f>
        <v>157765.42489000002</v>
      </c>
      <c r="BC19" s="3">
        <v>163637257.03999999</v>
      </c>
      <c r="BD19" s="3">
        <f>BC19/1000</f>
        <v>163637.25704</v>
      </c>
      <c r="BE19" s="3">
        <v>161120176.40000001</v>
      </c>
      <c r="BF19" s="3">
        <f>BE19/1000</f>
        <v>161120.1764</v>
      </c>
      <c r="BG19" s="3">
        <v>157638863.75999999</v>
      </c>
      <c r="BH19" s="3">
        <f t="shared" si="12"/>
        <v>157638.86375999998</v>
      </c>
      <c r="BI19" s="3">
        <v>164639872.33999997</v>
      </c>
      <c r="BJ19" s="3">
        <f t="shared" si="9"/>
        <v>164639.87233999997</v>
      </c>
      <c r="BK19" s="3">
        <v>162772300.83999997</v>
      </c>
      <c r="BL19" s="3">
        <f t="shared" si="10"/>
        <v>162772.30083999998</v>
      </c>
    </row>
    <row r="20" spans="1:64">
      <c r="A20" s="1" t="s">
        <v>13</v>
      </c>
      <c r="B20" s="1">
        <v>67223</v>
      </c>
      <c r="C20" s="1">
        <v>74185</v>
      </c>
      <c r="D20" s="1">
        <v>83794.432680000013</v>
      </c>
      <c r="E20" s="1">
        <v>93891.134909999979</v>
      </c>
      <c r="F20" s="1">
        <v>107454.70377999998</v>
      </c>
      <c r="G20" s="1">
        <v>109769.40849</v>
      </c>
      <c r="H20" s="1">
        <v>108729.02154000002</v>
      </c>
      <c r="I20" s="1">
        <v>109818.13585999999</v>
      </c>
      <c r="J20" s="1">
        <v>112297.61927</v>
      </c>
      <c r="K20" s="1">
        <v>111985.55364</v>
      </c>
      <c r="L20" s="239">
        <f t="shared" si="11"/>
        <v>-0.27789158134304703</v>
      </c>
      <c r="M20" s="239">
        <f t="shared" si="8"/>
        <v>77.238113547526297</v>
      </c>
      <c r="N20" s="14">
        <v>19246</v>
      </c>
      <c r="O20" s="14">
        <v>20980</v>
      </c>
      <c r="P20" s="14">
        <v>23294</v>
      </c>
      <c r="Q20" s="14">
        <v>25107</v>
      </c>
      <c r="R20" s="14">
        <v>26949</v>
      </c>
      <c r="S20" s="14">
        <v>30324</v>
      </c>
      <c r="T20" s="14">
        <v>32520</v>
      </c>
      <c r="U20" s="14">
        <v>34659</v>
      </c>
      <c r="V20" s="14">
        <v>38098</v>
      </c>
      <c r="W20" s="14">
        <v>37964</v>
      </c>
      <c r="X20" s="14">
        <v>39731</v>
      </c>
      <c r="Y20" s="14">
        <v>41464</v>
      </c>
      <c r="Z20" s="14">
        <v>44171</v>
      </c>
      <c r="AA20" s="14">
        <v>46617</v>
      </c>
      <c r="AB20" s="14">
        <v>49585</v>
      </c>
      <c r="AC20" s="14">
        <v>50463</v>
      </c>
      <c r="AD20" s="1">
        <v>60672</v>
      </c>
      <c r="AE20" s="14">
        <v>57826.656999999999</v>
      </c>
      <c r="AF20" s="14">
        <v>63183.675000000003</v>
      </c>
      <c r="AG20" s="3">
        <v>60672394</v>
      </c>
      <c r="AH20" s="3">
        <f>AG20/1000</f>
        <v>60672.394</v>
      </c>
      <c r="AJ20" s="3">
        <v>57826657</v>
      </c>
      <c r="AK20" s="3">
        <f>AJ20/1000</f>
        <v>57826.656999999999</v>
      </c>
      <c r="AM20" s="3">
        <v>63183675</v>
      </c>
      <c r="AN20" s="3">
        <f>AM20/1000</f>
        <v>63183.675000000003</v>
      </c>
      <c r="AP20" s="3">
        <v>67222840</v>
      </c>
      <c r="AQ20" s="3">
        <f>AP20/1000</f>
        <v>67222.84</v>
      </c>
      <c r="AS20" s="3">
        <v>74184743</v>
      </c>
      <c r="AT20" s="3">
        <f t="shared" si="3"/>
        <v>74184.743000000002</v>
      </c>
      <c r="AV20" s="3">
        <v>83794432.680000007</v>
      </c>
      <c r="AW20" s="3">
        <f t="shared" si="4"/>
        <v>83794.432680000013</v>
      </c>
      <c r="AY20" s="3">
        <v>93891134.909999982</v>
      </c>
      <c r="AZ20" s="3">
        <f>AY20/1000</f>
        <v>93891.134909999979</v>
      </c>
      <c r="BA20" s="3">
        <v>107454703.77999999</v>
      </c>
      <c r="BB20" s="3">
        <f>BA20/1000</f>
        <v>107454.70377999998</v>
      </c>
      <c r="BC20" s="3">
        <v>109769408.48999999</v>
      </c>
      <c r="BD20" s="3">
        <f>BC20/1000</f>
        <v>109769.40849</v>
      </c>
      <c r="BE20" s="3">
        <v>108729021.54000002</v>
      </c>
      <c r="BF20" s="3">
        <f>BE20/1000</f>
        <v>108729.02154000002</v>
      </c>
      <c r="BG20" s="3">
        <v>109818135.86</v>
      </c>
      <c r="BH20" s="3">
        <f t="shared" si="12"/>
        <v>109818.13585999999</v>
      </c>
      <c r="BI20" s="3">
        <v>112297619.27</v>
      </c>
      <c r="BJ20" s="3">
        <f t="shared" si="9"/>
        <v>112297.61927</v>
      </c>
      <c r="BK20" s="3">
        <v>111985553.64</v>
      </c>
      <c r="BL20" s="3">
        <f t="shared" si="10"/>
        <v>111985.55364</v>
      </c>
    </row>
    <row r="21" spans="1:64">
      <c r="A21" s="1" t="s">
        <v>14</v>
      </c>
      <c r="B21" s="1">
        <v>98455</v>
      </c>
      <c r="C21" s="1">
        <v>108380</v>
      </c>
      <c r="D21" s="1">
        <v>122740.00019000001</v>
      </c>
      <c r="E21" s="1">
        <v>140687.20911000003</v>
      </c>
      <c r="F21" s="1">
        <v>160574.78324000002</v>
      </c>
      <c r="G21" s="1">
        <v>170065.95554999998</v>
      </c>
      <c r="H21" s="1">
        <v>167117.38925000001</v>
      </c>
      <c r="I21" s="1">
        <v>165245.09243000002</v>
      </c>
      <c r="J21" s="1">
        <v>179795.43414</v>
      </c>
      <c r="K21" s="1">
        <v>178481.90865999996</v>
      </c>
      <c r="L21" s="239">
        <f t="shared" si="11"/>
        <v>-0.7305666499724609</v>
      </c>
      <c r="M21" s="239">
        <f t="shared" si="8"/>
        <v>102.24155380859555</v>
      </c>
      <c r="N21" s="14">
        <v>26852</v>
      </c>
      <c r="O21" s="14">
        <v>29536</v>
      </c>
      <c r="P21" s="14">
        <v>32225</v>
      </c>
      <c r="Q21" s="14">
        <v>34718</v>
      </c>
      <c r="R21" s="14">
        <v>38041</v>
      </c>
      <c r="S21" s="14">
        <v>42150</v>
      </c>
      <c r="T21" s="14">
        <v>45828</v>
      </c>
      <c r="U21" s="14">
        <v>50314</v>
      </c>
      <c r="V21" s="14">
        <v>54374</v>
      </c>
      <c r="W21" s="14">
        <v>54038</v>
      </c>
      <c r="X21" s="14">
        <v>56040</v>
      </c>
      <c r="Y21" s="14">
        <v>58156</v>
      </c>
      <c r="Z21" s="14">
        <v>61443</v>
      </c>
      <c r="AA21" s="14">
        <v>64831</v>
      </c>
      <c r="AB21" s="14">
        <v>66595</v>
      </c>
      <c r="AC21" s="14">
        <v>70856</v>
      </c>
      <c r="AD21" s="1">
        <v>81031</v>
      </c>
      <c r="AE21" s="14">
        <v>81870.694000000003</v>
      </c>
      <c r="AF21" s="14">
        <v>88251.847999999998</v>
      </c>
      <c r="AG21" s="3">
        <v>81030846</v>
      </c>
      <c r="AH21" s="3">
        <f>AG21/1000</f>
        <v>81030.846000000005</v>
      </c>
      <c r="AJ21" s="3">
        <v>81870694</v>
      </c>
      <c r="AK21" s="3">
        <f>AJ21/1000</f>
        <v>81870.694000000003</v>
      </c>
      <c r="AM21" s="3">
        <v>88251848</v>
      </c>
      <c r="AN21" s="3">
        <f>AM21/1000</f>
        <v>88251.847999999998</v>
      </c>
      <c r="AP21" s="3">
        <v>98455137</v>
      </c>
      <c r="AQ21" s="3">
        <f>AP21/1000</f>
        <v>98455.137000000002</v>
      </c>
      <c r="AS21" s="3">
        <v>108379802</v>
      </c>
      <c r="AT21" s="3">
        <f t="shared" si="3"/>
        <v>108379.802</v>
      </c>
      <c r="AV21" s="3">
        <v>122740000.19000001</v>
      </c>
      <c r="AW21" s="3">
        <f t="shared" si="4"/>
        <v>122740.00019000001</v>
      </c>
      <c r="AY21" s="3">
        <v>140687209.11000001</v>
      </c>
      <c r="AZ21" s="3">
        <f>AY21/1000</f>
        <v>140687.20911000003</v>
      </c>
      <c r="BA21" s="3">
        <v>160574783.24000001</v>
      </c>
      <c r="BB21" s="3">
        <f>BA21/1000</f>
        <v>160574.78324000002</v>
      </c>
      <c r="BC21" s="3">
        <v>170065955.54999998</v>
      </c>
      <c r="BD21" s="3">
        <f>BC21/1000</f>
        <v>170065.95554999998</v>
      </c>
      <c r="BE21" s="3">
        <v>167117389.25</v>
      </c>
      <c r="BF21" s="3">
        <f>BE21/1000</f>
        <v>167117.38925000001</v>
      </c>
      <c r="BG21" s="3">
        <v>165245092.43000001</v>
      </c>
      <c r="BH21" s="3">
        <f t="shared" si="12"/>
        <v>165245.09243000002</v>
      </c>
      <c r="BI21" s="3">
        <v>179795434.13999999</v>
      </c>
      <c r="BJ21" s="3">
        <f t="shared" si="9"/>
        <v>179795.43414</v>
      </c>
      <c r="BK21" s="3">
        <v>178481908.65999997</v>
      </c>
      <c r="BL21" s="3">
        <f t="shared" si="10"/>
        <v>178481.90865999996</v>
      </c>
    </row>
    <row r="22" spans="1:64">
      <c r="A22" s="1" t="s">
        <v>15</v>
      </c>
      <c r="B22" s="1">
        <v>22468</v>
      </c>
      <c r="C22" s="1">
        <v>23721</v>
      </c>
      <c r="D22" s="1">
        <v>26101.929309999996</v>
      </c>
      <c r="E22" s="1">
        <v>28313.389039999998</v>
      </c>
      <c r="F22" s="1">
        <v>33101.612269999998</v>
      </c>
      <c r="G22" s="1">
        <v>33865.329319999997</v>
      </c>
      <c r="H22" s="1">
        <v>32675.951239999995</v>
      </c>
      <c r="I22" s="1">
        <v>33378.314709999999</v>
      </c>
      <c r="J22" s="1">
        <v>35596.137040000001</v>
      </c>
      <c r="K22" s="1">
        <v>36656.731250000004</v>
      </c>
      <c r="L22" s="239">
        <f t="shared" si="11"/>
        <v>2.9795205272083165</v>
      </c>
      <c r="M22" s="239">
        <f t="shared" si="8"/>
        <v>80.663618258923648</v>
      </c>
      <c r="N22" s="14">
        <v>8438</v>
      </c>
      <c r="O22" s="14">
        <v>9340</v>
      </c>
      <c r="P22" s="14">
        <v>10012</v>
      </c>
      <c r="Q22" s="14">
        <v>10790</v>
      </c>
      <c r="R22" s="14">
        <v>11799</v>
      </c>
      <c r="S22" s="14">
        <v>13014</v>
      </c>
      <c r="T22" s="14">
        <v>13492</v>
      </c>
      <c r="U22" s="14">
        <v>13964</v>
      </c>
      <c r="V22" s="14">
        <v>14620</v>
      </c>
      <c r="W22" s="14">
        <v>15024</v>
      </c>
      <c r="X22" s="14">
        <v>16302</v>
      </c>
      <c r="Y22" s="14">
        <v>16535</v>
      </c>
      <c r="Z22" s="14">
        <v>17049</v>
      </c>
      <c r="AA22" s="14">
        <v>18082</v>
      </c>
      <c r="AB22" s="14">
        <v>18355</v>
      </c>
      <c r="AC22" s="14">
        <v>18594</v>
      </c>
      <c r="AD22" s="1">
        <v>20550</v>
      </c>
      <c r="AE22" s="14">
        <v>19809.402999999998</v>
      </c>
      <c r="AF22" s="14">
        <v>20290.045999999998</v>
      </c>
      <c r="AG22" s="3">
        <v>20549933</v>
      </c>
      <c r="AH22" s="3">
        <f>AG22/1000</f>
        <v>20549.933000000001</v>
      </c>
      <c r="AJ22" s="3">
        <v>19809403</v>
      </c>
      <c r="AK22" s="3">
        <f>AJ22/1000</f>
        <v>19809.402999999998</v>
      </c>
      <c r="AM22" s="3">
        <v>20290046</v>
      </c>
      <c r="AN22" s="3">
        <f>AM22/1000</f>
        <v>20290.045999999998</v>
      </c>
      <c r="AP22" s="3">
        <v>22467509</v>
      </c>
      <c r="AQ22" s="3">
        <f>AP22/1000</f>
        <v>22467.508999999998</v>
      </c>
      <c r="AS22" s="3">
        <v>23721366</v>
      </c>
      <c r="AT22" s="3">
        <f t="shared" si="3"/>
        <v>23721.366000000002</v>
      </c>
      <c r="AV22" s="3">
        <v>26101929.309999995</v>
      </c>
      <c r="AW22" s="3">
        <f t="shared" si="4"/>
        <v>26101.929309999996</v>
      </c>
      <c r="AY22" s="3">
        <v>28313389.039999999</v>
      </c>
      <c r="AZ22" s="3">
        <f>AY22/1000</f>
        <v>28313.389039999998</v>
      </c>
      <c r="BA22" s="3">
        <v>33101612.27</v>
      </c>
      <c r="BB22" s="3">
        <f>BA22/1000</f>
        <v>33101.612269999998</v>
      </c>
      <c r="BC22" s="3">
        <v>33865329.32</v>
      </c>
      <c r="BD22" s="3">
        <f>BC22/1000</f>
        <v>33865.329319999997</v>
      </c>
      <c r="BE22" s="3">
        <v>32675951.239999995</v>
      </c>
      <c r="BF22" s="3">
        <f>BE22/1000</f>
        <v>32675.951239999995</v>
      </c>
      <c r="BG22" s="3">
        <v>33378314.710000001</v>
      </c>
      <c r="BH22" s="3">
        <f t="shared" si="12"/>
        <v>33378.314709999999</v>
      </c>
      <c r="BI22" s="3">
        <v>35596137.039999999</v>
      </c>
      <c r="BJ22" s="3">
        <f t="shared" si="9"/>
        <v>35596.137040000001</v>
      </c>
      <c r="BK22" s="3">
        <v>36656731.250000007</v>
      </c>
      <c r="BL22" s="3">
        <f t="shared" si="10"/>
        <v>36656.731250000004</v>
      </c>
    </row>
    <row r="23" spans="1:64">
      <c r="L23" s="239"/>
      <c r="M23" s="239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E23" s="14"/>
      <c r="AF23" s="14"/>
      <c r="AG23" s="3"/>
      <c r="AH23" s="3"/>
    </row>
    <row r="24" spans="1:64">
      <c r="A24" s="1" t="s">
        <v>16</v>
      </c>
      <c r="B24" s="1">
        <v>134818</v>
      </c>
      <c r="C24" s="1">
        <v>147655</v>
      </c>
      <c r="D24" s="1">
        <v>168027.28598000002</v>
      </c>
      <c r="E24" s="1">
        <v>186694.64388000002</v>
      </c>
      <c r="F24" s="1">
        <v>221501.43066999997</v>
      </c>
      <c r="G24" s="1">
        <v>232550.15436000002</v>
      </c>
      <c r="H24" s="1">
        <v>230456.26306999996</v>
      </c>
      <c r="I24" s="1">
        <v>231927.42503000001</v>
      </c>
      <c r="J24" s="1">
        <v>254903.79298</v>
      </c>
      <c r="K24" s="1">
        <v>256977.79249000002</v>
      </c>
      <c r="L24" s="239">
        <f t="shared" ref="L24:L28" si="13">(K24-J24)*100/J24</f>
        <v>0.81364011329668651</v>
      </c>
      <c r="M24" s="239">
        <f t="shared" si="8"/>
        <v>103.85624028525207</v>
      </c>
      <c r="N24" s="14">
        <v>33835</v>
      </c>
      <c r="O24" s="14">
        <v>37399</v>
      </c>
      <c r="P24" s="14">
        <v>41789</v>
      </c>
      <c r="Q24" s="14">
        <v>47039</v>
      </c>
      <c r="R24" s="14">
        <v>51551</v>
      </c>
      <c r="S24" s="14">
        <v>56444</v>
      </c>
      <c r="T24" s="14">
        <v>61171</v>
      </c>
      <c r="U24" s="14">
        <v>64482</v>
      </c>
      <c r="V24" s="14">
        <v>72707</v>
      </c>
      <c r="W24" s="14">
        <v>73628</v>
      </c>
      <c r="X24" s="14">
        <v>78050</v>
      </c>
      <c r="Y24" s="14">
        <v>82598</v>
      </c>
      <c r="Z24" s="14">
        <v>88670</v>
      </c>
      <c r="AA24" s="14">
        <v>95904</v>
      </c>
      <c r="AB24" s="14">
        <v>99874</v>
      </c>
      <c r="AC24" s="14">
        <v>102427</v>
      </c>
      <c r="AD24" s="1">
        <v>123374</v>
      </c>
      <c r="AE24" s="14">
        <v>114078.83</v>
      </c>
      <c r="AF24" s="14">
        <v>126058.34</v>
      </c>
      <c r="AG24" s="3">
        <v>123374121</v>
      </c>
      <c r="AH24" s="3">
        <f>AG24/1000</f>
        <v>123374.121</v>
      </c>
      <c r="AJ24" s="3">
        <v>114078830</v>
      </c>
      <c r="AK24" s="3">
        <f>AJ24/1000</f>
        <v>114078.83</v>
      </c>
      <c r="AM24" s="3">
        <v>126058340</v>
      </c>
      <c r="AN24" s="3">
        <f>AM24/1000</f>
        <v>126058.34</v>
      </c>
      <c r="AP24" s="3">
        <v>134817838</v>
      </c>
      <c r="AQ24" s="3">
        <f>AP24/1000</f>
        <v>134817.83799999999</v>
      </c>
      <c r="AS24" s="3">
        <v>147654563</v>
      </c>
      <c r="AT24" s="3">
        <f t="shared" si="3"/>
        <v>147654.56299999999</v>
      </c>
      <c r="AV24" s="3">
        <v>168027285.98000002</v>
      </c>
      <c r="AW24" s="3">
        <f t="shared" si="4"/>
        <v>168027.28598000002</v>
      </c>
      <c r="AY24" s="3">
        <v>186694643.88000003</v>
      </c>
      <c r="AZ24" s="3">
        <f>AY24/1000</f>
        <v>186694.64388000002</v>
      </c>
      <c r="BA24" s="3">
        <v>221501430.66999999</v>
      </c>
      <c r="BB24" s="3">
        <f>BA24/1000</f>
        <v>221501.43066999997</v>
      </c>
      <c r="BC24" s="3">
        <v>232550154.36000001</v>
      </c>
      <c r="BD24" s="3">
        <f>BC24/1000</f>
        <v>232550.15436000002</v>
      </c>
      <c r="BE24" s="3">
        <v>230456263.06999996</v>
      </c>
      <c r="BF24" s="3">
        <f>BE24/1000</f>
        <v>230456.26306999996</v>
      </c>
      <c r="BG24" s="3">
        <v>231927425.03</v>
      </c>
      <c r="BH24" s="3">
        <f t="shared" ref="BH24:BH28" si="14">BG24/1000</f>
        <v>231927.42503000001</v>
      </c>
      <c r="BI24" s="3">
        <v>254903792.97999999</v>
      </c>
      <c r="BJ24" s="3">
        <f>BI24/1000</f>
        <v>254903.79298</v>
      </c>
      <c r="BK24" s="3">
        <v>256977792.49000001</v>
      </c>
      <c r="BL24" s="3">
        <f t="shared" si="10"/>
        <v>256977.79249000002</v>
      </c>
    </row>
    <row r="25" spans="1:64">
      <c r="A25" s="1" t="s">
        <v>17</v>
      </c>
      <c r="B25" s="1">
        <v>21649</v>
      </c>
      <c r="C25" s="1">
        <v>22469</v>
      </c>
      <c r="D25" s="1">
        <v>23590.74985</v>
      </c>
      <c r="E25" s="1">
        <v>25784.383290000002</v>
      </c>
      <c r="F25" s="1">
        <v>28356.872319999999</v>
      </c>
      <c r="G25" s="1">
        <v>28736.90984</v>
      </c>
      <c r="H25" s="1">
        <v>28036.313459999998</v>
      </c>
      <c r="I25" s="1">
        <v>26516.858940000002</v>
      </c>
      <c r="J25" s="1">
        <v>27043.473180000001</v>
      </c>
      <c r="K25" s="1">
        <v>25500.583640000001</v>
      </c>
      <c r="L25" s="239">
        <f t="shared" si="13"/>
        <v>-5.7052196281542864</v>
      </c>
      <c r="M25" s="239">
        <f t="shared" si="8"/>
        <v>20.372587776750315</v>
      </c>
      <c r="N25" s="14">
        <v>9159</v>
      </c>
      <c r="O25" s="14">
        <v>10368</v>
      </c>
      <c r="P25" s="14">
        <v>11165</v>
      </c>
      <c r="Q25" s="14">
        <v>12124</v>
      </c>
      <c r="R25" s="14">
        <v>13045</v>
      </c>
      <c r="S25" s="14">
        <v>14454</v>
      </c>
      <c r="T25" s="14">
        <v>15826</v>
      </c>
      <c r="U25" s="14">
        <v>15793</v>
      </c>
      <c r="V25" s="14">
        <v>16621</v>
      </c>
      <c r="W25" s="14">
        <v>16740</v>
      </c>
      <c r="X25" s="14">
        <v>17037</v>
      </c>
      <c r="Y25" s="14">
        <v>17472</v>
      </c>
      <c r="Z25" s="14">
        <v>17983</v>
      </c>
      <c r="AA25" s="14">
        <v>18709</v>
      </c>
      <c r="AB25" s="14">
        <v>19244</v>
      </c>
      <c r="AC25" s="14">
        <v>19146</v>
      </c>
      <c r="AD25" s="1">
        <v>19296</v>
      </c>
      <c r="AE25" s="14">
        <v>19882.738000000001</v>
      </c>
      <c r="AF25" s="14">
        <v>21184.71</v>
      </c>
      <c r="AG25" s="3">
        <v>19296050</v>
      </c>
      <c r="AH25" s="3">
        <f>AG25/1000</f>
        <v>19296.05</v>
      </c>
      <c r="AJ25" s="3">
        <v>19882738</v>
      </c>
      <c r="AK25" s="3">
        <f>AJ25/1000</f>
        <v>19882.738000000001</v>
      </c>
      <c r="AM25" s="3">
        <v>21184710</v>
      </c>
      <c r="AN25" s="3">
        <f>AM25/1000</f>
        <v>21184.71</v>
      </c>
      <c r="AP25" s="3">
        <v>21648811</v>
      </c>
      <c r="AQ25" s="3">
        <f>AP25/1000</f>
        <v>21648.811000000002</v>
      </c>
      <c r="AS25" s="3">
        <v>22468913</v>
      </c>
      <c r="AT25" s="3">
        <f t="shared" si="3"/>
        <v>22468.913</v>
      </c>
      <c r="AV25" s="3">
        <v>23590749.850000001</v>
      </c>
      <c r="AW25" s="3">
        <f t="shared" si="4"/>
        <v>23590.74985</v>
      </c>
      <c r="AY25" s="3">
        <v>25784383.290000003</v>
      </c>
      <c r="AZ25" s="3">
        <f>AY25/1000</f>
        <v>25784.383290000002</v>
      </c>
      <c r="BA25" s="3">
        <v>28356872.32</v>
      </c>
      <c r="BB25" s="3">
        <f>BA25/1000</f>
        <v>28356.872319999999</v>
      </c>
      <c r="BC25" s="3">
        <v>28736909.84</v>
      </c>
      <c r="BD25" s="3">
        <f>BC25/1000</f>
        <v>28736.90984</v>
      </c>
      <c r="BE25" s="3">
        <v>28036313.459999997</v>
      </c>
      <c r="BF25" s="3">
        <f>BE25/1000</f>
        <v>28036.313459999998</v>
      </c>
      <c r="BG25" s="3">
        <v>26516858.940000001</v>
      </c>
      <c r="BH25" s="3">
        <f t="shared" si="14"/>
        <v>26516.858940000002</v>
      </c>
      <c r="BI25" s="3">
        <v>27043473.18</v>
      </c>
      <c r="BJ25" s="3">
        <f t="shared" ref="BJ25:BJ28" si="15">BI25/1000</f>
        <v>27043.473180000001</v>
      </c>
      <c r="BK25" s="3">
        <v>25500583.640000001</v>
      </c>
      <c r="BL25" s="3">
        <f t="shared" si="10"/>
        <v>25500.583640000001</v>
      </c>
    </row>
    <row r="26" spans="1:64">
      <c r="A26" s="1" t="s">
        <v>18</v>
      </c>
      <c r="B26" s="1">
        <v>150070</v>
      </c>
      <c r="C26" s="1">
        <v>160971</v>
      </c>
      <c r="D26" s="1">
        <v>181556.2304</v>
      </c>
      <c r="E26" s="1">
        <v>204859.02591000003</v>
      </c>
      <c r="F26" s="1">
        <v>231877.00819999998</v>
      </c>
      <c r="G26" s="1">
        <v>238176.65833999999</v>
      </c>
      <c r="H26" s="1">
        <v>235764.93826</v>
      </c>
      <c r="I26" s="1">
        <v>233332.59058000002</v>
      </c>
      <c r="J26" s="1">
        <v>244921.21314000001</v>
      </c>
      <c r="K26" s="1">
        <v>239203.93312999999</v>
      </c>
      <c r="L26" s="239">
        <f t="shared" si="13"/>
        <v>-2.3343343505047676</v>
      </c>
      <c r="M26" s="239">
        <f t="shared" si="8"/>
        <v>74.250039019857297</v>
      </c>
      <c r="N26" s="14">
        <v>41759</v>
      </c>
      <c r="O26" s="14">
        <v>45645</v>
      </c>
      <c r="P26" s="14">
        <v>50937</v>
      </c>
      <c r="Q26" s="14">
        <v>55088</v>
      </c>
      <c r="R26" s="14">
        <v>60013</v>
      </c>
      <c r="S26" s="14">
        <v>66327</v>
      </c>
      <c r="T26" s="14">
        <v>72964</v>
      </c>
      <c r="U26" s="14">
        <v>79729</v>
      </c>
      <c r="V26" s="14">
        <v>89015</v>
      </c>
      <c r="W26" s="14">
        <v>88834</v>
      </c>
      <c r="X26" s="14">
        <v>94386</v>
      </c>
      <c r="Y26" s="14">
        <v>99800</v>
      </c>
      <c r="Z26" s="14">
        <v>104847</v>
      </c>
      <c r="AA26" s="14">
        <v>111595</v>
      </c>
      <c r="AB26" s="14">
        <v>116063</v>
      </c>
      <c r="AC26" s="14">
        <v>118387</v>
      </c>
      <c r="AD26" s="1">
        <v>133398</v>
      </c>
      <c r="AE26" s="14">
        <v>128186.66499999999</v>
      </c>
      <c r="AF26" s="14">
        <v>137276.258</v>
      </c>
      <c r="AG26" s="3">
        <v>133398458</v>
      </c>
      <c r="AH26" s="3">
        <f>AG26/1000</f>
        <v>133398.45800000001</v>
      </c>
      <c r="AJ26" s="3">
        <v>128186665</v>
      </c>
      <c r="AK26" s="3">
        <f>AJ26/1000</f>
        <v>128186.66499999999</v>
      </c>
      <c r="AM26" s="3">
        <v>137276258</v>
      </c>
      <c r="AN26" s="3">
        <f>AM26/1000</f>
        <v>137276.258</v>
      </c>
      <c r="AP26" s="3">
        <v>150070453</v>
      </c>
      <c r="AQ26" s="3">
        <f>AP26/1000</f>
        <v>150070.45300000001</v>
      </c>
      <c r="AS26" s="3">
        <v>160970937</v>
      </c>
      <c r="AT26" s="3">
        <f t="shared" si="3"/>
        <v>160970.93700000001</v>
      </c>
      <c r="AV26" s="3">
        <v>181556230.40000001</v>
      </c>
      <c r="AW26" s="3">
        <f t="shared" si="4"/>
        <v>181556.2304</v>
      </c>
      <c r="AY26" s="3">
        <v>204859025.91000003</v>
      </c>
      <c r="AZ26" s="3">
        <f>AY26/1000</f>
        <v>204859.02591000003</v>
      </c>
      <c r="BA26" s="3">
        <v>231877008.19999999</v>
      </c>
      <c r="BB26" s="3">
        <f>BA26/1000</f>
        <v>231877.00819999998</v>
      </c>
      <c r="BC26" s="3">
        <v>238176658.34</v>
      </c>
      <c r="BD26" s="3">
        <f>BC26/1000</f>
        <v>238176.65833999999</v>
      </c>
      <c r="BE26" s="3">
        <v>235764938.25999999</v>
      </c>
      <c r="BF26" s="3">
        <f>BE26/1000</f>
        <v>235764.93826</v>
      </c>
      <c r="BG26" s="3">
        <v>233332590.58000001</v>
      </c>
      <c r="BH26" s="3">
        <f t="shared" si="14"/>
        <v>233332.59058000002</v>
      </c>
      <c r="BI26" s="3">
        <v>244921213.14000002</v>
      </c>
      <c r="BJ26" s="3">
        <f t="shared" si="15"/>
        <v>244921.21314000001</v>
      </c>
      <c r="BK26" s="3">
        <v>239203933.13</v>
      </c>
      <c r="BL26" s="3">
        <f t="shared" si="10"/>
        <v>239203.93312999999</v>
      </c>
    </row>
    <row r="27" spans="1:64">
      <c r="A27" s="1" t="s">
        <v>19</v>
      </c>
      <c r="B27" s="1">
        <v>142080</v>
      </c>
      <c r="C27" s="1">
        <v>150467</v>
      </c>
      <c r="D27" s="1">
        <v>166144.15429999999</v>
      </c>
      <c r="E27" s="1">
        <v>186582.03276000003</v>
      </c>
      <c r="F27" s="1">
        <v>221073.57174000001</v>
      </c>
      <c r="G27" s="1">
        <v>237877.05788000004</v>
      </c>
      <c r="H27" s="1">
        <v>241708.01340000003</v>
      </c>
      <c r="I27" s="1">
        <v>256791.39218999998</v>
      </c>
      <c r="J27" s="1">
        <v>273694.56518999999</v>
      </c>
      <c r="K27" s="1">
        <v>276981.60200000001</v>
      </c>
      <c r="L27" s="239">
        <f t="shared" si="13"/>
        <v>1.2009872420075802</v>
      </c>
      <c r="M27" s="239">
        <f t="shared" si="8"/>
        <v>121.22369766043757</v>
      </c>
      <c r="N27" s="14">
        <v>32249</v>
      </c>
      <c r="O27" s="14">
        <v>35994</v>
      </c>
      <c r="P27" s="14">
        <v>40417</v>
      </c>
      <c r="Q27" s="14">
        <v>43139</v>
      </c>
      <c r="R27" s="14">
        <v>47225</v>
      </c>
      <c r="S27" s="14">
        <v>52219</v>
      </c>
      <c r="T27" s="14">
        <v>57536</v>
      </c>
      <c r="U27" s="14">
        <v>62453</v>
      </c>
      <c r="V27" s="14">
        <v>68993</v>
      </c>
      <c r="W27" s="14">
        <v>67556</v>
      </c>
      <c r="X27" s="14">
        <v>72006</v>
      </c>
      <c r="Y27" s="14">
        <v>78144</v>
      </c>
      <c r="Z27" s="14">
        <v>82661</v>
      </c>
      <c r="AA27" s="14">
        <v>90306</v>
      </c>
      <c r="AB27" s="14">
        <v>96158</v>
      </c>
      <c r="AC27" s="14">
        <v>100711</v>
      </c>
      <c r="AD27" s="1">
        <v>121768</v>
      </c>
      <c r="AE27" s="14">
        <v>111545.75</v>
      </c>
      <c r="AF27" s="14">
        <v>125204.30899999999</v>
      </c>
      <c r="AG27" s="3">
        <v>121768303</v>
      </c>
      <c r="AH27" s="3">
        <f>AG27/1000</f>
        <v>121768.303</v>
      </c>
      <c r="AJ27" s="3">
        <v>111545750</v>
      </c>
      <c r="AK27" s="3">
        <f>AJ27/1000</f>
        <v>111545.75</v>
      </c>
      <c r="AM27" s="3">
        <v>125204309</v>
      </c>
      <c r="AN27" s="3">
        <f>AM27/1000</f>
        <v>125204.30899999999</v>
      </c>
      <c r="AP27" s="3">
        <v>142079834</v>
      </c>
      <c r="AQ27" s="3">
        <f>AP27/1000</f>
        <v>142079.834</v>
      </c>
      <c r="AS27" s="3">
        <v>150467339</v>
      </c>
      <c r="AT27" s="3">
        <f t="shared" si="3"/>
        <v>150467.33900000001</v>
      </c>
      <c r="AV27" s="3">
        <v>166144154.29999998</v>
      </c>
      <c r="AW27" s="3">
        <f t="shared" si="4"/>
        <v>166144.15429999999</v>
      </c>
      <c r="AY27" s="3">
        <v>186582032.76000002</v>
      </c>
      <c r="AZ27" s="3">
        <f>AY27/1000</f>
        <v>186582.03276000003</v>
      </c>
      <c r="BA27" s="3">
        <v>221073571.74000001</v>
      </c>
      <c r="BB27" s="3">
        <f>BA27/1000</f>
        <v>221073.57174000001</v>
      </c>
      <c r="BC27" s="3">
        <v>237877057.88000003</v>
      </c>
      <c r="BD27" s="3">
        <f>BC27/1000</f>
        <v>237877.05788000004</v>
      </c>
      <c r="BE27" s="3">
        <v>241708013.40000004</v>
      </c>
      <c r="BF27" s="3">
        <f>BE27/1000</f>
        <v>241708.01340000003</v>
      </c>
      <c r="BG27" s="3">
        <v>256791392.19</v>
      </c>
      <c r="BH27" s="3">
        <f t="shared" si="14"/>
        <v>256791.39218999998</v>
      </c>
      <c r="BI27" s="3">
        <v>273694565.19</v>
      </c>
      <c r="BJ27" s="3">
        <f t="shared" si="15"/>
        <v>273694.56518999999</v>
      </c>
      <c r="BK27" s="3">
        <v>276981602</v>
      </c>
      <c r="BL27" s="3">
        <f t="shared" si="10"/>
        <v>276981.60200000001</v>
      </c>
    </row>
    <row r="28" spans="1:64">
      <c r="A28" s="1" t="s">
        <v>20</v>
      </c>
      <c r="B28" s="1">
        <v>9134</v>
      </c>
      <c r="C28" s="1">
        <v>9843</v>
      </c>
      <c r="D28" s="1">
        <v>9566.2067800000004</v>
      </c>
      <c r="E28" s="1">
        <v>10829.417089999999</v>
      </c>
      <c r="F28" s="1">
        <v>11878.54184</v>
      </c>
      <c r="G28" s="1">
        <v>12172.88637</v>
      </c>
      <c r="H28" s="1">
        <v>12347.55768</v>
      </c>
      <c r="I28" s="1">
        <v>11095.401129999998</v>
      </c>
      <c r="J28" s="1">
        <v>11869.848379999999</v>
      </c>
      <c r="K28" s="1">
        <v>11975.4629</v>
      </c>
      <c r="L28" s="239">
        <f t="shared" si="13"/>
        <v>0.88977143278388704</v>
      </c>
      <c r="M28" s="239">
        <f t="shared" si="8"/>
        <v>17.752946659731236</v>
      </c>
      <c r="N28" s="14">
        <v>3900</v>
      </c>
      <c r="O28" s="14">
        <v>4277</v>
      </c>
      <c r="P28" s="14">
        <v>4685</v>
      </c>
      <c r="Q28" s="14">
        <v>4914</v>
      </c>
      <c r="R28" s="14">
        <v>5358</v>
      </c>
      <c r="S28" s="14">
        <v>6004</v>
      </c>
      <c r="T28" s="14">
        <v>6426</v>
      </c>
      <c r="U28" s="14">
        <v>6863</v>
      </c>
      <c r="V28" s="14">
        <v>6865</v>
      </c>
      <c r="W28" s="14">
        <v>6697</v>
      </c>
      <c r="X28" s="14">
        <v>6873</v>
      </c>
      <c r="Y28" s="14">
        <v>7153</v>
      </c>
      <c r="Z28" s="14">
        <v>7636</v>
      </c>
      <c r="AA28" s="14">
        <v>7944</v>
      </c>
      <c r="AB28" s="14">
        <v>8340</v>
      </c>
      <c r="AC28" s="14">
        <v>8409</v>
      </c>
      <c r="AD28" s="1">
        <v>8883</v>
      </c>
      <c r="AE28" s="14">
        <v>9255.9629999999997</v>
      </c>
      <c r="AF28" s="14">
        <v>10169.99</v>
      </c>
      <c r="AG28" s="3">
        <v>8883165</v>
      </c>
      <c r="AH28" s="3">
        <f>AG28/1000</f>
        <v>8883.1650000000009</v>
      </c>
      <c r="AJ28" s="3">
        <v>9255963</v>
      </c>
      <c r="AK28" s="3">
        <f>AJ28/1000</f>
        <v>9255.9629999999997</v>
      </c>
      <c r="AM28" s="3">
        <v>10169990</v>
      </c>
      <c r="AN28" s="3">
        <f>AM28/1000</f>
        <v>10169.99</v>
      </c>
      <c r="AP28" s="3">
        <v>9133669</v>
      </c>
      <c r="AQ28" s="3">
        <f>AP28/1000</f>
        <v>9133.6689999999999</v>
      </c>
      <c r="AS28" s="3">
        <v>9842566</v>
      </c>
      <c r="AT28" s="3">
        <f t="shared" si="3"/>
        <v>9842.5660000000007</v>
      </c>
      <c r="AV28" s="3">
        <v>9566206.7800000012</v>
      </c>
      <c r="AW28" s="3">
        <f t="shared" si="4"/>
        <v>9566.2067800000004</v>
      </c>
      <c r="AY28" s="3">
        <v>10829417.09</v>
      </c>
      <c r="AZ28" s="3">
        <f>AY28/1000</f>
        <v>10829.417089999999</v>
      </c>
      <c r="BA28" s="3">
        <v>11878541.84</v>
      </c>
      <c r="BB28" s="3">
        <f>BA28/1000</f>
        <v>11878.54184</v>
      </c>
      <c r="BC28" s="3">
        <v>12172886.370000001</v>
      </c>
      <c r="BD28" s="3">
        <f>BC28/1000</f>
        <v>12172.88637</v>
      </c>
      <c r="BE28" s="3">
        <v>12347557.68</v>
      </c>
      <c r="BF28" s="3">
        <f>BE28/1000</f>
        <v>12347.55768</v>
      </c>
      <c r="BG28" s="3">
        <v>11095401.129999999</v>
      </c>
      <c r="BH28" s="3">
        <f t="shared" si="14"/>
        <v>11095.401129999998</v>
      </c>
      <c r="BI28" s="3">
        <v>11869848.379999999</v>
      </c>
      <c r="BJ28" s="3">
        <f t="shared" si="15"/>
        <v>11869.848379999999</v>
      </c>
      <c r="BK28" s="3">
        <v>11975462.9</v>
      </c>
      <c r="BL28" s="3">
        <f t="shared" si="10"/>
        <v>11975.4629</v>
      </c>
    </row>
    <row r="29" spans="1:64">
      <c r="L29" s="239"/>
      <c r="M29" s="239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E29" s="14"/>
      <c r="AF29" s="14"/>
      <c r="AG29" s="3"/>
      <c r="AH29" s="3"/>
    </row>
    <row r="30" spans="1:64">
      <c r="A30" s="1" t="s">
        <v>21</v>
      </c>
      <c r="B30" s="1">
        <v>334011</v>
      </c>
      <c r="C30" s="1">
        <v>358041</v>
      </c>
      <c r="D30" s="1">
        <v>389040.90006000001</v>
      </c>
      <c r="E30" s="1">
        <v>432359.90935999999</v>
      </c>
      <c r="F30" s="1">
        <v>511954.65267000004</v>
      </c>
      <c r="G30" s="1">
        <v>554411.33273000002</v>
      </c>
      <c r="H30" s="1">
        <v>585326.95503000007</v>
      </c>
      <c r="I30" s="1">
        <v>636219.96427999996</v>
      </c>
      <c r="J30" s="1">
        <v>731494.64257999999</v>
      </c>
      <c r="K30" s="1">
        <v>749252.13098000002</v>
      </c>
      <c r="L30" s="239">
        <f t="shared" ref="L30:L34" si="16">(K30-J30)*100/J30</f>
        <v>2.4275623314709351</v>
      </c>
      <c r="M30" s="239">
        <f t="shared" si="8"/>
        <v>144.72250150321409</v>
      </c>
      <c r="N30" s="14">
        <v>106078</v>
      </c>
      <c r="O30" s="14">
        <v>111778</v>
      </c>
      <c r="P30" s="14">
        <v>121704</v>
      </c>
      <c r="Q30" s="14">
        <v>134991</v>
      </c>
      <c r="R30" s="14">
        <v>143068</v>
      </c>
      <c r="S30" s="14">
        <v>154034</v>
      </c>
      <c r="T30" s="14">
        <v>163196</v>
      </c>
      <c r="U30" s="14">
        <v>164861</v>
      </c>
      <c r="V30" s="14">
        <v>169804</v>
      </c>
      <c r="W30" s="14">
        <v>155297</v>
      </c>
      <c r="X30" s="14">
        <v>169070</v>
      </c>
      <c r="Y30" s="14">
        <v>190213</v>
      </c>
      <c r="Z30" s="14">
        <v>206687</v>
      </c>
      <c r="AA30" s="14">
        <v>217180</v>
      </c>
      <c r="AB30" s="14">
        <v>227857</v>
      </c>
      <c r="AC30" s="14">
        <v>236615</v>
      </c>
      <c r="AD30" s="1">
        <v>287212</v>
      </c>
      <c r="AE30" s="14">
        <v>276310.57799999998</v>
      </c>
      <c r="AF30" s="14">
        <v>306163.97200000001</v>
      </c>
      <c r="AG30" s="3">
        <v>287212067</v>
      </c>
      <c r="AH30" s="3">
        <f>AG30/1000</f>
        <v>287212.06699999998</v>
      </c>
      <c r="AJ30" s="3">
        <v>276310578</v>
      </c>
      <c r="AK30" s="3">
        <f>AJ30/1000</f>
        <v>276310.57799999998</v>
      </c>
      <c r="AM30" s="3">
        <v>306163972</v>
      </c>
      <c r="AN30" s="3">
        <f>AM30/1000</f>
        <v>306163.97200000001</v>
      </c>
      <c r="AP30" s="3">
        <v>334011181</v>
      </c>
      <c r="AQ30" s="3">
        <f>AP30/1000</f>
        <v>334011.18099999998</v>
      </c>
      <c r="AS30" s="3">
        <v>358041179</v>
      </c>
      <c r="AT30" s="3">
        <f t="shared" si="3"/>
        <v>358041.179</v>
      </c>
      <c r="AV30" s="3">
        <v>389040900.06</v>
      </c>
      <c r="AW30" s="3">
        <f t="shared" si="4"/>
        <v>389040.90006000001</v>
      </c>
      <c r="AY30" s="3">
        <v>432359909.36000001</v>
      </c>
      <c r="AZ30" s="3">
        <f>AY30/1000</f>
        <v>432359.90935999999</v>
      </c>
      <c r="BA30" s="3">
        <v>511954652.67000002</v>
      </c>
      <c r="BB30" s="3">
        <f>BA30/1000</f>
        <v>511954.65267000004</v>
      </c>
      <c r="BC30" s="3">
        <v>554411332.73000002</v>
      </c>
      <c r="BD30" s="3">
        <f>BC30/1000</f>
        <v>554411.33273000002</v>
      </c>
      <c r="BE30" s="3">
        <v>585326955.03000009</v>
      </c>
      <c r="BF30" s="3">
        <f>BE30/1000</f>
        <v>585326.95503000007</v>
      </c>
      <c r="BG30" s="3">
        <v>636219964.27999997</v>
      </c>
      <c r="BH30" s="3">
        <f t="shared" ref="BH30:BH34" si="17">BG30/1000</f>
        <v>636219.96427999996</v>
      </c>
      <c r="BI30" s="3">
        <v>731494642.58000004</v>
      </c>
      <c r="BJ30" s="3">
        <f>BI30/1000</f>
        <v>731494.64257999999</v>
      </c>
      <c r="BK30" s="3">
        <v>749252130.98000002</v>
      </c>
      <c r="BL30" s="3">
        <f t="shared" si="10"/>
        <v>749252.13098000002</v>
      </c>
    </row>
    <row r="31" spans="1:64">
      <c r="A31" s="1" t="s">
        <v>22</v>
      </c>
      <c r="B31" s="1">
        <v>610365</v>
      </c>
      <c r="C31" s="1">
        <v>690034</v>
      </c>
      <c r="D31" s="1">
        <v>771379.53853999998</v>
      </c>
      <c r="E31" s="1">
        <v>840660.37540999986</v>
      </c>
      <c r="F31" s="1">
        <v>985383.65887000004</v>
      </c>
      <c r="G31" s="1">
        <v>1010764.94404</v>
      </c>
      <c r="H31" s="1">
        <v>967523.93102000002</v>
      </c>
      <c r="I31" s="1">
        <v>912662.37922999996</v>
      </c>
      <c r="J31" s="1">
        <v>995278.03772999998</v>
      </c>
      <c r="K31" s="1">
        <v>1019999.98309</v>
      </c>
      <c r="L31" s="239">
        <f t="shared" si="16"/>
        <v>2.4839235291863848</v>
      </c>
      <c r="M31" s="239">
        <f t="shared" si="8"/>
        <v>77.820733220375089</v>
      </c>
      <c r="N31" s="14">
        <v>160909</v>
      </c>
      <c r="O31" s="14">
        <v>173748</v>
      </c>
      <c r="P31" s="14">
        <v>192746</v>
      </c>
      <c r="Q31" s="14">
        <v>213478</v>
      </c>
      <c r="R31" s="14">
        <v>233869</v>
      </c>
      <c r="S31" s="14">
        <v>251203</v>
      </c>
      <c r="T31" s="14">
        <v>273200</v>
      </c>
      <c r="U31" s="14">
        <v>283218</v>
      </c>
      <c r="V31" s="14">
        <v>309751</v>
      </c>
      <c r="W31" s="14">
        <v>310304</v>
      </c>
      <c r="X31" s="14">
        <v>328711</v>
      </c>
      <c r="Y31" s="14">
        <v>345952</v>
      </c>
      <c r="Z31" s="14">
        <v>367773</v>
      </c>
      <c r="AA31" s="14">
        <v>402521</v>
      </c>
      <c r="AB31" s="14">
        <v>434843</v>
      </c>
      <c r="AC31" s="14">
        <v>460845</v>
      </c>
      <c r="AD31" s="1">
        <v>523175</v>
      </c>
      <c r="AE31" s="14">
        <v>520663.32900000003</v>
      </c>
      <c r="AF31" s="14">
        <v>573611.39199999999</v>
      </c>
      <c r="AG31" s="3">
        <v>523174922</v>
      </c>
      <c r="AH31" s="3">
        <f>AG31/1000</f>
        <v>523174.92200000002</v>
      </c>
      <c r="AJ31" s="3">
        <v>520663329</v>
      </c>
      <c r="AK31" s="3">
        <f>AJ31/1000</f>
        <v>520663.32900000003</v>
      </c>
      <c r="AM31" s="3">
        <v>573611392</v>
      </c>
      <c r="AN31" s="3">
        <f>AM31/1000</f>
        <v>573611.39199999999</v>
      </c>
      <c r="AP31" s="3">
        <v>610365098</v>
      </c>
      <c r="AQ31" s="3">
        <f>AP31/1000</f>
        <v>610365.098</v>
      </c>
      <c r="AS31" s="3">
        <v>690033806</v>
      </c>
      <c r="AT31" s="3">
        <f t="shared" si="3"/>
        <v>690033.80599999998</v>
      </c>
      <c r="AV31" s="3">
        <v>771379538.53999996</v>
      </c>
      <c r="AW31" s="3">
        <f t="shared" si="4"/>
        <v>771379.53853999998</v>
      </c>
      <c r="AY31" s="3">
        <v>840660375.40999985</v>
      </c>
      <c r="AZ31" s="3">
        <f>AY31/1000</f>
        <v>840660.37540999986</v>
      </c>
      <c r="BA31" s="3">
        <v>985383658.87</v>
      </c>
      <c r="BB31" s="3">
        <f>BA31/1000</f>
        <v>985383.65887000004</v>
      </c>
      <c r="BC31" s="3">
        <v>1010764944.04</v>
      </c>
      <c r="BD31" s="3">
        <f>BC31/1000</f>
        <v>1010764.94404</v>
      </c>
      <c r="BE31" s="3">
        <v>967523931.01999998</v>
      </c>
      <c r="BF31" s="3">
        <f>BE31/1000</f>
        <v>967523.93102000002</v>
      </c>
      <c r="BG31" s="3">
        <v>912662379.23000002</v>
      </c>
      <c r="BH31" s="3">
        <f t="shared" si="17"/>
        <v>912662.37922999996</v>
      </c>
      <c r="BI31" s="3">
        <v>995278037.73000002</v>
      </c>
      <c r="BJ31" s="3">
        <f t="shared" ref="BJ31:BJ34" si="18">BI31/1000</f>
        <v>995278.03772999998</v>
      </c>
      <c r="BK31" s="3">
        <v>1019999983.09</v>
      </c>
      <c r="BL31" s="3">
        <f t="shared" si="10"/>
        <v>1019999.98309</v>
      </c>
    </row>
    <row r="32" spans="1:64">
      <c r="A32" s="1" t="s">
        <v>23</v>
      </c>
      <c r="B32" s="1">
        <v>23883</v>
      </c>
      <c r="C32" s="1">
        <v>24992</v>
      </c>
      <c r="D32" s="1">
        <v>27123.75374</v>
      </c>
      <c r="E32" s="1">
        <v>30200.49566</v>
      </c>
      <c r="F32" s="1">
        <v>34513.279219999997</v>
      </c>
      <c r="G32" s="1">
        <v>35863.684759999996</v>
      </c>
      <c r="H32" s="1">
        <v>35815.668490000004</v>
      </c>
      <c r="I32" s="1">
        <v>35747.413110000001</v>
      </c>
      <c r="J32" s="1">
        <v>38231.649129999998</v>
      </c>
      <c r="K32" s="1">
        <v>38936.489470000008</v>
      </c>
      <c r="L32" s="239">
        <f t="shared" si="16"/>
        <v>1.8436043331620986</v>
      </c>
      <c r="M32" s="239">
        <f t="shared" si="8"/>
        <v>75.166720172162968</v>
      </c>
      <c r="N32" s="14">
        <v>6809</v>
      </c>
      <c r="O32" s="14">
        <v>7700</v>
      </c>
      <c r="P32" s="14">
        <v>8646</v>
      </c>
      <c r="Q32" s="14">
        <v>9347</v>
      </c>
      <c r="R32" s="14">
        <v>10098</v>
      </c>
      <c r="S32" s="14">
        <v>11287</v>
      </c>
      <c r="T32" s="14">
        <v>12127</v>
      </c>
      <c r="U32" s="14">
        <v>13118</v>
      </c>
      <c r="V32" s="14">
        <v>13687</v>
      </c>
      <c r="W32" s="14">
        <v>13867</v>
      </c>
      <c r="X32" s="14">
        <v>14152</v>
      </c>
      <c r="Y32" s="14">
        <v>14772</v>
      </c>
      <c r="Z32" s="14">
        <v>15677</v>
      </c>
      <c r="AA32" s="14">
        <v>16279</v>
      </c>
      <c r="AB32" s="14">
        <v>17282</v>
      </c>
      <c r="AC32" s="14">
        <v>18164</v>
      </c>
      <c r="AD32" s="1">
        <v>25604</v>
      </c>
      <c r="AE32" s="14">
        <v>21183.644</v>
      </c>
      <c r="AF32" s="14">
        <v>22228.245999999999</v>
      </c>
      <c r="AG32" s="3">
        <v>25604324</v>
      </c>
      <c r="AH32" s="3">
        <f>AG32/1000</f>
        <v>25604.324000000001</v>
      </c>
      <c r="AJ32" s="3">
        <v>21183644</v>
      </c>
      <c r="AK32" s="3">
        <f>AJ32/1000</f>
        <v>21183.644</v>
      </c>
      <c r="AM32" s="3">
        <v>22228246</v>
      </c>
      <c r="AN32" s="3">
        <f>AM32/1000</f>
        <v>22228.245999999999</v>
      </c>
      <c r="AP32" s="3">
        <v>23882763</v>
      </c>
      <c r="AQ32" s="3">
        <f>AP32/1000</f>
        <v>23882.762999999999</v>
      </c>
      <c r="AS32" s="3">
        <v>24992229</v>
      </c>
      <c r="AT32" s="3">
        <f t="shared" si="3"/>
        <v>24992.228999999999</v>
      </c>
      <c r="AV32" s="3">
        <v>27123753.739999998</v>
      </c>
      <c r="AW32" s="3">
        <f t="shared" si="4"/>
        <v>27123.75374</v>
      </c>
      <c r="AY32" s="3">
        <v>30200495.66</v>
      </c>
      <c r="AZ32" s="3">
        <f>AY32/1000</f>
        <v>30200.49566</v>
      </c>
      <c r="BA32" s="3">
        <v>34513279.219999999</v>
      </c>
      <c r="BB32" s="3">
        <f>BA32/1000</f>
        <v>34513.279219999997</v>
      </c>
      <c r="BC32" s="3">
        <v>35863684.759999998</v>
      </c>
      <c r="BD32" s="3">
        <f>BC32/1000</f>
        <v>35863.684759999996</v>
      </c>
      <c r="BE32" s="3">
        <v>35815668.490000002</v>
      </c>
      <c r="BF32" s="3">
        <f>BE32/1000</f>
        <v>35815.668490000004</v>
      </c>
      <c r="BG32" s="3">
        <v>35747413.109999999</v>
      </c>
      <c r="BH32" s="3">
        <f t="shared" si="17"/>
        <v>35747.413110000001</v>
      </c>
      <c r="BI32" s="3">
        <v>38231649.129999995</v>
      </c>
      <c r="BJ32" s="3">
        <f t="shared" si="18"/>
        <v>38231.649129999998</v>
      </c>
      <c r="BK32" s="3">
        <v>38936489.470000006</v>
      </c>
      <c r="BL32" s="3">
        <f t="shared" si="10"/>
        <v>38936.489470000008</v>
      </c>
    </row>
    <row r="33" spans="1:64">
      <c r="A33" s="1" t="s">
        <v>24</v>
      </c>
      <c r="B33" s="1">
        <v>63166</v>
      </c>
      <c r="C33" s="1">
        <v>68420</v>
      </c>
      <c r="D33" s="1">
        <v>77832.92289999999</v>
      </c>
      <c r="E33" s="1">
        <v>86558.432320000007</v>
      </c>
      <c r="F33" s="1">
        <v>99177.356469999984</v>
      </c>
      <c r="G33" s="1">
        <v>105657.90587999999</v>
      </c>
      <c r="H33" s="1">
        <v>102410.78417</v>
      </c>
      <c r="I33" s="1">
        <v>102562.85593999999</v>
      </c>
      <c r="J33" s="1">
        <v>106972.65971000001</v>
      </c>
      <c r="K33" s="1">
        <v>108821.79496000001</v>
      </c>
      <c r="L33" s="239">
        <f t="shared" si="16"/>
        <v>1.7286054726627929</v>
      </c>
      <c r="M33" s="239">
        <f t="shared" si="8"/>
        <v>90.73464342841217</v>
      </c>
      <c r="N33" s="14">
        <v>18352</v>
      </c>
      <c r="O33" s="14">
        <v>20358</v>
      </c>
      <c r="P33" s="14">
        <v>22393</v>
      </c>
      <c r="Q33" s="14">
        <v>24933</v>
      </c>
      <c r="R33" s="14">
        <v>27136</v>
      </c>
      <c r="S33" s="14">
        <v>29880</v>
      </c>
      <c r="T33" s="14">
        <v>31939</v>
      </c>
      <c r="U33" s="14">
        <v>34825</v>
      </c>
      <c r="V33" s="14">
        <v>37949</v>
      </c>
      <c r="W33" s="14">
        <v>36993</v>
      </c>
      <c r="X33" s="14">
        <v>37561</v>
      </c>
      <c r="Y33" s="14">
        <v>39196</v>
      </c>
      <c r="Z33" s="14">
        <v>42280</v>
      </c>
      <c r="AA33" s="14">
        <v>45224</v>
      </c>
      <c r="AB33" s="14">
        <v>47085</v>
      </c>
      <c r="AC33" s="14">
        <v>47210</v>
      </c>
      <c r="AD33" s="1">
        <v>57422</v>
      </c>
      <c r="AE33" s="14">
        <v>52904.076000000001</v>
      </c>
      <c r="AF33" s="14">
        <v>57054.027000000002</v>
      </c>
      <c r="AG33" s="3">
        <v>57421580</v>
      </c>
      <c r="AH33" s="3">
        <f>AG33/1000</f>
        <v>57421.58</v>
      </c>
      <c r="AJ33" s="3">
        <v>52904076</v>
      </c>
      <c r="AK33" s="3">
        <f>AJ33/1000</f>
        <v>52904.076000000001</v>
      </c>
      <c r="AM33" s="3">
        <v>57054027</v>
      </c>
      <c r="AN33" s="3">
        <f>AM33/1000</f>
        <v>57054.027000000002</v>
      </c>
      <c r="AP33" s="3">
        <v>63165892</v>
      </c>
      <c r="AQ33" s="3">
        <f>AP33/1000</f>
        <v>63165.892</v>
      </c>
      <c r="AS33" s="3">
        <v>68420392</v>
      </c>
      <c r="AT33" s="3">
        <f t="shared" si="3"/>
        <v>68420.392000000007</v>
      </c>
      <c r="AV33" s="3">
        <v>77832922.899999991</v>
      </c>
      <c r="AW33" s="3">
        <f t="shared" si="4"/>
        <v>77832.92289999999</v>
      </c>
      <c r="AY33" s="3">
        <v>86558432.320000008</v>
      </c>
      <c r="AZ33" s="3">
        <f>AY33/1000</f>
        <v>86558.432320000007</v>
      </c>
      <c r="BA33" s="3">
        <v>99177356.469999984</v>
      </c>
      <c r="BB33" s="3">
        <f>BA33/1000</f>
        <v>99177.356469999984</v>
      </c>
      <c r="BC33" s="3">
        <v>105657905.88</v>
      </c>
      <c r="BD33" s="3">
        <f>BC33/1000</f>
        <v>105657.90587999999</v>
      </c>
      <c r="BE33" s="3">
        <v>102410784.17</v>
      </c>
      <c r="BF33" s="3">
        <f>BE33/1000</f>
        <v>102410.78417</v>
      </c>
      <c r="BG33" s="3">
        <v>102562855.94</v>
      </c>
      <c r="BH33" s="3">
        <f t="shared" si="17"/>
        <v>102562.85593999999</v>
      </c>
      <c r="BI33" s="3">
        <v>106972659.71000001</v>
      </c>
      <c r="BJ33" s="3">
        <f t="shared" si="18"/>
        <v>106972.65971000001</v>
      </c>
      <c r="BK33" s="3">
        <v>108821794.96000001</v>
      </c>
      <c r="BL33" s="3">
        <f t="shared" si="10"/>
        <v>108821.79496000001</v>
      </c>
    </row>
    <row r="34" spans="1:64">
      <c r="A34" s="1" t="s">
        <v>25</v>
      </c>
      <c r="B34" s="1">
        <v>16195</v>
      </c>
      <c r="C34" s="1">
        <v>17572</v>
      </c>
      <c r="D34" s="1">
        <v>20201.379659999995</v>
      </c>
      <c r="E34" s="1">
        <v>22881.576809999999</v>
      </c>
      <c r="F34" s="1">
        <v>25696.557270000005</v>
      </c>
      <c r="G34" s="1">
        <v>25985.273900000004</v>
      </c>
      <c r="H34" s="1">
        <v>25920.535509999998</v>
      </c>
      <c r="I34" s="1">
        <v>25215.945460000003</v>
      </c>
      <c r="J34" s="1">
        <v>26495.948100000001</v>
      </c>
      <c r="K34" s="1">
        <v>26407.769469999999</v>
      </c>
      <c r="L34" s="239">
        <f t="shared" si="16"/>
        <v>-0.33280043298394801</v>
      </c>
      <c r="M34" s="239">
        <f t="shared" si="8"/>
        <v>67.833664442486821</v>
      </c>
      <c r="N34" s="14">
        <v>5978</v>
      </c>
      <c r="O34" s="14">
        <v>6556</v>
      </c>
      <c r="P34" s="14">
        <v>7265</v>
      </c>
      <c r="Q34" s="14">
        <v>8097</v>
      </c>
      <c r="R34" s="14">
        <v>8757</v>
      </c>
      <c r="S34" s="14">
        <v>9339</v>
      </c>
      <c r="T34" s="14">
        <v>10248</v>
      </c>
      <c r="U34" s="14">
        <v>10787</v>
      </c>
      <c r="V34" s="14">
        <v>11471</v>
      </c>
      <c r="W34" s="14">
        <v>11719</v>
      </c>
      <c r="X34" s="14">
        <v>11795</v>
      </c>
      <c r="Y34" s="14">
        <v>12210</v>
      </c>
      <c r="Z34" s="14">
        <v>12430</v>
      </c>
      <c r="AA34" s="14">
        <v>12538</v>
      </c>
      <c r="AB34" s="14">
        <v>13075</v>
      </c>
      <c r="AC34" s="14">
        <v>13303</v>
      </c>
      <c r="AD34" s="1">
        <v>13377</v>
      </c>
      <c r="AE34" s="14">
        <v>14001.87</v>
      </c>
      <c r="AF34" s="14">
        <v>15734.489</v>
      </c>
      <c r="AG34" s="3">
        <v>13376710</v>
      </c>
      <c r="AH34" s="3">
        <f>AG34/1000</f>
        <v>13376.71</v>
      </c>
      <c r="AJ34" s="3">
        <v>14001870</v>
      </c>
      <c r="AK34" s="3">
        <f>AJ34/1000</f>
        <v>14001.87</v>
      </c>
      <c r="AM34" s="3">
        <v>15734489</v>
      </c>
      <c r="AN34" s="3">
        <f>AM34/1000</f>
        <v>15734.489</v>
      </c>
      <c r="AP34" s="3">
        <v>16195402</v>
      </c>
      <c r="AQ34" s="3">
        <f>AP34/1000</f>
        <v>16195.402</v>
      </c>
      <c r="AS34" s="3">
        <v>17572489</v>
      </c>
      <c r="AT34" s="3">
        <f t="shared" si="3"/>
        <v>17572.489000000001</v>
      </c>
      <c r="AV34" s="3">
        <v>20201379.659999996</v>
      </c>
      <c r="AW34" s="3">
        <f t="shared" si="4"/>
        <v>20201.379659999995</v>
      </c>
      <c r="AY34" s="3">
        <v>22881576.809999999</v>
      </c>
      <c r="AZ34" s="3">
        <f>AY34/1000</f>
        <v>22881.576809999999</v>
      </c>
      <c r="BA34" s="3">
        <v>25696557.270000003</v>
      </c>
      <c r="BB34" s="3">
        <f>BA34/1000</f>
        <v>25696.557270000005</v>
      </c>
      <c r="BC34" s="3">
        <v>25985273.900000002</v>
      </c>
      <c r="BD34" s="3">
        <f>BC34/1000</f>
        <v>25985.273900000004</v>
      </c>
      <c r="BE34" s="3">
        <v>25920535.509999998</v>
      </c>
      <c r="BF34" s="3">
        <f>BE34/1000</f>
        <v>25920.535509999998</v>
      </c>
      <c r="BG34" s="3">
        <v>25215945.460000001</v>
      </c>
      <c r="BH34" s="3">
        <f t="shared" si="17"/>
        <v>25215.945460000003</v>
      </c>
      <c r="BI34" s="3">
        <v>26495948.100000001</v>
      </c>
      <c r="BJ34" s="3">
        <f t="shared" si="18"/>
        <v>26495.948100000001</v>
      </c>
      <c r="BK34" s="3">
        <v>26407769.469999999</v>
      </c>
      <c r="BL34" s="3">
        <f t="shared" si="10"/>
        <v>26407.769469999999</v>
      </c>
    </row>
    <row r="35" spans="1:64">
      <c r="L35" s="239"/>
      <c r="M35" s="239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E35" s="14"/>
      <c r="AF35" s="14"/>
      <c r="AG35" s="3"/>
      <c r="AH35" s="3"/>
    </row>
    <row r="36" spans="1:64">
      <c r="A36" s="1" t="s">
        <v>26</v>
      </c>
      <c r="B36" s="1">
        <v>10470</v>
      </c>
      <c r="C36" s="1">
        <v>11131</v>
      </c>
      <c r="D36" s="1">
        <v>11926.590540000001</v>
      </c>
      <c r="E36" s="1">
        <v>12481.410330000001</v>
      </c>
      <c r="F36" s="1">
        <v>12915.48142</v>
      </c>
      <c r="G36" s="1">
        <v>13259.184620000002</v>
      </c>
      <c r="H36" s="1">
        <v>13813.664749999998</v>
      </c>
      <c r="I36" s="1">
        <v>13948.289580000001</v>
      </c>
      <c r="J36" s="1">
        <v>15220.4601</v>
      </c>
      <c r="K36" s="1">
        <v>15650.085939999999</v>
      </c>
      <c r="L36" s="239">
        <f t="shared" ref="L36:L39" si="19">(K36-J36)*100/J36</f>
        <v>2.8226862865991729</v>
      </c>
      <c r="M36" s="239">
        <f t="shared" si="8"/>
        <v>121.44889808199423</v>
      </c>
      <c r="N36" s="14">
        <v>3657</v>
      </c>
      <c r="O36" s="14">
        <v>4077</v>
      </c>
      <c r="P36" s="14">
        <v>4596</v>
      </c>
      <c r="Q36" s="14">
        <v>4592</v>
      </c>
      <c r="R36" s="14">
        <v>4621</v>
      </c>
      <c r="S36" s="14">
        <v>5336</v>
      </c>
      <c r="T36" s="14">
        <v>5591</v>
      </c>
      <c r="U36" s="14">
        <v>6398</v>
      </c>
      <c r="V36" s="14">
        <v>6494</v>
      </c>
      <c r="W36" s="14">
        <v>5968</v>
      </c>
      <c r="X36" s="14">
        <v>6109</v>
      </c>
      <c r="Y36" s="14">
        <v>6391</v>
      </c>
      <c r="Z36" s="14">
        <v>6685</v>
      </c>
      <c r="AA36" s="14">
        <v>6505</v>
      </c>
      <c r="AB36" s="14">
        <v>7153</v>
      </c>
      <c r="AC36" s="14">
        <v>6924</v>
      </c>
      <c r="AD36" s="1">
        <v>10854</v>
      </c>
      <c r="AE36" s="14">
        <v>7120.3879999999999</v>
      </c>
      <c r="AF36" s="14">
        <v>7067.1319999999996</v>
      </c>
      <c r="AG36" s="3">
        <v>10854388</v>
      </c>
      <c r="AH36" s="3">
        <f>AG36/1000</f>
        <v>10854.388000000001</v>
      </c>
      <c r="AJ36" s="3">
        <v>7120388</v>
      </c>
      <c r="AK36" s="3">
        <f>AJ36/1000</f>
        <v>7120.3879999999999</v>
      </c>
      <c r="AM36" s="3">
        <v>7067132</v>
      </c>
      <c r="AN36" s="3">
        <f>AM36/1000</f>
        <v>7067.1319999999996</v>
      </c>
      <c r="AP36" s="3">
        <v>10469816</v>
      </c>
      <c r="AQ36" s="3">
        <f>AP36/1000</f>
        <v>10469.816000000001</v>
      </c>
      <c r="AS36" s="3">
        <v>11131252</v>
      </c>
      <c r="AT36" s="3">
        <f t="shared" si="3"/>
        <v>11131.252</v>
      </c>
      <c r="AV36" s="3">
        <v>11926590.540000001</v>
      </c>
      <c r="AW36" s="3">
        <f t="shared" si="4"/>
        <v>11926.590540000001</v>
      </c>
      <c r="AY36" s="3">
        <v>12481410.33</v>
      </c>
      <c r="AZ36" s="3">
        <f>AY36/1000</f>
        <v>12481.410330000001</v>
      </c>
      <c r="BA36" s="3">
        <v>12915481.42</v>
      </c>
      <c r="BB36" s="3">
        <f>BA36/1000</f>
        <v>12915.48142</v>
      </c>
      <c r="BC36" s="3">
        <v>13259184.620000001</v>
      </c>
      <c r="BD36" s="3">
        <f>BC36/1000</f>
        <v>13259.184620000002</v>
      </c>
      <c r="BE36" s="3">
        <v>13813664.749999998</v>
      </c>
      <c r="BF36" s="3">
        <f>BE36/1000</f>
        <v>13813.664749999998</v>
      </c>
      <c r="BG36" s="3">
        <v>13948289.58</v>
      </c>
      <c r="BH36" s="3">
        <f t="shared" ref="BH36:BH39" si="20">BG36/1000</f>
        <v>13948.289580000001</v>
      </c>
      <c r="BI36" s="3">
        <v>15220460.1</v>
      </c>
      <c r="BJ36" s="3">
        <f>BI36/1000</f>
        <v>15220.4601</v>
      </c>
      <c r="BK36" s="3">
        <v>15650085.939999999</v>
      </c>
      <c r="BL36" s="3">
        <f t="shared" si="10"/>
        <v>15650.085939999999</v>
      </c>
    </row>
    <row r="37" spans="1:64">
      <c r="A37" s="1" t="s">
        <v>27</v>
      </c>
      <c r="B37" s="1">
        <v>81694</v>
      </c>
      <c r="C37" s="1">
        <v>88877</v>
      </c>
      <c r="D37" s="1">
        <v>103764.68175999999</v>
      </c>
      <c r="E37" s="1">
        <v>120833.16367000001</v>
      </c>
      <c r="F37" s="1">
        <v>147334.06574000002</v>
      </c>
      <c r="G37" s="1">
        <v>155061.28719</v>
      </c>
      <c r="H37" s="1">
        <v>154269.45288</v>
      </c>
      <c r="I37" s="1">
        <v>154391.05808999998</v>
      </c>
      <c r="J37" s="1">
        <v>172386.73642</v>
      </c>
      <c r="K37" s="1">
        <v>175344.36824000001</v>
      </c>
      <c r="L37" s="239">
        <f t="shared" si="19"/>
        <v>1.7156956976052309</v>
      </c>
      <c r="M37" s="239">
        <f t="shared" si="8"/>
        <v>137.82306556629698</v>
      </c>
      <c r="N37" s="14">
        <v>26959</v>
      </c>
      <c r="O37" s="14">
        <v>29812</v>
      </c>
      <c r="P37" s="14">
        <v>32828</v>
      </c>
      <c r="Q37" s="14">
        <v>35666</v>
      </c>
      <c r="R37" s="14">
        <v>39091</v>
      </c>
      <c r="S37" s="14">
        <v>42020</v>
      </c>
      <c r="T37" s="14">
        <v>45238</v>
      </c>
      <c r="U37" s="14">
        <v>47890</v>
      </c>
      <c r="V37" s="14">
        <v>51355</v>
      </c>
      <c r="W37" s="14">
        <v>53148</v>
      </c>
      <c r="X37" s="14">
        <v>55951</v>
      </c>
      <c r="Y37" s="14">
        <v>57976</v>
      </c>
      <c r="Z37" s="14">
        <v>60158</v>
      </c>
      <c r="AA37" s="14">
        <v>62728</v>
      </c>
      <c r="AB37" s="14">
        <v>64290</v>
      </c>
      <c r="AC37" s="14">
        <v>65472</v>
      </c>
      <c r="AD37" s="1">
        <v>70841</v>
      </c>
      <c r="AE37" s="14">
        <v>70267.894</v>
      </c>
      <c r="AF37" s="14">
        <v>73728.915999999997</v>
      </c>
      <c r="AG37" s="3">
        <v>70841448</v>
      </c>
      <c r="AH37" s="3">
        <f>AG37/1000</f>
        <v>70841.448000000004</v>
      </c>
      <c r="AJ37" s="3">
        <v>70267894</v>
      </c>
      <c r="AK37" s="3">
        <f>AJ37/1000</f>
        <v>70267.894</v>
      </c>
      <c r="AM37" s="3">
        <v>73728916</v>
      </c>
      <c r="AN37" s="3">
        <f>AM37/1000</f>
        <v>73728.915999999997</v>
      </c>
      <c r="AP37" s="3">
        <v>81693592</v>
      </c>
      <c r="AQ37" s="3">
        <f>AP37/1000</f>
        <v>81693.592000000004</v>
      </c>
      <c r="AS37" s="3">
        <v>88877450</v>
      </c>
      <c r="AT37" s="3">
        <f t="shared" si="3"/>
        <v>88877.45</v>
      </c>
      <c r="AV37" s="3">
        <v>103764681.75999999</v>
      </c>
      <c r="AW37" s="3">
        <f t="shared" si="4"/>
        <v>103764.68175999999</v>
      </c>
      <c r="AY37" s="3">
        <v>120833163.67</v>
      </c>
      <c r="AZ37" s="3">
        <f>AY37/1000</f>
        <v>120833.16367000001</v>
      </c>
      <c r="BA37" s="3">
        <v>147334065.74000001</v>
      </c>
      <c r="BB37" s="3">
        <f>BA37/1000</f>
        <v>147334.06574000002</v>
      </c>
      <c r="BC37" s="3">
        <v>155061287.19</v>
      </c>
      <c r="BD37" s="3">
        <f>BC37/1000</f>
        <v>155061.28719</v>
      </c>
      <c r="BE37" s="3">
        <v>154269452.88</v>
      </c>
      <c r="BF37" s="3">
        <f>BE37/1000</f>
        <v>154269.45288</v>
      </c>
      <c r="BG37" s="3">
        <v>154391058.08999997</v>
      </c>
      <c r="BH37" s="3">
        <f t="shared" si="20"/>
        <v>154391.05808999998</v>
      </c>
      <c r="BI37" s="3">
        <v>172386736.42000002</v>
      </c>
      <c r="BJ37" s="3">
        <f t="shared" ref="BJ37:BJ39" si="21">BI37/1000</f>
        <v>172386.73642000003</v>
      </c>
      <c r="BK37" s="3">
        <v>175344368.24000001</v>
      </c>
      <c r="BL37" s="3">
        <f t="shared" si="10"/>
        <v>175344.36824000001</v>
      </c>
    </row>
    <row r="38" spans="1:64">
      <c r="A38" s="1" t="s">
        <v>28</v>
      </c>
      <c r="B38" s="1">
        <v>65433</v>
      </c>
      <c r="C38" s="1">
        <v>73175</v>
      </c>
      <c r="D38" s="1">
        <v>83177.960119999989</v>
      </c>
      <c r="E38" s="1">
        <v>97814.717040000003</v>
      </c>
      <c r="F38" s="1">
        <v>113685.91513000001</v>
      </c>
      <c r="G38" s="1">
        <v>119759.71889</v>
      </c>
      <c r="H38" s="1">
        <v>124948.91161</v>
      </c>
      <c r="I38" s="1">
        <v>123452.73856</v>
      </c>
      <c r="J38" s="1">
        <v>128195.38039999999</v>
      </c>
      <c r="K38" s="1">
        <v>132832.03414</v>
      </c>
      <c r="L38" s="239">
        <f t="shared" si="19"/>
        <v>3.6168649178562826</v>
      </c>
      <c r="M38" s="239">
        <f t="shared" si="8"/>
        <v>126.42564901882214</v>
      </c>
      <c r="N38" s="14">
        <v>17390</v>
      </c>
      <c r="O38" s="14">
        <v>19272</v>
      </c>
      <c r="P38" s="14">
        <v>21644</v>
      </c>
      <c r="Q38" s="14">
        <v>23704</v>
      </c>
      <c r="R38" s="14">
        <v>26000</v>
      </c>
      <c r="S38" s="14">
        <v>28724</v>
      </c>
      <c r="T38" s="14">
        <v>31585</v>
      </c>
      <c r="U38" s="14">
        <v>34390</v>
      </c>
      <c r="V38" s="14">
        <v>37502</v>
      </c>
      <c r="W38" s="14">
        <v>38250</v>
      </c>
      <c r="X38" s="14">
        <v>40132</v>
      </c>
      <c r="Y38" s="14">
        <v>41818</v>
      </c>
      <c r="Z38" s="14">
        <v>43756</v>
      </c>
      <c r="AA38" s="14">
        <v>46221</v>
      </c>
      <c r="AB38" s="14">
        <v>48275</v>
      </c>
      <c r="AC38" s="14">
        <v>49132</v>
      </c>
      <c r="AD38" s="1">
        <v>55110</v>
      </c>
      <c r="AE38" s="14">
        <v>54566.023999999998</v>
      </c>
      <c r="AF38" s="14">
        <v>58664.747000000003</v>
      </c>
      <c r="AG38" s="3">
        <v>55109631</v>
      </c>
      <c r="AH38" s="3">
        <f>AG38/1000</f>
        <v>55109.631000000001</v>
      </c>
      <c r="AJ38" s="3">
        <v>54566024</v>
      </c>
      <c r="AK38" s="3">
        <f>AJ38/1000</f>
        <v>54566.023999999998</v>
      </c>
      <c r="AM38" s="3">
        <v>58664747</v>
      </c>
      <c r="AN38" s="3">
        <f>AM38/1000</f>
        <v>58664.747000000003</v>
      </c>
      <c r="AP38" s="3">
        <v>65433391</v>
      </c>
      <c r="AQ38" s="3">
        <f>AP38/1000</f>
        <v>65433.391000000003</v>
      </c>
      <c r="AS38" s="3">
        <v>73174887</v>
      </c>
      <c r="AT38" s="3">
        <f t="shared" si="3"/>
        <v>73174.887000000002</v>
      </c>
      <c r="AV38" s="3">
        <v>83177960.11999999</v>
      </c>
      <c r="AW38" s="3">
        <f t="shared" si="4"/>
        <v>83177.960119999989</v>
      </c>
      <c r="AY38" s="3">
        <v>97814717.040000007</v>
      </c>
      <c r="AZ38" s="3">
        <f>AY38/1000</f>
        <v>97814.717040000003</v>
      </c>
      <c r="BA38" s="3">
        <v>113685915.13000001</v>
      </c>
      <c r="BB38" s="3">
        <f>BA38/1000</f>
        <v>113685.91513000001</v>
      </c>
      <c r="BC38" s="3">
        <v>119759718.89</v>
      </c>
      <c r="BD38" s="3">
        <f>BC38/1000</f>
        <v>119759.71889</v>
      </c>
      <c r="BE38" s="3">
        <v>124948911.61</v>
      </c>
      <c r="BF38" s="3">
        <f>BE38/1000</f>
        <v>124948.91161</v>
      </c>
      <c r="BG38" s="3">
        <v>123452738.56</v>
      </c>
      <c r="BH38" s="3">
        <f t="shared" si="20"/>
        <v>123452.73856</v>
      </c>
      <c r="BI38" s="3">
        <v>128195380.40000001</v>
      </c>
      <c r="BJ38" s="3">
        <f t="shared" si="21"/>
        <v>128195.38040000001</v>
      </c>
      <c r="BK38" s="3">
        <v>132832034.14</v>
      </c>
      <c r="BL38" s="3">
        <f t="shared" si="10"/>
        <v>132832.03414</v>
      </c>
    </row>
    <row r="39" spans="1:64">
      <c r="A39" s="17" t="s">
        <v>29</v>
      </c>
      <c r="B39" s="1">
        <v>15968</v>
      </c>
      <c r="C39" s="1">
        <v>17668</v>
      </c>
      <c r="D39" s="1">
        <v>18613.619549999999</v>
      </c>
      <c r="E39" s="1">
        <v>20213.947609999999</v>
      </c>
      <c r="F39" s="1">
        <v>22235.543540000002</v>
      </c>
      <c r="G39" s="1">
        <v>23068.886299999998</v>
      </c>
      <c r="H39" s="1">
        <v>23817.936429999998</v>
      </c>
      <c r="I39" s="1">
        <v>24415.173449999998</v>
      </c>
      <c r="J39" s="1">
        <v>26412.736250000002</v>
      </c>
      <c r="K39" s="1">
        <v>26122.76095</v>
      </c>
      <c r="L39" s="239">
        <f t="shared" si="19"/>
        <v>-1.0978616424112511</v>
      </c>
      <c r="M39" s="239">
        <f t="shared" si="8"/>
        <v>105.54397814288141</v>
      </c>
      <c r="N39" s="14">
        <v>5169</v>
      </c>
      <c r="O39" s="14">
        <v>5519</v>
      </c>
      <c r="P39" s="14">
        <v>5509</v>
      </c>
      <c r="Q39" s="14">
        <v>5733</v>
      </c>
      <c r="R39" s="14">
        <v>5970</v>
      </c>
      <c r="S39" s="14">
        <v>6354</v>
      </c>
      <c r="T39" s="14">
        <v>6807</v>
      </c>
      <c r="U39" s="14">
        <v>7268</v>
      </c>
      <c r="V39" s="14">
        <v>7019</v>
      </c>
      <c r="W39" s="14">
        <v>6908</v>
      </c>
      <c r="X39" s="14">
        <v>6933</v>
      </c>
      <c r="Y39" s="14">
        <v>7820</v>
      </c>
      <c r="Z39" s="14">
        <v>8805</v>
      </c>
      <c r="AA39" s="14">
        <v>7872</v>
      </c>
      <c r="AB39" s="14">
        <v>10478</v>
      </c>
      <c r="AC39" s="14">
        <v>10321</v>
      </c>
      <c r="AD39" s="1">
        <v>10584</v>
      </c>
      <c r="AE39" s="14">
        <v>11005.254000000001</v>
      </c>
      <c r="AF39" s="14">
        <v>12709.085999999999</v>
      </c>
      <c r="AG39" s="3">
        <v>10584399</v>
      </c>
      <c r="AH39" s="3">
        <f>AG39/1000</f>
        <v>10584.398999999999</v>
      </c>
      <c r="AJ39" s="3">
        <v>11005254</v>
      </c>
      <c r="AK39" s="3">
        <f>AJ39/1000</f>
        <v>11005.254000000001</v>
      </c>
      <c r="AM39" s="3">
        <v>12709086</v>
      </c>
      <c r="AN39" s="3">
        <f>AM39/1000</f>
        <v>12709.085999999999</v>
      </c>
      <c r="AP39" s="3">
        <v>15967805</v>
      </c>
      <c r="AQ39" s="3">
        <f>AP39/1000</f>
        <v>15967.805</v>
      </c>
      <c r="AS39" s="3">
        <v>17667953</v>
      </c>
      <c r="AT39" s="3">
        <f t="shared" si="3"/>
        <v>17667.953000000001</v>
      </c>
      <c r="AV39" s="3">
        <v>18613619.550000001</v>
      </c>
      <c r="AW39" s="3">
        <f t="shared" si="4"/>
        <v>18613.619549999999</v>
      </c>
      <c r="AY39" s="3">
        <v>20213947.609999999</v>
      </c>
      <c r="AZ39" s="3">
        <f>AY39/1000</f>
        <v>20213.947609999999</v>
      </c>
      <c r="BA39" s="3">
        <v>22235543.540000003</v>
      </c>
      <c r="BB39" s="3">
        <f>BA39/1000</f>
        <v>22235.543540000002</v>
      </c>
      <c r="BC39" s="3">
        <v>23068886.299999997</v>
      </c>
      <c r="BD39" s="3">
        <f>BC39/1000</f>
        <v>23068.886299999998</v>
      </c>
      <c r="BE39" s="3">
        <v>23817936.43</v>
      </c>
      <c r="BF39" s="3">
        <f>BE39/1000</f>
        <v>23817.936429999998</v>
      </c>
      <c r="BG39" s="3">
        <v>24415173.449999999</v>
      </c>
      <c r="BH39" s="3">
        <f t="shared" si="20"/>
        <v>24415.173449999998</v>
      </c>
      <c r="BI39" s="3">
        <v>26412736.25</v>
      </c>
      <c r="BJ39" s="3">
        <f t="shared" si="21"/>
        <v>26412.736250000002</v>
      </c>
      <c r="BK39" s="3">
        <v>26122760.949999999</v>
      </c>
      <c r="BL39" s="3">
        <f t="shared" si="10"/>
        <v>26122.76095</v>
      </c>
    </row>
    <row r="40" spans="1:64">
      <c r="A40" s="1" t="s">
        <v>298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S40" s="14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64"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64"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64"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64"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64"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1:64">
      <c r="AD46" s="14"/>
    </row>
    <row r="47" spans="1:64">
      <c r="AD47" s="14"/>
    </row>
    <row r="48" spans="1:64">
      <c r="AD48" s="14"/>
    </row>
    <row r="49" spans="30:30">
      <c r="AD49" s="14"/>
    </row>
    <row r="50" spans="30:30">
      <c r="AD50" s="14"/>
    </row>
    <row r="51" spans="30:30">
      <c r="AD51" s="14"/>
    </row>
    <row r="52" spans="30:30">
      <c r="AD52" s="14"/>
    </row>
  </sheetData>
  <sheetProtection password="CAF5" sheet="1" objects="1" scenarios="1"/>
  <mergeCells count="3">
    <mergeCell ref="A3:M3"/>
    <mergeCell ref="A4:M4"/>
    <mergeCell ref="A1:M1"/>
  </mergeCells>
  <phoneticPr fontId="2" type="noConversion"/>
  <pageMargins left="0.52" right="0.48" top="1" bottom="0.84" header="0.5" footer="0.5"/>
  <pageSetup scale="76" orientation="landscape" horizontalDpi="4294967292" verticalDpi="4294967292" r:id="rId1"/>
  <headerFooter scaleWithDoc="0" alignWithMargins="0">
    <oddFooter>&amp;L&amp;"Arial,Italic"&amp;10MSDE - LFRO  12 / 2014&amp;C&amp;"Arial,Regular"&amp;10- 3 -&amp;R&amp;"Arial,Italic"&amp;10Selected Financial Data - Part 4</oddFoot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M51"/>
  <sheetViews>
    <sheetView workbookViewId="0"/>
  </sheetViews>
  <sheetFormatPr defaultColWidth="10" defaultRowHeight="12.75"/>
  <cols>
    <col min="1" max="1" width="12.875" style="1" customWidth="1"/>
    <col min="2" max="7" width="12.625" style="1" customWidth="1"/>
    <col min="8" max="11" width="11.5" style="1" customWidth="1"/>
    <col min="12" max="12" width="9" style="1" customWidth="1"/>
    <col min="13" max="13" width="8.5" style="1" customWidth="1"/>
    <col min="14" max="14" width="9.375" style="1" bestFit="1" customWidth="1"/>
    <col min="15" max="15" width="10" style="1" customWidth="1"/>
    <col min="16" max="23" width="10.125" style="1" customWidth="1"/>
    <col min="24" max="24" width="10.875" style="1" bestFit="1" customWidth="1"/>
    <col min="25" max="25" width="12.625" style="1" customWidth="1"/>
    <col min="26" max="27" width="10.875" style="1" bestFit="1" customWidth="1"/>
    <col min="28" max="28" width="9.375" style="1" bestFit="1" customWidth="1"/>
    <col min="29" max="29" width="9.375" style="1" customWidth="1"/>
    <col min="30" max="30" width="12.625" style="1" customWidth="1"/>
    <col min="31" max="32" width="9.375" style="1" customWidth="1"/>
    <col min="33" max="34" width="12.5" style="3" bestFit="1" customWidth="1"/>
    <col min="35" max="35" width="12.5" style="3" customWidth="1"/>
    <col min="36" max="36" width="3.25" style="3" customWidth="1"/>
    <col min="37" max="37" width="12.5" style="3" bestFit="1" customWidth="1"/>
    <col min="38" max="38" width="9.375" style="3" bestFit="1" customWidth="1"/>
    <col min="39" max="39" width="2.875" style="3" customWidth="1"/>
    <col min="40" max="40" width="12.5" style="3" bestFit="1" customWidth="1"/>
    <col min="41" max="41" width="9.375" style="3" bestFit="1" customWidth="1"/>
    <col min="42" max="42" width="2.25" style="3" customWidth="1"/>
    <col min="43" max="43" width="12.5" style="3" bestFit="1" customWidth="1"/>
    <col min="44" max="44" width="9.375" style="3" bestFit="1" customWidth="1"/>
    <col min="45" max="45" width="1.875" style="3" customWidth="1"/>
    <col min="46" max="46" width="12.5" style="3" bestFit="1" customWidth="1"/>
    <col min="47" max="47" width="9.375" style="3" bestFit="1" customWidth="1"/>
    <col min="48" max="48" width="2.625" style="3" customWidth="1"/>
    <col min="49" max="49" width="12.5" style="3" bestFit="1" customWidth="1"/>
    <col min="50" max="50" width="9.375" style="3" bestFit="1" customWidth="1"/>
    <col min="51" max="51" width="2.625" style="3" customWidth="1"/>
    <col min="52" max="52" width="12.5" style="3" bestFit="1" customWidth="1"/>
    <col min="53" max="53" width="9.375" style="3" bestFit="1" customWidth="1"/>
    <col min="54" max="54" width="12.5" style="3" bestFit="1" customWidth="1"/>
    <col min="55" max="55" width="10" style="3"/>
    <col min="56" max="56" width="12.5" style="3" bestFit="1" customWidth="1"/>
    <col min="57" max="57" width="9.375" style="3" bestFit="1" customWidth="1"/>
    <col min="58" max="58" width="13.125" style="3" bestFit="1" customWidth="1"/>
    <col min="59" max="59" width="10.625" style="3" customWidth="1"/>
    <col min="60" max="60" width="11.75" style="3" customWidth="1"/>
    <col min="61" max="16384" width="10" style="3"/>
  </cols>
  <sheetData>
    <row r="1" spans="1:65">
      <c r="A1" s="115" t="s">
        <v>83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99"/>
      <c r="R1" s="2"/>
      <c r="S1" s="2"/>
      <c r="Y1" s="115"/>
      <c r="AD1" s="115"/>
    </row>
    <row r="2" spans="1:6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99"/>
      <c r="R2" s="2"/>
      <c r="S2" s="2"/>
      <c r="X2" s="2"/>
      <c r="Y2" s="115"/>
      <c r="AD2" s="115"/>
    </row>
    <row r="3" spans="1:65" s="221" customFormat="1">
      <c r="A3" s="115" t="s">
        <v>44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99"/>
      <c r="O3" s="199"/>
      <c r="P3" s="68"/>
      <c r="Q3" s="68"/>
      <c r="R3" s="68"/>
      <c r="S3" s="68"/>
      <c r="T3" s="68"/>
      <c r="U3" s="68"/>
      <c r="V3" s="68"/>
      <c r="W3" s="68"/>
      <c r="X3" s="68"/>
      <c r="Y3" s="199"/>
      <c r="Z3" s="68"/>
      <c r="AA3" s="68"/>
      <c r="AB3" s="68"/>
      <c r="AC3" s="68"/>
      <c r="AD3" s="115"/>
      <c r="AE3" s="68"/>
      <c r="AF3" s="68"/>
    </row>
    <row r="4" spans="1:65">
      <c r="A4" s="405" t="s">
        <v>367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115"/>
      <c r="O4" s="199"/>
      <c r="P4" s="199"/>
      <c r="Q4" s="10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1"/>
    </row>
    <row r="5" spans="1:65" ht="13.5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68"/>
      <c r="Y5" s="115"/>
      <c r="AD5" s="115"/>
    </row>
    <row r="6" spans="1:65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7"/>
      <c r="AG6" s="1"/>
      <c r="BH6" s="3" t="s">
        <v>306</v>
      </c>
    </row>
    <row r="7" spans="1:65">
      <c r="L7" s="406" t="s">
        <v>34</v>
      </c>
      <c r="M7" s="406"/>
      <c r="AG7" s="1"/>
      <c r="BH7" s="3" t="s">
        <v>307</v>
      </c>
      <c r="BJ7" s="3" t="s">
        <v>307</v>
      </c>
      <c r="BL7" s="3" t="s">
        <v>307</v>
      </c>
    </row>
    <row r="8" spans="1:65"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AA8" s="7"/>
      <c r="AB8" s="7"/>
      <c r="AC8" s="7"/>
      <c r="AD8" s="7"/>
      <c r="AE8" s="7"/>
      <c r="AF8" s="7"/>
      <c r="AG8" s="1"/>
      <c r="AL8" s="3" t="s">
        <v>210</v>
      </c>
      <c r="AO8" s="3" t="s">
        <v>210</v>
      </c>
      <c r="AR8" s="3" t="s">
        <v>210</v>
      </c>
      <c r="AU8" s="3" t="s">
        <v>210</v>
      </c>
      <c r="AX8" s="3" t="s">
        <v>210</v>
      </c>
      <c r="BA8" s="3" t="s">
        <v>210</v>
      </c>
      <c r="BC8" s="187" t="s">
        <v>209</v>
      </c>
      <c r="BE8" s="187" t="s">
        <v>209</v>
      </c>
      <c r="BG8" s="187" t="s">
        <v>209</v>
      </c>
      <c r="BH8" s="3" t="s">
        <v>308</v>
      </c>
      <c r="BI8" s="187" t="s">
        <v>209</v>
      </c>
      <c r="BJ8" s="3" t="s">
        <v>308</v>
      </c>
      <c r="BK8" s="187" t="s">
        <v>209</v>
      </c>
      <c r="BL8" s="3" t="s">
        <v>308</v>
      </c>
      <c r="BM8" s="187" t="s">
        <v>209</v>
      </c>
    </row>
    <row r="9" spans="1:65" ht="13.5" thickBot="1">
      <c r="A9" s="8" t="s">
        <v>1</v>
      </c>
      <c r="B9" s="397" t="s">
        <v>184</v>
      </c>
      <c r="C9" s="397" t="s">
        <v>194</v>
      </c>
      <c r="D9" s="397" t="s">
        <v>208</v>
      </c>
      <c r="E9" s="397" t="s">
        <v>243</v>
      </c>
      <c r="F9" s="397" t="s">
        <v>256</v>
      </c>
      <c r="G9" s="397" t="s">
        <v>269</v>
      </c>
      <c r="H9" s="397" t="s">
        <v>283</v>
      </c>
      <c r="I9" s="397" t="s">
        <v>303</v>
      </c>
      <c r="J9" s="397" t="s">
        <v>330</v>
      </c>
      <c r="K9" s="397" t="s">
        <v>360</v>
      </c>
      <c r="L9" s="9" t="s">
        <v>84</v>
      </c>
      <c r="M9" s="9" t="s">
        <v>84</v>
      </c>
      <c r="N9" s="125" t="s">
        <v>2</v>
      </c>
      <c r="O9" s="9" t="s">
        <v>35</v>
      </c>
      <c r="P9" s="9" t="s">
        <v>36</v>
      </c>
      <c r="Q9" s="9" t="s">
        <v>37</v>
      </c>
      <c r="R9" s="9" t="s">
        <v>38</v>
      </c>
      <c r="S9" s="9" t="s">
        <v>39</v>
      </c>
      <c r="T9" s="9" t="s">
        <v>40</v>
      </c>
      <c r="U9" s="8" t="s">
        <v>65</v>
      </c>
      <c r="V9" s="8" t="s">
        <v>66</v>
      </c>
      <c r="W9" s="34" t="s">
        <v>178</v>
      </c>
      <c r="X9" s="34" t="s">
        <v>179</v>
      </c>
      <c r="Y9" s="34" t="s">
        <v>180</v>
      </c>
      <c r="Z9" s="17" t="s">
        <v>181</v>
      </c>
      <c r="AA9" s="34" t="s">
        <v>182</v>
      </c>
      <c r="AB9" s="40" t="s">
        <v>183</v>
      </c>
      <c r="AC9" s="9" t="s">
        <v>104</v>
      </c>
      <c r="AD9" s="9" t="s">
        <v>105</v>
      </c>
      <c r="AE9" s="332" t="s">
        <v>161</v>
      </c>
      <c r="AF9" s="387" t="s">
        <v>168</v>
      </c>
      <c r="AG9" s="9" t="s">
        <v>105</v>
      </c>
      <c r="AH9" s="9" t="s">
        <v>105</v>
      </c>
      <c r="AI9" s="26"/>
      <c r="AK9" s="9" t="s">
        <v>161</v>
      </c>
      <c r="AL9" s="9" t="s">
        <v>161</v>
      </c>
      <c r="AN9" s="3" t="s">
        <v>168</v>
      </c>
      <c r="AO9" s="3" t="s">
        <v>168</v>
      </c>
      <c r="AQ9" s="3" t="s">
        <v>184</v>
      </c>
      <c r="AR9" s="3" t="s">
        <v>184</v>
      </c>
      <c r="AT9" s="3" t="s">
        <v>194</v>
      </c>
      <c r="AU9" s="3" t="s">
        <v>194</v>
      </c>
      <c r="AW9" s="20" t="s">
        <v>208</v>
      </c>
      <c r="AX9" s="3" t="s">
        <v>208</v>
      </c>
      <c r="AZ9" s="20" t="s">
        <v>243</v>
      </c>
      <c r="BA9" s="3" t="s">
        <v>243</v>
      </c>
      <c r="BB9" s="20" t="s">
        <v>256</v>
      </c>
      <c r="BC9" s="20" t="s">
        <v>256</v>
      </c>
      <c r="BD9" s="20" t="s">
        <v>269</v>
      </c>
      <c r="BE9" s="20" t="s">
        <v>269</v>
      </c>
      <c r="BF9" s="3" t="s">
        <v>283</v>
      </c>
      <c r="BG9" s="3" t="s">
        <v>283</v>
      </c>
      <c r="BH9" s="20" t="s">
        <v>303</v>
      </c>
      <c r="BI9" s="20" t="s">
        <v>303</v>
      </c>
      <c r="BJ9" s="382" t="s">
        <v>330</v>
      </c>
      <c r="BK9" s="382" t="s">
        <v>330</v>
      </c>
      <c r="BL9" s="385" t="s">
        <v>360</v>
      </c>
      <c r="BM9" s="385" t="s">
        <v>360</v>
      </c>
    </row>
    <row r="10" spans="1:65">
      <c r="A10" s="7" t="s">
        <v>5</v>
      </c>
      <c r="B10" s="198">
        <f t="shared" ref="B10:E10" si="0">SUM(B12:B39)</f>
        <v>4171053</v>
      </c>
      <c r="C10" s="198">
        <f t="shared" si="0"/>
        <v>4369876</v>
      </c>
      <c r="D10" s="198">
        <f t="shared" si="0"/>
        <v>4576721</v>
      </c>
      <c r="E10" s="198">
        <f t="shared" si="0"/>
        <v>4911481.76559</v>
      </c>
      <c r="F10" s="198">
        <f t="shared" ref="F10:K10" si="1">SUM(F12:F39)</f>
        <v>5126429.3336700005</v>
      </c>
      <c r="G10" s="198">
        <f t="shared" si="1"/>
        <v>5359096.50966</v>
      </c>
      <c r="H10" s="198">
        <f t="shared" si="1"/>
        <v>5329281.6906000003</v>
      </c>
      <c r="I10" s="198">
        <f t="shared" si="1"/>
        <v>5322288.2816599999</v>
      </c>
      <c r="J10" s="198">
        <f t="shared" si="1"/>
        <v>5291722.1841499992</v>
      </c>
      <c r="K10" s="198">
        <f t="shared" si="1"/>
        <v>5475890.7671499997</v>
      </c>
      <c r="L10" s="239">
        <f>(K10-J10)*100/J10</f>
        <v>3.4803146611065574</v>
      </c>
      <c r="M10" s="239">
        <f>(K10-AF10)*100/AF10</f>
        <v>36.929921932956375</v>
      </c>
      <c r="N10" s="11">
        <f t="shared" ref="N10:T10" si="2">SUM(N12:N39)</f>
        <v>1326266</v>
      </c>
      <c r="O10" s="11">
        <f t="shared" si="2"/>
        <v>1434688</v>
      </c>
      <c r="P10" s="11">
        <f t="shared" si="2"/>
        <v>1559467</v>
      </c>
      <c r="Q10" s="11">
        <f t="shared" si="2"/>
        <v>1695218</v>
      </c>
      <c r="R10" s="11">
        <f t="shared" si="2"/>
        <v>1879809</v>
      </c>
      <c r="S10" s="11">
        <f t="shared" si="2"/>
        <v>2102992</v>
      </c>
      <c r="T10" s="11">
        <f t="shared" si="2"/>
        <v>2302613</v>
      </c>
      <c r="U10" s="11">
        <f>SUM(W12:W43)</f>
        <v>2553671</v>
      </c>
      <c r="V10" s="11">
        <f>SUM(X12:X43)</f>
        <v>2728936</v>
      </c>
      <c r="W10" s="18">
        <f t="shared" ref="W10:AB10" si="3">SUM(W12:W39)</f>
        <v>2553671</v>
      </c>
      <c r="X10" s="198">
        <f t="shared" si="3"/>
        <v>2728936</v>
      </c>
      <c r="Y10" s="198">
        <f t="shared" si="3"/>
        <v>2810524</v>
      </c>
      <c r="Z10" s="198">
        <f t="shared" si="3"/>
        <v>2893531</v>
      </c>
      <c r="AA10" s="198">
        <f t="shared" si="3"/>
        <v>2999645</v>
      </c>
      <c r="AB10" s="198">
        <f t="shared" si="3"/>
        <v>3150814</v>
      </c>
      <c r="AC10" s="198">
        <f>SUM(AC12:AC39)</f>
        <v>3344657</v>
      </c>
      <c r="AD10" s="198">
        <f t="shared" ref="AD10:AF10" si="4">SUM(AD12:AD39)</f>
        <v>3624544</v>
      </c>
      <c r="AE10" s="198">
        <f t="shared" si="4"/>
        <v>3851119.0540000005</v>
      </c>
      <c r="AF10" s="198">
        <f t="shared" si="4"/>
        <v>3999046.1469999999</v>
      </c>
      <c r="AG10" s="11">
        <f>SUM(AG12:AG43)</f>
        <v>3624545182</v>
      </c>
      <c r="AH10" s="11">
        <f>SUM(AH12:AH43)</f>
        <v>3624545.1820000005</v>
      </c>
      <c r="AI10" s="11"/>
      <c r="AK10" s="11">
        <f>SUM(AK12:AK43)</f>
        <v>3851119054</v>
      </c>
      <c r="AL10" s="11">
        <f>SUM(AL12:AL43)</f>
        <v>3851119.0540000005</v>
      </c>
      <c r="AN10" s="11">
        <f>SUM(AN12:AN43)</f>
        <v>3999046147</v>
      </c>
      <c r="AO10" s="11">
        <f>SUM(AO12:AO43)</f>
        <v>3999046.1469999999</v>
      </c>
      <c r="AQ10" s="11">
        <f>SUM(AQ12:AQ43)</f>
        <v>4171051085</v>
      </c>
      <c r="AR10" s="11">
        <f>SUM(AR12:AR43)</f>
        <v>4171051.0850000004</v>
      </c>
      <c r="AT10" s="11">
        <f>SUM(AT12:AT43)</f>
        <v>4369876181</v>
      </c>
      <c r="AU10" s="11">
        <f>SUM(AU12:AU43)</f>
        <v>4369876.1809999999</v>
      </c>
      <c r="AW10" s="11">
        <f>SUM(AW12:AW43)</f>
        <v>4576720064</v>
      </c>
      <c r="AX10" s="11">
        <f>SUM(AX12:AX43)</f>
        <v>4576720.0639999993</v>
      </c>
      <c r="AZ10" s="11">
        <f t="shared" ref="AZ10:BG10" si="5">SUM(AZ12:AZ43)</f>
        <v>4911481765.5900002</v>
      </c>
      <c r="BA10" s="11">
        <f t="shared" si="5"/>
        <v>4911481.76559</v>
      </c>
      <c r="BB10" s="11">
        <f t="shared" si="5"/>
        <v>5126429333.6700001</v>
      </c>
      <c r="BC10" s="11">
        <f t="shared" si="5"/>
        <v>5126429.3336700005</v>
      </c>
      <c r="BD10" s="11">
        <f t="shared" si="5"/>
        <v>5359096509.6599998</v>
      </c>
      <c r="BE10" s="11">
        <f t="shared" si="5"/>
        <v>5359096.50966</v>
      </c>
      <c r="BF10" s="131">
        <f>SUM(BF12:BF39)</f>
        <v>5329281690.6000004</v>
      </c>
      <c r="BG10" s="11">
        <f t="shared" si="5"/>
        <v>5329281.6906000003</v>
      </c>
      <c r="BH10" s="3">
        <v>5322288281.6600008</v>
      </c>
      <c r="BI10" s="3">
        <f>BH10/1000</f>
        <v>5322288.2816600008</v>
      </c>
      <c r="BJ10" s="3">
        <f>SUM(BJ12:BJ39)</f>
        <v>5291722184.1499996</v>
      </c>
      <c r="BK10" s="3">
        <f>SUM(BK12:BK39)</f>
        <v>5291722.1841499992</v>
      </c>
      <c r="BL10" s="3">
        <f t="shared" ref="BL10:BM10" si="6">SUM(BL12:BL39)</f>
        <v>5475890767.1499996</v>
      </c>
      <c r="BM10" s="3">
        <f t="shared" si="6"/>
        <v>5475890.7671499997</v>
      </c>
    </row>
    <row r="11" spans="1:65">
      <c r="L11" s="239"/>
      <c r="M11" s="239"/>
      <c r="O11" s="14"/>
      <c r="R11" s="14"/>
      <c r="S11" s="14"/>
      <c r="Y11" s="14"/>
      <c r="AA11" s="69"/>
      <c r="AB11" s="69"/>
      <c r="AC11" s="258"/>
      <c r="AE11" s="258"/>
      <c r="AF11" s="258"/>
      <c r="AG11" s="1"/>
      <c r="BF11" s="271"/>
    </row>
    <row r="12" spans="1:65">
      <c r="A12" s="1" t="s">
        <v>6</v>
      </c>
      <c r="B12" s="1">
        <v>26219</v>
      </c>
      <c r="C12" s="1">
        <v>25778</v>
      </c>
      <c r="D12" s="1">
        <v>26639</v>
      </c>
      <c r="E12" s="1">
        <v>27388.999800000001</v>
      </c>
      <c r="F12" s="1">
        <v>28389</v>
      </c>
      <c r="G12" s="1">
        <v>28452.25</v>
      </c>
      <c r="H12" s="1">
        <v>28200.314149999998</v>
      </c>
      <c r="I12" s="1">
        <v>28240</v>
      </c>
      <c r="J12" s="1">
        <v>28256</v>
      </c>
      <c r="K12" s="1">
        <v>29391.957999999999</v>
      </c>
      <c r="L12" s="239">
        <f>(K12-J12)*100/J12</f>
        <v>4.0202364099660199</v>
      </c>
      <c r="M12" s="239">
        <f>(K12-AF12)*100/AF12</f>
        <v>14.553123697283736</v>
      </c>
      <c r="N12" s="21">
        <v>14821</v>
      </c>
      <c r="O12" s="14">
        <v>14896</v>
      </c>
      <c r="P12" s="14">
        <v>15250</v>
      </c>
      <c r="Q12" s="14">
        <v>15750</v>
      </c>
      <c r="R12" s="14">
        <v>16400</v>
      </c>
      <c r="S12" s="14">
        <v>17000</v>
      </c>
      <c r="T12" s="14">
        <v>17932</v>
      </c>
      <c r="U12" s="14">
        <v>17488</v>
      </c>
      <c r="V12" s="14">
        <v>17786</v>
      </c>
      <c r="W12" s="14">
        <v>19250</v>
      </c>
      <c r="X12" s="14">
        <v>20230</v>
      </c>
      <c r="Y12" s="14">
        <v>20675</v>
      </c>
      <c r="Z12" s="14">
        <v>21086</v>
      </c>
      <c r="AA12" s="70">
        <v>21580</v>
      </c>
      <c r="AB12" s="70">
        <v>22237</v>
      </c>
      <c r="AC12" s="206">
        <v>23030</v>
      </c>
      <c r="AD12" s="1">
        <v>24868</v>
      </c>
      <c r="AE12" s="206">
        <v>25999.571</v>
      </c>
      <c r="AF12" s="206">
        <v>25657.928</v>
      </c>
      <c r="AG12" s="1">
        <v>24867933</v>
      </c>
      <c r="AH12" s="3">
        <f>AG12/1000</f>
        <v>24867.933000000001</v>
      </c>
      <c r="AK12" s="3">
        <v>25999571</v>
      </c>
      <c r="AL12" s="3">
        <f>AK12/1000</f>
        <v>25999.571</v>
      </c>
      <c r="AN12" s="3">
        <v>25657928</v>
      </c>
      <c r="AO12" s="3">
        <f>AN12/1000</f>
        <v>25657.928</v>
      </c>
      <c r="AQ12" s="3">
        <v>26218807</v>
      </c>
      <c r="AR12" s="3">
        <f>AQ12/1000</f>
        <v>26218.807000000001</v>
      </c>
      <c r="AT12" s="3">
        <v>25778411</v>
      </c>
      <c r="AU12" s="3">
        <f>AT12/1000</f>
        <v>25778.411</v>
      </c>
      <c r="AW12" s="3">
        <v>26639036</v>
      </c>
      <c r="AX12" s="3">
        <f>AW12/1000</f>
        <v>26639.036</v>
      </c>
      <c r="AZ12" s="3">
        <v>27388999.800000001</v>
      </c>
      <c r="BA12" s="3">
        <f>AZ12/1000</f>
        <v>27388.999800000001</v>
      </c>
      <c r="BB12" s="3">
        <v>28389000</v>
      </c>
      <c r="BC12" s="3">
        <f>BB12/1000</f>
        <v>28389</v>
      </c>
      <c r="BD12" s="3">
        <v>28452250</v>
      </c>
      <c r="BE12" s="3">
        <f>BD12/1000</f>
        <v>28452.25</v>
      </c>
      <c r="BF12" s="272">
        <v>28200314.149999999</v>
      </c>
      <c r="BG12" s="3">
        <f>BF12/1000</f>
        <v>28200.314149999998</v>
      </c>
      <c r="BH12" s="3">
        <v>28240000</v>
      </c>
      <c r="BI12" s="3">
        <f t="shared" ref="BI12:BI16" si="7">BH12/1000</f>
        <v>28240</v>
      </c>
      <c r="BJ12" s="3">
        <v>28256000</v>
      </c>
      <c r="BK12" s="3">
        <f>BJ12/1000</f>
        <v>28256</v>
      </c>
      <c r="BL12" s="3">
        <v>29391958</v>
      </c>
      <c r="BM12" s="3">
        <f>BL12/1000</f>
        <v>29391.957999999999</v>
      </c>
    </row>
    <row r="13" spans="1:65">
      <c r="A13" s="1" t="s">
        <v>7</v>
      </c>
      <c r="B13" s="1">
        <v>390600</v>
      </c>
      <c r="C13" s="1">
        <v>414261</v>
      </c>
      <c r="D13" s="1">
        <v>449214</v>
      </c>
      <c r="E13" s="1">
        <v>488254.35</v>
      </c>
      <c r="F13" s="1">
        <v>514347.4</v>
      </c>
      <c r="G13" s="1">
        <v>551340.80000000005</v>
      </c>
      <c r="H13" s="1">
        <v>554023.5</v>
      </c>
      <c r="I13" s="1">
        <v>562363.65099999995</v>
      </c>
      <c r="J13" s="1">
        <v>556105.6</v>
      </c>
      <c r="K13" s="1">
        <v>584579.69999999995</v>
      </c>
      <c r="L13" s="239">
        <f t="shared" ref="L13:L39" si="8">(K13-J13)*100/J13</f>
        <v>5.1202685245392203</v>
      </c>
      <c r="M13" s="239">
        <f t="shared" ref="M13:M39" si="9">(K13-AF13)*100/AF13</f>
        <v>52.297754272613581</v>
      </c>
      <c r="N13" s="21">
        <v>117958</v>
      </c>
      <c r="O13" s="14">
        <v>131250</v>
      </c>
      <c r="P13" s="14">
        <v>143539</v>
      </c>
      <c r="Q13" s="14">
        <v>152942</v>
      </c>
      <c r="R13" s="14">
        <v>166332</v>
      </c>
      <c r="S13" s="14">
        <v>190950</v>
      </c>
      <c r="T13" s="14">
        <v>213363</v>
      </c>
      <c r="U13" s="14">
        <v>207212</v>
      </c>
      <c r="V13" s="14">
        <v>214493</v>
      </c>
      <c r="W13" s="14">
        <v>238107</v>
      </c>
      <c r="X13" s="14">
        <v>260745</v>
      </c>
      <c r="Y13" s="14">
        <v>266479</v>
      </c>
      <c r="Z13" s="14">
        <v>269866</v>
      </c>
      <c r="AA13" s="70">
        <v>274678</v>
      </c>
      <c r="AB13" s="70">
        <v>288075</v>
      </c>
      <c r="AC13" s="206">
        <v>316085</v>
      </c>
      <c r="AD13" s="1">
        <v>342692</v>
      </c>
      <c r="AE13" s="206">
        <v>367581.5</v>
      </c>
      <c r="AF13" s="206">
        <v>383840</v>
      </c>
      <c r="AG13" s="1">
        <v>342691879</v>
      </c>
      <c r="AH13" s="3">
        <f>AG13/1000</f>
        <v>342691.87900000002</v>
      </c>
      <c r="AK13" s="3">
        <v>367581500</v>
      </c>
      <c r="AL13" s="3">
        <f>AK13/1000</f>
        <v>367581.5</v>
      </c>
      <c r="AN13" s="3">
        <v>383840000</v>
      </c>
      <c r="AO13" s="3">
        <f>AN13/1000</f>
        <v>383840</v>
      </c>
      <c r="AQ13" s="3">
        <v>390600000</v>
      </c>
      <c r="AR13" s="3">
        <f>AQ13/1000</f>
        <v>390600</v>
      </c>
      <c r="AT13" s="3">
        <v>414260500</v>
      </c>
      <c r="AU13" s="3">
        <f>AT13/1000</f>
        <v>414260.5</v>
      </c>
      <c r="AW13" s="3">
        <v>449214000</v>
      </c>
      <c r="AX13" s="3">
        <f>AW13/1000</f>
        <v>449214</v>
      </c>
      <c r="AZ13" s="3">
        <v>488254350</v>
      </c>
      <c r="BA13" s="3">
        <f>AZ13/1000</f>
        <v>488254.35</v>
      </c>
      <c r="BB13" s="3">
        <v>514347400</v>
      </c>
      <c r="BC13" s="3">
        <f>BB13/1000</f>
        <v>514347.4</v>
      </c>
      <c r="BD13" s="3">
        <v>551340800</v>
      </c>
      <c r="BE13" s="3">
        <f>BD13/1000</f>
        <v>551340.80000000005</v>
      </c>
      <c r="BF13" s="272">
        <v>554023500</v>
      </c>
      <c r="BG13" s="3">
        <f>BF13/1000</f>
        <v>554023.5</v>
      </c>
      <c r="BH13" s="3">
        <v>562363651</v>
      </c>
      <c r="BI13" s="3">
        <f t="shared" si="7"/>
        <v>562363.65099999995</v>
      </c>
      <c r="BJ13" s="3">
        <v>556105600</v>
      </c>
      <c r="BK13" s="3">
        <f t="shared" ref="BK13:BK16" si="10">BJ13/1000</f>
        <v>556105.6</v>
      </c>
      <c r="BL13" s="3">
        <v>584579700</v>
      </c>
      <c r="BM13" s="3">
        <f t="shared" ref="BM13:BM39" si="11">BL13/1000</f>
        <v>584579.69999999995</v>
      </c>
    </row>
    <row r="14" spans="1:65">
      <c r="A14" s="1" t="s">
        <v>8</v>
      </c>
      <c r="B14" s="1">
        <v>207555</v>
      </c>
      <c r="C14" s="1">
        <v>202685</v>
      </c>
      <c r="D14" s="1">
        <v>200042</v>
      </c>
      <c r="E14" s="1">
        <v>200176.91863999999</v>
      </c>
      <c r="F14" s="1">
        <v>200396.16786000002</v>
      </c>
      <c r="G14" s="1">
        <v>200769.77900000001</v>
      </c>
      <c r="H14" s="1">
        <v>203281.01973</v>
      </c>
      <c r="I14" s="1">
        <v>229660.21381000002</v>
      </c>
      <c r="J14" s="1">
        <v>237952.76198000001</v>
      </c>
      <c r="K14" s="1">
        <v>232551.11104000002</v>
      </c>
      <c r="L14" s="239">
        <f t="shared" si="8"/>
        <v>-2.2700517930756368</v>
      </c>
      <c r="M14" s="239">
        <f t="shared" si="9"/>
        <v>12.126729725544591</v>
      </c>
      <c r="N14" s="21">
        <v>117658</v>
      </c>
      <c r="O14" s="14">
        <v>121403</v>
      </c>
      <c r="P14" s="14">
        <v>126388</v>
      </c>
      <c r="Q14" s="14">
        <v>139147</v>
      </c>
      <c r="R14" s="14">
        <v>154096</v>
      </c>
      <c r="S14" s="14">
        <v>169472</v>
      </c>
      <c r="T14" s="14">
        <v>185703</v>
      </c>
      <c r="U14" s="14">
        <v>181176</v>
      </c>
      <c r="V14" s="14">
        <v>175009</v>
      </c>
      <c r="W14" s="14">
        <v>190191</v>
      </c>
      <c r="X14" s="14">
        <v>195554</v>
      </c>
      <c r="Y14" s="14">
        <v>199202</v>
      </c>
      <c r="Z14" s="14">
        <v>199202</v>
      </c>
      <c r="AA14" s="70">
        <v>200553</v>
      </c>
      <c r="AB14" s="70">
        <v>201565</v>
      </c>
      <c r="AC14" s="206">
        <v>204065</v>
      </c>
      <c r="AD14" s="1">
        <v>204428</v>
      </c>
      <c r="AE14" s="206">
        <v>210259.91500000001</v>
      </c>
      <c r="AF14" s="206">
        <v>207400.24400000001</v>
      </c>
      <c r="AG14" s="1">
        <v>204428258</v>
      </c>
      <c r="AH14" s="3">
        <f>AG14/1000</f>
        <v>204428.258</v>
      </c>
      <c r="AK14" s="3">
        <v>210259915</v>
      </c>
      <c r="AL14" s="3">
        <f>AK14/1000</f>
        <v>210259.91500000001</v>
      </c>
      <c r="AN14" s="3">
        <v>207400244</v>
      </c>
      <c r="AO14" s="3">
        <f>AN14/1000</f>
        <v>207400.24400000001</v>
      </c>
      <c r="AQ14" s="3">
        <v>207554999</v>
      </c>
      <c r="AR14" s="3">
        <f>AQ14/1000</f>
        <v>207554.99900000001</v>
      </c>
      <c r="AT14" s="3">
        <v>202685137</v>
      </c>
      <c r="AU14" s="3">
        <f>AT14/1000</f>
        <v>202685.13699999999</v>
      </c>
      <c r="AW14" s="3">
        <v>200042173</v>
      </c>
      <c r="AX14" s="3">
        <f>AW14/1000</f>
        <v>200042.17300000001</v>
      </c>
      <c r="AZ14" s="3">
        <v>200176918.63999999</v>
      </c>
      <c r="BA14" s="3">
        <f>AZ14/1000</f>
        <v>200176.91863999999</v>
      </c>
      <c r="BB14" s="3">
        <v>200396167.86000001</v>
      </c>
      <c r="BC14" s="3">
        <f>BB14/1000</f>
        <v>200396.16786000002</v>
      </c>
      <c r="BD14" s="3">
        <v>200769779</v>
      </c>
      <c r="BE14" s="3">
        <f>BD14/1000</f>
        <v>200769.77900000001</v>
      </c>
      <c r="BF14" s="272">
        <f>210018415-6737395.27</f>
        <v>203281019.72999999</v>
      </c>
      <c r="BG14" s="3">
        <f>BF14/1000</f>
        <v>203281.01973</v>
      </c>
      <c r="BH14" s="3">
        <v>229660213.81</v>
      </c>
      <c r="BI14" s="3">
        <f t="shared" si="7"/>
        <v>229660.21381000002</v>
      </c>
      <c r="BJ14" s="3">
        <v>237952761.98000002</v>
      </c>
      <c r="BK14" s="3">
        <f t="shared" si="10"/>
        <v>237952.76198000001</v>
      </c>
      <c r="BL14" s="3">
        <v>232551111.04000002</v>
      </c>
      <c r="BM14" s="3">
        <f t="shared" si="11"/>
        <v>232551.11104000002</v>
      </c>
    </row>
    <row r="15" spans="1:65">
      <c r="A15" s="1" t="s">
        <v>9</v>
      </c>
      <c r="B15" s="1">
        <v>560335</v>
      </c>
      <c r="C15" s="1">
        <v>570513</v>
      </c>
      <c r="D15" s="1">
        <v>591810</v>
      </c>
      <c r="E15" s="1">
        <v>607173.54616999999</v>
      </c>
      <c r="F15" s="1">
        <v>617864.72699999996</v>
      </c>
      <c r="G15" s="1">
        <v>646292.52</v>
      </c>
      <c r="H15" s="1">
        <v>670737.63899999997</v>
      </c>
      <c r="I15" s="1">
        <v>663192.51</v>
      </c>
      <c r="J15" s="1">
        <v>668543.77</v>
      </c>
      <c r="K15" s="1">
        <v>689746.18700000003</v>
      </c>
      <c r="L15" s="239">
        <f t="shared" si="8"/>
        <v>3.171432889128563</v>
      </c>
      <c r="M15" s="239">
        <f t="shared" si="9"/>
        <v>25.813555027619092</v>
      </c>
      <c r="N15" s="21">
        <v>226172</v>
      </c>
      <c r="O15" s="14">
        <v>240570</v>
      </c>
      <c r="P15" s="14">
        <v>257817</v>
      </c>
      <c r="Q15" s="14">
        <v>268181</v>
      </c>
      <c r="R15" s="14">
        <v>301198</v>
      </c>
      <c r="S15" s="14">
        <v>329124</v>
      </c>
      <c r="T15" s="14">
        <v>342250</v>
      </c>
      <c r="U15" s="14">
        <v>346193</v>
      </c>
      <c r="V15" s="14">
        <v>347349</v>
      </c>
      <c r="W15" s="14">
        <v>366443</v>
      </c>
      <c r="X15" s="14">
        <v>393346</v>
      </c>
      <c r="Y15" s="14">
        <v>404783</v>
      </c>
      <c r="Z15" s="14">
        <v>414233</v>
      </c>
      <c r="AA15" s="70">
        <v>426130</v>
      </c>
      <c r="AB15" s="70">
        <v>442282</v>
      </c>
      <c r="AC15" s="206">
        <v>466217</v>
      </c>
      <c r="AD15" s="1">
        <v>523250</v>
      </c>
      <c r="AE15" s="206">
        <v>545983.98</v>
      </c>
      <c r="AF15" s="206">
        <v>548228.83499999996</v>
      </c>
      <c r="AG15" s="1">
        <v>523250145</v>
      </c>
      <c r="AH15" s="3">
        <f>AG15/1000</f>
        <v>523250.14500000002</v>
      </c>
      <c r="AK15" s="3">
        <v>545983980</v>
      </c>
      <c r="AL15" s="3">
        <f>AK15/1000</f>
        <v>545983.98</v>
      </c>
      <c r="AN15" s="3">
        <v>548228835</v>
      </c>
      <c r="AO15" s="3">
        <f>AN15/1000</f>
        <v>548228.83499999996</v>
      </c>
      <c r="AQ15" s="3">
        <v>560334696</v>
      </c>
      <c r="AR15" s="3">
        <f>AQ15/1000</f>
        <v>560334.696</v>
      </c>
      <c r="AT15" s="3">
        <v>570512547</v>
      </c>
      <c r="AU15" s="3">
        <f>AT15/1000</f>
        <v>570512.54700000002</v>
      </c>
      <c r="AW15" s="3">
        <v>591809879</v>
      </c>
      <c r="AX15" s="3">
        <f>AW15/1000</f>
        <v>591809.87899999996</v>
      </c>
      <c r="AZ15" s="3">
        <v>607173546.16999996</v>
      </c>
      <c r="BA15" s="3">
        <f>AZ15/1000</f>
        <v>607173.54616999999</v>
      </c>
      <c r="BB15" s="3">
        <v>617864727</v>
      </c>
      <c r="BC15" s="3">
        <f>BB15/1000</f>
        <v>617864.72699999996</v>
      </c>
      <c r="BD15" s="3">
        <v>646292520</v>
      </c>
      <c r="BE15" s="3">
        <f>BD15/1000</f>
        <v>646292.52</v>
      </c>
      <c r="BF15" s="272">
        <v>670737639</v>
      </c>
      <c r="BG15" s="3">
        <f>BF15/1000</f>
        <v>670737.63899999997</v>
      </c>
      <c r="BH15" s="3">
        <v>663192510</v>
      </c>
      <c r="BI15" s="3">
        <f t="shared" si="7"/>
        <v>663192.51</v>
      </c>
      <c r="BJ15" s="3">
        <v>668543770</v>
      </c>
      <c r="BK15" s="3">
        <f t="shared" si="10"/>
        <v>668543.77</v>
      </c>
      <c r="BL15" s="3">
        <v>689746187</v>
      </c>
      <c r="BM15" s="3">
        <f t="shared" si="11"/>
        <v>689746.18700000003</v>
      </c>
    </row>
    <row r="16" spans="1:65">
      <c r="A16" s="1" t="s">
        <v>10</v>
      </c>
      <c r="B16" s="1">
        <v>76413</v>
      </c>
      <c r="C16" s="1">
        <v>80913</v>
      </c>
      <c r="D16" s="1">
        <v>85713</v>
      </c>
      <c r="E16" s="1">
        <v>90378.744000000006</v>
      </c>
      <c r="F16" s="1">
        <v>95358.284</v>
      </c>
      <c r="G16" s="1">
        <v>100658.90151000001</v>
      </c>
      <c r="H16" s="1">
        <v>103615.515</v>
      </c>
      <c r="I16" s="1">
        <v>105010.11</v>
      </c>
      <c r="J16" s="1">
        <v>109059.947</v>
      </c>
      <c r="K16" s="1">
        <v>110284.424</v>
      </c>
      <c r="L16" s="239">
        <f t="shared" si="8"/>
        <v>1.1227559096466451</v>
      </c>
      <c r="M16" s="239">
        <f t="shared" si="9"/>
        <v>50.225446276179369</v>
      </c>
      <c r="N16" s="21">
        <v>17489</v>
      </c>
      <c r="O16" s="14">
        <v>18317</v>
      </c>
      <c r="P16" s="14">
        <v>18976</v>
      </c>
      <c r="Q16" s="14">
        <v>21271</v>
      </c>
      <c r="R16" s="14">
        <v>23750</v>
      </c>
      <c r="S16" s="14">
        <v>26671</v>
      </c>
      <c r="T16" s="14">
        <v>28671</v>
      </c>
      <c r="U16" s="14">
        <v>32834</v>
      </c>
      <c r="V16" s="14">
        <v>35803</v>
      </c>
      <c r="W16" s="14">
        <v>39504</v>
      </c>
      <c r="X16" s="14">
        <v>42004</v>
      </c>
      <c r="Y16" s="14">
        <v>45104</v>
      </c>
      <c r="Z16" s="14">
        <v>47504</v>
      </c>
      <c r="AA16" s="70">
        <v>50204</v>
      </c>
      <c r="AB16" s="70">
        <v>54460</v>
      </c>
      <c r="AC16" s="206">
        <v>58310</v>
      </c>
      <c r="AD16" s="1">
        <v>62710</v>
      </c>
      <c r="AE16" s="206">
        <v>68899.948999999993</v>
      </c>
      <c r="AF16" s="206">
        <v>73412.611999999994</v>
      </c>
      <c r="AG16" s="1">
        <v>62710115</v>
      </c>
      <c r="AH16" s="3">
        <f>AG16/1000</f>
        <v>62710.114999999998</v>
      </c>
      <c r="AK16" s="3">
        <v>68899949</v>
      </c>
      <c r="AL16" s="3">
        <f>AK16/1000</f>
        <v>68899.948999999993</v>
      </c>
      <c r="AN16" s="3">
        <v>73412612</v>
      </c>
      <c r="AO16" s="3">
        <f>AN16/1000</f>
        <v>73412.611999999994</v>
      </c>
      <c r="AQ16" s="3">
        <v>76412612</v>
      </c>
      <c r="AR16" s="3">
        <f>AQ16/1000</f>
        <v>76412.611999999994</v>
      </c>
      <c r="AT16" s="3">
        <v>80912612</v>
      </c>
      <c r="AU16" s="3">
        <f>AT16/1000</f>
        <v>80912.611999999994</v>
      </c>
      <c r="AW16" s="3">
        <v>85712612</v>
      </c>
      <c r="AX16" s="3">
        <f>AW16/1000</f>
        <v>85712.611999999994</v>
      </c>
      <c r="AZ16" s="3">
        <v>90378744</v>
      </c>
      <c r="BA16" s="3">
        <f>AZ16/1000</f>
        <v>90378.744000000006</v>
      </c>
      <c r="BB16" s="3">
        <v>95358284</v>
      </c>
      <c r="BC16" s="3">
        <f>BB16/1000</f>
        <v>95358.284</v>
      </c>
      <c r="BD16" s="3">
        <v>100658901.51000001</v>
      </c>
      <c r="BE16" s="3">
        <f>BD16/1000</f>
        <v>100658.90151000001</v>
      </c>
      <c r="BF16" s="272">
        <v>103615515</v>
      </c>
      <c r="BG16" s="3">
        <f>BF16/1000</f>
        <v>103615.515</v>
      </c>
      <c r="BH16" s="3">
        <v>105010110</v>
      </c>
      <c r="BI16" s="3">
        <f t="shared" si="7"/>
        <v>105010.11</v>
      </c>
      <c r="BJ16" s="3">
        <v>109059947</v>
      </c>
      <c r="BK16" s="3">
        <f t="shared" si="10"/>
        <v>109059.947</v>
      </c>
      <c r="BL16" s="3">
        <v>110284424</v>
      </c>
      <c r="BM16" s="3">
        <f t="shared" si="11"/>
        <v>110284.424</v>
      </c>
    </row>
    <row r="17" spans="1:65">
      <c r="L17" s="239"/>
      <c r="M17" s="239"/>
      <c r="N17" s="21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70"/>
      <c r="AB17" s="70"/>
      <c r="AC17" s="206"/>
      <c r="AE17" s="206"/>
      <c r="AF17" s="206"/>
      <c r="AG17" s="1"/>
      <c r="BF17" s="272"/>
    </row>
    <row r="18" spans="1:65">
      <c r="A18" s="1" t="s">
        <v>11</v>
      </c>
      <c r="B18" s="1">
        <v>10877</v>
      </c>
      <c r="C18" s="1">
        <v>10977</v>
      </c>
      <c r="D18" s="1">
        <v>11300</v>
      </c>
      <c r="E18" s="1">
        <v>11850</v>
      </c>
      <c r="F18" s="1">
        <v>12250</v>
      </c>
      <c r="G18" s="1">
        <v>12367.678</v>
      </c>
      <c r="H18" s="1">
        <v>12145.724</v>
      </c>
      <c r="I18" s="1">
        <v>12415.902</v>
      </c>
      <c r="J18" s="1">
        <v>12299.444</v>
      </c>
      <c r="K18" s="1">
        <v>13206.3045</v>
      </c>
      <c r="L18" s="239">
        <f t="shared" si="8"/>
        <v>7.3731828853401895</v>
      </c>
      <c r="M18" s="239">
        <f t="shared" si="9"/>
        <v>20.905199819937252</v>
      </c>
      <c r="N18" s="21">
        <v>4343</v>
      </c>
      <c r="O18" s="14">
        <v>4742</v>
      </c>
      <c r="P18" s="14">
        <v>5175</v>
      </c>
      <c r="Q18" s="14">
        <v>5627</v>
      </c>
      <c r="R18" s="14">
        <v>6238</v>
      </c>
      <c r="S18" s="14">
        <v>6812</v>
      </c>
      <c r="T18" s="14">
        <v>7712</v>
      </c>
      <c r="U18" s="14">
        <v>7662</v>
      </c>
      <c r="V18" s="14">
        <v>7662</v>
      </c>
      <c r="W18" s="14">
        <v>8912</v>
      </c>
      <c r="X18" s="14">
        <v>9582</v>
      </c>
      <c r="Y18" s="14">
        <v>9753</v>
      </c>
      <c r="Z18" s="14">
        <v>10049</v>
      </c>
      <c r="AA18" s="70">
        <v>10500</v>
      </c>
      <c r="AB18" s="70">
        <v>10698</v>
      </c>
      <c r="AC18" s="206">
        <v>10798</v>
      </c>
      <c r="AD18" s="1">
        <v>10798</v>
      </c>
      <c r="AE18" s="206">
        <v>10676.593999999999</v>
      </c>
      <c r="AF18" s="206">
        <v>10922.859</v>
      </c>
      <c r="AG18" s="1">
        <v>10797748</v>
      </c>
      <c r="AH18" s="3">
        <f>AG18/1000</f>
        <v>10797.748</v>
      </c>
      <c r="AK18" s="3">
        <v>10676594</v>
      </c>
      <c r="AL18" s="3">
        <f>AK18/1000</f>
        <v>10676.593999999999</v>
      </c>
      <c r="AN18" s="3">
        <v>10922859</v>
      </c>
      <c r="AO18" s="3">
        <f>AN18/1000</f>
        <v>10922.859</v>
      </c>
      <c r="AQ18" s="3">
        <v>10877114</v>
      </c>
      <c r="AR18" s="3">
        <f>AQ18/1000</f>
        <v>10877.114</v>
      </c>
      <c r="AT18" s="3">
        <v>10977114</v>
      </c>
      <c r="AU18" s="3">
        <f>AT18/1000</f>
        <v>10977.114</v>
      </c>
      <c r="AW18" s="3">
        <v>11300000</v>
      </c>
      <c r="AX18" s="3">
        <f>AW18/1000</f>
        <v>11300</v>
      </c>
      <c r="AZ18" s="3">
        <v>11850000</v>
      </c>
      <c r="BA18" s="3">
        <f>AZ18/1000</f>
        <v>11850</v>
      </c>
      <c r="BB18" s="3">
        <v>12250000</v>
      </c>
      <c r="BC18" s="3">
        <f>BB18/1000</f>
        <v>12250</v>
      </c>
      <c r="BD18" s="3">
        <v>12367678</v>
      </c>
      <c r="BE18" s="3">
        <f>BD18/1000</f>
        <v>12367.678</v>
      </c>
      <c r="BF18" s="160">
        <v>12145724</v>
      </c>
      <c r="BG18" s="3">
        <f>BF18/1000</f>
        <v>12145.724</v>
      </c>
      <c r="BH18" s="3">
        <v>12415902</v>
      </c>
      <c r="BI18" s="3">
        <f t="shared" ref="BI18:BI22" si="12">BH18/1000</f>
        <v>12415.902</v>
      </c>
      <c r="BJ18" s="3">
        <v>12299444</v>
      </c>
      <c r="BK18" s="3">
        <f>BJ18/1000</f>
        <v>12299.444</v>
      </c>
      <c r="BL18" s="3">
        <v>13206304.5</v>
      </c>
      <c r="BM18" s="3">
        <f t="shared" si="11"/>
        <v>13206.3045</v>
      </c>
    </row>
    <row r="19" spans="1:65">
      <c r="A19" s="1" t="s">
        <v>12</v>
      </c>
      <c r="B19" s="1">
        <v>119534</v>
      </c>
      <c r="C19" s="1">
        <v>126687</v>
      </c>
      <c r="D19" s="1">
        <v>135807</v>
      </c>
      <c r="E19" s="1">
        <v>144998.07199999999</v>
      </c>
      <c r="F19" s="1">
        <v>151107.35800000001</v>
      </c>
      <c r="G19" s="1">
        <v>164164.87599999999</v>
      </c>
      <c r="H19" s="1">
        <v>169601.29199999999</v>
      </c>
      <c r="I19" s="1">
        <v>166780.24400000001</v>
      </c>
      <c r="J19" s="1">
        <v>165372.09099999999</v>
      </c>
      <c r="K19" s="1">
        <v>170799.56400000001</v>
      </c>
      <c r="L19" s="239">
        <f t="shared" si="8"/>
        <v>3.281976400721708</v>
      </c>
      <c r="M19" s="239">
        <f t="shared" si="9"/>
        <v>51.382044932202348</v>
      </c>
      <c r="N19" s="21">
        <v>28139</v>
      </c>
      <c r="O19" s="14">
        <v>29808</v>
      </c>
      <c r="P19" s="14">
        <v>32002</v>
      </c>
      <c r="Q19" s="14">
        <v>36803</v>
      </c>
      <c r="R19" s="14">
        <v>43253</v>
      </c>
      <c r="S19" s="14">
        <v>48234</v>
      </c>
      <c r="T19" s="14">
        <v>54206</v>
      </c>
      <c r="U19" s="14">
        <v>55326</v>
      </c>
      <c r="V19" s="14">
        <v>56454</v>
      </c>
      <c r="W19" s="14">
        <v>64560</v>
      </c>
      <c r="X19" s="14">
        <v>73607</v>
      </c>
      <c r="Y19" s="14">
        <v>75801</v>
      </c>
      <c r="Z19" s="14">
        <v>78645</v>
      </c>
      <c r="AA19" s="70">
        <v>82337</v>
      </c>
      <c r="AB19" s="70">
        <v>89057</v>
      </c>
      <c r="AC19" s="206">
        <v>93528</v>
      </c>
      <c r="AD19" s="1">
        <v>99455</v>
      </c>
      <c r="AE19" s="206">
        <v>107234.647</v>
      </c>
      <c r="AF19" s="206">
        <v>112826.83100000001</v>
      </c>
      <c r="AG19" s="1">
        <v>99455133</v>
      </c>
      <c r="AH19" s="3">
        <f>AG19/1000</f>
        <v>99455.133000000002</v>
      </c>
      <c r="AK19" s="3">
        <v>107234647</v>
      </c>
      <c r="AL19" s="3">
        <f>AK19/1000</f>
        <v>107234.647</v>
      </c>
      <c r="AN19" s="3">
        <v>112826831</v>
      </c>
      <c r="AO19" s="3">
        <f>AN19/1000</f>
        <v>112826.83100000001</v>
      </c>
      <c r="AQ19" s="3">
        <v>119534398</v>
      </c>
      <c r="AR19" s="3">
        <f>AQ19/1000</f>
        <v>119534.398</v>
      </c>
      <c r="AT19" s="3">
        <v>126686908</v>
      </c>
      <c r="AU19" s="3">
        <f>AT19/1000</f>
        <v>126686.908</v>
      </c>
      <c r="AW19" s="3">
        <v>135806760</v>
      </c>
      <c r="AX19" s="3">
        <f>AW19/1000</f>
        <v>135806.76</v>
      </c>
      <c r="AZ19" s="3">
        <v>144998072</v>
      </c>
      <c r="BA19" s="3">
        <f>AZ19/1000</f>
        <v>144998.07199999999</v>
      </c>
      <c r="BB19" s="3">
        <v>151107358</v>
      </c>
      <c r="BC19" s="3">
        <f>BB19/1000</f>
        <v>151107.35800000001</v>
      </c>
      <c r="BD19" s="3">
        <v>164164876</v>
      </c>
      <c r="BE19" s="3">
        <f>BD19/1000</f>
        <v>164164.87599999999</v>
      </c>
      <c r="BF19" s="160">
        <v>169601292</v>
      </c>
      <c r="BG19" s="3">
        <f>BF19/1000</f>
        <v>169601.29199999999</v>
      </c>
      <c r="BH19" s="3">
        <v>166780244</v>
      </c>
      <c r="BI19" s="3">
        <f t="shared" si="12"/>
        <v>166780.24400000001</v>
      </c>
      <c r="BJ19" s="3">
        <v>165372091</v>
      </c>
      <c r="BK19" s="3">
        <f t="shared" ref="BK19:BK22" si="13">BJ19/1000</f>
        <v>165372.09099999999</v>
      </c>
      <c r="BL19" s="3">
        <v>170799564</v>
      </c>
      <c r="BM19" s="3">
        <f t="shared" si="11"/>
        <v>170799.56400000001</v>
      </c>
    </row>
    <row r="20" spans="1:65">
      <c r="A20" s="1" t="s">
        <v>13</v>
      </c>
      <c r="B20" s="1">
        <v>56090</v>
      </c>
      <c r="C20" s="1">
        <v>58709</v>
      </c>
      <c r="D20" s="1">
        <v>62229</v>
      </c>
      <c r="E20" s="1">
        <v>65715.09</v>
      </c>
      <c r="F20" s="1">
        <v>64435.161999999997</v>
      </c>
      <c r="G20" s="1">
        <v>69915.161999999997</v>
      </c>
      <c r="H20" s="1">
        <v>68385.625</v>
      </c>
      <c r="I20" s="1">
        <v>68350.618000000002</v>
      </c>
      <c r="J20" s="1">
        <v>67156.013999999996</v>
      </c>
      <c r="K20" s="1">
        <v>69615.832999999999</v>
      </c>
      <c r="L20" s="239">
        <f t="shared" si="8"/>
        <v>3.6628424670946123</v>
      </c>
      <c r="M20" s="239">
        <f t="shared" si="9"/>
        <v>28.955570553728009</v>
      </c>
      <c r="N20" s="21">
        <v>15416</v>
      </c>
      <c r="O20" s="14">
        <v>15902</v>
      </c>
      <c r="P20" s="14">
        <v>17194</v>
      </c>
      <c r="Q20" s="14">
        <v>18827</v>
      </c>
      <c r="R20" s="14">
        <v>21695</v>
      </c>
      <c r="S20" s="14">
        <v>24000</v>
      </c>
      <c r="T20" s="14">
        <v>27100</v>
      </c>
      <c r="U20" s="14">
        <v>28900</v>
      </c>
      <c r="V20" s="14">
        <v>26971</v>
      </c>
      <c r="W20" s="14">
        <v>32165</v>
      </c>
      <c r="X20" s="14">
        <v>35039</v>
      </c>
      <c r="Y20" s="14">
        <v>36057</v>
      </c>
      <c r="Z20" s="14">
        <v>36945</v>
      </c>
      <c r="AA20" s="70">
        <v>39107</v>
      </c>
      <c r="AB20" s="70">
        <v>42407</v>
      </c>
      <c r="AC20" s="206">
        <v>45407</v>
      </c>
      <c r="AD20" s="1">
        <v>48407</v>
      </c>
      <c r="AE20" s="206">
        <v>50884.355000000003</v>
      </c>
      <c r="AF20" s="206">
        <v>53984.355000000003</v>
      </c>
      <c r="AG20" s="1">
        <v>48407433</v>
      </c>
      <c r="AH20" s="3">
        <f>AG20/1000</f>
        <v>48407.432999999997</v>
      </c>
      <c r="AK20" s="3">
        <v>50884355</v>
      </c>
      <c r="AL20" s="3">
        <f>AK20/1000</f>
        <v>50884.355000000003</v>
      </c>
      <c r="AN20" s="3">
        <v>53984355</v>
      </c>
      <c r="AO20" s="3">
        <f>AN20/1000</f>
        <v>53984.355000000003</v>
      </c>
      <c r="AQ20" s="3">
        <v>56089930</v>
      </c>
      <c r="AR20" s="3">
        <f>AQ20/1000</f>
        <v>56089.93</v>
      </c>
      <c r="AT20" s="3">
        <v>58708711</v>
      </c>
      <c r="AU20" s="3">
        <f>AT20/1000</f>
        <v>58708.711000000003</v>
      </c>
      <c r="AW20" s="3">
        <v>62229000</v>
      </c>
      <c r="AX20" s="3">
        <f>AW20/1000</f>
        <v>62229</v>
      </c>
      <c r="AZ20" s="3">
        <v>65715090</v>
      </c>
      <c r="BA20" s="3">
        <f>AZ20/1000</f>
        <v>65715.09</v>
      </c>
      <c r="BB20" s="3">
        <v>64435162</v>
      </c>
      <c r="BC20" s="3">
        <f>BB20/1000</f>
        <v>64435.161999999997</v>
      </c>
      <c r="BD20" s="3">
        <v>69915162</v>
      </c>
      <c r="BE20" s="3">
        <f>BD20/1000</f>
        <v>69915.161999999997</v>
      </c>
      <c r="BF20" s="160">
        <v>68385625</v>
      </c>
      <c r="BG20" s="3">
        <f>BF20/1000</f>
        <v>68385.625</v>
      </c>
      <c r="BH20" s="3">
        <v>68350618</v>
      </c>
      <c r="BI20" s="3">
        <f t="shared" si="12"/>
        <v>68350.618000000002</v>
      </c>
      <c r="BJ20" s="3">
        <v>67156014</v>
      </c>
      <c r="BK20" s="3">
        <f t="shared" si="13"/>
        <v>67156.013999999996</v>
      </c>
      <c r="BL20" s="3">
        <v>69615833</v>
      </c>
      <c r="BM20" s="3">
        <f t="shared" si="11"/>
        <v>69615.832999999999</v>
      </c>
    </row>
    <row r="21" spans="1:65">
      <c r="A21" s="1" t="s">
        <v>14</v>
      </c>
      <c r="B21" s="1">
        <v>94944</v>
      </c>
      <c r="C21" s="1">
        <v>101794</v>
      </c>
      <c r="D21" s="1">
        <v>112217</v>
      </c>
      <c r="E21" s="1">
        <v>124006</v>
      </c>
      <c r="F21" s="1">
        <v>135856</v>
      </c>
      <c r="G21" s="1">
        <v>138466.10000999999</v>
      </c>
      <c r="H21" s="1">
        <v>145093.20000000001</v>
      </c>
      <c r="I21" s="1">
        <v>145296.6</v>
      </c>
      <c r="J21" s="1">
        <v>145620.70000000001</v>
      </c>
      <c r="K21" s="1">
        <v>153957.20000000001</v>
      </c>
      <c r="L21" s="239">
        <f t="shared" si="8"/>
        <v>5.7248042345628054</v>
      </c>
      <c r="M21" s="239">
        <f t="shared" si="9"/>
        <v>69.499452276493045</v>
      </c>
      <c r="N21" s="21">
        <v>22435</v>
      </c>
      <c r="O21" s="14">
        <v>24789</v>
      </c>
      <c r="P21" s="14">
        <v>27800</v>
      </c>
      <c r="Q21" s="14">
        <v>30243</v>
      </c>
      <c r="R21" s="14">
        <v>35314</v>
      </c>
      <c r="S21" s="14">
        <v>43163</v>
      </c>
      <c r="T21" s="14">
        <v>47580</v>
      </c>
      <c r="U21" s="14">
        <v>47393</v>
      </c>
      <c r="V21" s="14">
        <v>48162</v>
      </c>
      <c r="W21" s="14">
        <v>54068</v>
      </c>
      <c r="X21" s="14">
        <v>59050</v>
      </c>
      <c r="Y21" s="14">
        <v>59442</v>
      </c>
      <c r="Z21" s="14">
        <v>62828</v>
      </c>
      <c r="AA21" s="70">
        <v>65412</v>
      </c>
      <c r="AB21" s="70">
        <v>69459</v>
      </c>
      <c r="AC21" s="206">
        <v>76213</v>
      </c>
      <c r="AD21" s="1">
        <v>80960</v>
      </c>
      <c r="AE21" s="206">
        <v>85680.5</v>
      </c>
      <c r="AF21" s="206">
        <v>90830.5</v>
      </c>
      <c r="AG21" s="1">
        <v>80960100</v>
      </c>
      <c r="AH21" s="3">
        <f>AG21/1000</f>
        <v>80960.100000000006</v>
      </c>
      <c r="AK21" s="3">
        <v>85680500</v>
      </c>
      <c r="AL21" s="3">
        <f>AK21/1000</f>
        <v>85680.5</v>
      </c>
      <c r="AN21" s="3">
        <v>90830500</v>
      </c>
      <c r="AO21" s="3">
        <f>AN21/1000</f>
        <v>90830.5</v>
      </c>
      <c r="AQ21" s="3">
        <v>94944200</v>
      </c>
      <c r="AR21" s="3">
        <f>AQ21/1000</f>
        <v>94944.2</v>
      </c>
      <c r="AT21" s="3">
        <v>101794000</v>
      </c>
      <c r="AU21" s="3">
        <f>AT21/1000</f>
        <v>101794</v>
      </c>
      <c r="AW21" s="3">
        <v>112217000</v>
      </c>
      <c r="AX21" s="3">
        <f>AW21/1000</f>
        <v>112217</v>
      </c>
      <c r="AZ21" s="3">
        <v>124006000</v>
      </c>
      <c r="BA21" s="3">
        <f>AZ21/1000</f>
        <v>124006</v>
      </c>
      <c r="BB21" s="3">
        <v>135856000</v>
      </c>
      <c r="BC21" s="3">
        <f>BB21/1000</f>
        <v>135856</v>
      </c>
      <c r="BD21" s="3">
        <v>138466100.00999999</v>
      </c>
      <c r="BE21" s="3">
        <f>BD21/1000</f>
        <v>138466.10000999999</v>
      </c>
      <c r="BF21" s="160">
        <v>145093200</v>
      </c>
      <c r="BG21" s="3">
        <f>BF21/1000</f>
        <v>145093.20000000001</v>
      </c>
      <c r="BH21" s="3">
        <v>145296600</v>
      </c>
      <c r="BI21" s="3">
        <f t="shared" si="12"/>
        <v>145296.6</v>
      </c>
      <c r="BJ21" s="3">
        <v>145620700</v>
      </c>
      <c r="BK21" s="3">
        <f t="shared" si="13"/>
        <v>145620.70000000001</v>
      </c>
      <c r="BL21" s="3">
        <v>153957200</v>
      </c>
      <c r="BM21" s="3">
        <f t="shared" si="11"/>
        <v>153957.20000000001</v>
      </c>
    </row>
    <row r="22" spans="1:65">
      <c r="A22" s="1" t="s">
        <v>15</v>
      </c>
      <c r="B22" s="1">
        <v>15069</v>
      </c>
      <c r="C22" s="1">
        <v>15220</v>
      </c>
      <c r="D22" s="1">
        <v>15423</v>
      </c>
      <c r="E22" s="1">
        <v>16344.83</v>
      </c>
      <c r="F22" s="1">
        <v>16669.686000000002</v>
      </c>
      <c r="G22" s="1">
        <v>17473.3</v>
      </c>
      <c r="H22" s="1">
        <v>17034.816999999999</v>
      </c>
      <c r="I22" s="1">
        <v>17389.544999999998</v>
      </c>
      <c r="J22" s="1">
        <v>16481.887999999999</v>
      </c>
      <c r="K22" s="1">
        <v>17963.317999999999</v>
      </c>
      <c r="L22" s="239">
        <f t="shared" si="8"/>
        <v>8.988229989185708</v>
      </c>
      <c r="M22" s="239">
        <f t="shared" si="9"/>
        <v>19.200843594977531</v>
      </c>
      <c r="N22" s="21">
        <v>6592</v>
      </c>
      <c r="O22" s="14">
        <v>6742</v>
      </c>
      <c r="P22" s="14">
        <v>7100</v>
      </c>
      <c r="Q22" s="14">
        <v>7475</v>
      </c>
      <c r="R22" s="14">
        <v>7875</v>
      </c>
      <c r="S22" s="14">
        <v>8575</v>
      </c>
      <c r="T22" s="14">
        <v>9075</v>
      </c>
      <c r="U22" s="14">
        <v>8667</v>
      </c>
      <c r="V22" s="14">
        <v>8428</v>
      </c>
      <c r="W22" s="14">
        <v>9832</v>
      </c>
      <c r="X22" s="14">
        <v>10671</v>
      </c>
      <c r="Y22" s="14">
        <v>11322</v>
      </c>
      <c r="Z22" s="14">
        <v>12322</v>
      </c>
      <c r="AA22" s="70">
        <v>12866</v>
      </c>
      <c r="AB22" s="70">
        <v>12866</v>
      </c>
      <c r="AC22" s="206">
        <v>13766</v>
      </c>
      <c r="AD22" s="1">
        <v>14352</v>
      </c>
      <c r="AE22" s="206">
        <v>14358.371999999999</v>
      </c>
      <c r="AF22" s="206">
        <v>15069.790999999999</v>
      </c>
      <c r="AG22" s="1">
        <v>14352351</v>
      </c>
      <c r="AH22" s="3">
        <f>AG22/1000</f>
        <v>14352.351000000001</v>
      </c>
      <c r="AK22" s="3">
        <v>14358372</v>
      </c>
      <c r="AL22" s="3">
        <f>AK22/1000</f>
        <v>14358.371999999999</v>
      </c>
      <c r="AN22" s="3">
        <v>15069791</v>
      </c>
      <c r="AO22" s="3">
        <f>AN22/1000</f>
        <v>15069.790999999999</v>
      </c>
      <c r="AQ22" s="3">
        <v>15068779</v>
      </c>
      <c r="AR22" s="3">
        <f>AQ22/1000</f>
        <v>15068.779</v>
      </c>
      <c r="AT22" s="3">
        <v>15220189</v>
      </c>
      <c r="AU22" s="3">
        <f>AT22/1000</f>
        <v>15220.189</v>
      </c>
      <c r="AW22" s="3">
        <v>15422902</v>
      </c>
      <c r="AX22" s="3">
        <f>AW22/1000</f>
        <v>15422.902</v>
      </c>
      <c r="AZ22" s="3">
        <v>16344830</v>
      </c>
      <c r="BA22" s="3">
        <f>AZ22/1000</f>
        <v>16344.83</v>
      </c>
      <c r="BB22" s="3">
        <v>16669686</v>
      </c>
      <c r="BC22" s="3">
        <f>BB22/1000</f>
        <v>16669.686000000002</v>
      </c>
      <c r="BD22" s="3">
        <v>17473300</v>
      </c>
      <c r="BE22" s="3">
        <f>BD22/1000</f>
        <v>17473.3</v>
      </c>
      <c r="BF22" s="160">
        <v>17034817</v>
      </c>
      <c r="BG22" s="3">
        <f>BF22/1000</f>
        <v>17034.816999999999</v>
      </c>
      <c r="BH22" s="3">
        <v>17389545</v>
      </c>
      <c r="BI22" s="3">
        <f t="shared" si="12"/>
        <v>17389.544999999998</v>
      </c>
      <c r="BJ22" s="3">
        <v>16481888</v>
      </c>
      <c r="BK22" s="3">
        <f t="shared" si="13"/>
        <v>16481.887999999999</v>
      </c>
      <c r="BL22" s="3">
        <v>17963318</v>
      </c>
      <c r="BM22" s="3">
        <f t="shared" si="11"/>
        <v>17963.317999999999</v>
      </c>
    </row>
    <row r="23" spans="1:65">
      <c r="L23" s="239"/>
      <c r="M23" s="239"/>
      <c r="N23" s="21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70"/>
      <c r="AB23" s="70"/>
      <c r="AC23" s="206"/>
      <c r="AE23" s="206"/>
      <c r="AF23" s="206"/>
      <c r="AG23" s="1"/>
      <c r="BF23" s="272"/>
    </row>
    <row r="24" spans="1:65">
      <c r="A24" s="1" t="s">
        <v>16</v>
      </c>
      <c r="B24" s="1">
        <v>169944</v>
      </c>
      <c r="C24" s="1">
        <v>175506</v>
      </c>
      <c r="D24" s="1">
        <v>188695</v>
      </c>
      <c r="E24" s="1">
        <v>205597.12906000001</v>
      </c>
      <c r="F24" s="1">
        <v>228388.00722999999</v>
      </c>
      <c r="G24" s="1">
        <v>238250.80899000002</v>
      </c>
      <c r="H24" s="1">
        <v>221957.26500000001</v>
      </c>
      <c r="I24" s="1">
        <v>223501.99100000001</v>
      </c>
      <c r="J24" s="1">
        <v>230794.715</v>
      </c>
      <c r="K24" s="1">
        <v>224522.58799999999</v>
      </c>
      <c r="L24" s="239">
        <f t="shared" si="8"/>
        <v>-2.7176215885186141</v>
      </c>
      <c r="M24" s="239">
        <f t="shared" si="9"/>
        <v>42.47880888530306</v>
      </c>
      <c r="N24" s="21">
        <v>36804</v>
      </c>
      <c r="O24" s="14">
        <v>39349</v>
      </c>
      <c r="P24" s="14">
        <v>43737</v>
      </c>
      <c r="Q24" s="14">
        <v>47617</v>
      </c>
      <c r="R24" s="14">
        <v>55293</v>
      </c>
      <c r="S24" s="14">
        <v>63871</v>
      </c>
      <c r="T24" s="14">
        <v>70925</v>
      </c>
      <c r="U24" s="14">
        <v>75148</v>
      </c>
      <c r="V24" s="14">
        <v>73860</v>
      </c>
      <c r="W24" s="14">
        <v>84043</v>
      </c>
      <c r="X24" s="14">
        <v>93205</v>
      </c>
      <c r="Y24" s="14">
        <v>96790</v>
      </c>
      <c r="Z24" s="14">
        <v>100031</v>
      </c>
      <c r="AA24" s="70">
        <v>107305</v>
      </c>
      <c r="AB24" s="70">
        <v>113550</v>
      </c>
      <c r="AC24" s="206">
        <v>123625</v>
      </c>
      <c r="AD24" s="1">
        <v>137920</v>
      </c>
      <c r="AE24" s="206">
        <v>149616.4</v>
      </c>
      <c r="AF24" s="206">
        <v>157583.14499999999</v>
      </c>
      <c r="AG24" s="1">
        <v>137919649</v>
      </c>
      <c r="AH24" s="3">
        <f>AG24/1000</f>
        <v>137919.649</v>
      </c>
      <c r="AK24" s="3">
        <v>149616400</v>
      </c>
      <c r="AL24" s="3">
        <f>AK24/1000</f>
        <v>149616.4</v>
      </c>
      <c r="AN24" s="3">
        <v>157583145</v>
      </c>
      <c r="AO24" s="3">
        <f>AN24/1000</f>
        <v>157583.14499999999</v>
      </c>
      <c r="AQ24" s="3">
        <v>169943808</v>
      </c>
      <c r="AR24" s="3">
        <f>AQ24/1000</f>
        <v>169943.80799999999</v>
      </c>
      <c r="AT24" s="3">
        <v>175505761</v>
      </c>
      <c r="AU24" s="3">
        <f>AT24/1000</f>
        <v>175505.761</v>
      </c>
      <c r="AW24" s="3">
        <v>188694908</v>
      </c>
      <c r="AX24" s="3">
        <f>AW24/1000</f>
        <v>188694.908</v>
      </c>
      <c r="AZ24" s="3">
        <v>205597129.06</v>
      </c>
      <c r="BA24" s="3">
        <f>AZ24/1000</f>
        <v>205597.12906000001</v>
      </c>
      <c r="BB24" s="3">
        <v>228388007.22999999</v>
      </c>
      <c r="BC24" s="3">
        <f>BB24/1000</f>
        <v>228388.00722999999</v>
      </c>
      <c r="BD24" s="3">
        <v>238250808.99000001</v>
      </c>
      <c r="BE24" s="3">
        <f>BD24/1000</f>
        <v>238250.80899000002</v>
      </c>
      <c r="BF24" s="272">
        <v>221957265</v>
      </c>
      <c r="BG24" s="3">
        <f>BF24/1000</f>
        <v>221957.26500000001</v>
      </c>
      <c r="BH24" s="3">
        <v>223501991</v>
      </c>
      <c r="BI24" s="3">
        <f t="shared" ref="BI24:BI28" si="14">BH24/1000</f>
        <v>223501.99100000001</v>
      </c>
      <c r="BJ24" s="3">
        <v>230794715</v>
      </c>
      <c r="BK24" s="3">
        <f>BJ24/1000</f>
        <v>230794.715</v>
      </c>
      <c r="BL24" s="3">
        <v>224522588</v>
      </c>
      <c r="BM24" s="3">
        <f t="shared" si="11"/>
        <v>224522.58799999999</v>
      </c>
    </row>
    <row r="25" spans="1:65">
      <c r="A25" s="1" t="s">
        <v>17</v>
      </c>
      <c r="B25" s="1">
        <v>17590</v>
      </c>
      <c r="C25" s="1">
        <v>18375</v>
      </c>
      <c r="D25" s="1">
        <v>18830</v>
      </c>
      <c r="E25" s="1">
        <v>19161.10238</v>
      </c>
      <c r="F25" s="1">
        <v>21900.167980000002</v>
      </c>
      <c r="G25" s="1">
        <v>22773.73486</v>
      </c>
      <c r="H25" s="1">
        <v>23292.92914</v>
      </c>
      <c r="I25" s="1">
        <v>23386.980760000002</v>
      </c>
      <c r="J25" s="1">
        <v>24870.0661</v>
      </c>
      <c r="K25" s="1">
        <v>26042.36492</v>
      </c>
      <c r="L25" s="239">
        <f t="shared" si="8"/>
        <v>4.7136940259278202</v>
      </c>
      <c r="M25" s="239">
        <f t="shared" si="9"/>
        <v>66.087559608954166</v>
      </c>
      <c r="N25" s="21">
        <v>5223</v>
      </c>
      <c r="O25" s="14">
        <v>5744</v>
      </c>
      <c r="P25" s="14">
        <v>6152</v>
      </c>
      <c r="Q25" s="14">
        <v>6697</v>
      </c>
      <c r="R25" s="14">
        <v>7479</v>
      </c>
      <c r="S25" s="14">
        <v>8086</v>
      </c>
      <c r="T25" s="14">
        <v>9050</v>
      </c>
      <c r="U25" s="14">
        <v>8829</v>
      </c>
      <c r="V25" s="14">
        <v>8796</v>
      </c>
      <c r="W25" s="14">
        <v>10432</v>
      </c>
      <c r="X25" s="14">
        <v>10649</v>
      </c>
      <c r="Y25" s="14">
        <v>11382</v>
      </c>
      <c r="Z25" s="14">
        <v>11830</v>
      </c>
      <c r="AA25" s="70">
        <v>12068</v>
      </c>
      <c r="AB25" s="70">
        <v>12772</v>
      </c>
      <c r="AC25" s="206">
        <v>13537</v>
      </c>
      <c r="AD25" s="1">
        <v>14413</v>
      </c>
      <c r="AE25" s="206">
        <v>15118.404</v>
      </c>
      <c r="AF25" s="206">
        <v>15679.901</v>
      </c>
      <c r="AG25" s="1">
        <v>14413213</v>
      </c>
      <c r="AH25" s="3">
        <f>AG25/1000</f>
        <v>14413.213</v>
      </c>
      <c r="AK25" s="3">
        <v>15118404</v>
      </c>
      <c r="AL25" s="3">
        <f>AK25/1000</f>
        <v>15118.404</v>
      </c>
      <c r="AN25" s="3">
        <v>15679901</v>
      </c>
      <c r="AO25" s="3">
        <f>AN25/1000</f>
        <v>15679.901</v>
      </c>
      <c r="AQ25" s="3">
        <v>17590100</v>
      </c>
      <c r="AR25" s="3">
        <f>AQ25/1000</f>
        <v>17590.099999999999</v>
      </c>
      <c r="AT25" s="3">
        <v>18375339</v>
      </c>
      <c r="AU25" s="3">
        <f>AT25/1000</f>
        <v>18375.339</v>
      </c>
      <c r="AW25" s="3">
        <v>18830158</v>
      </c>
      <c r="AX25" s="3">
        <f>AW25/1000</f>
        <v>18830.157999999999</v>
      </c>
      <c r="AZ25" s="3">
        <v>19161102.379999999</v>
      </c>
      <c r="BA25" s="3">
        <f>AZ25/1000</f>
        <v>19161.10238</v>
      </c>
      <c r="BB25" s="3">
        <v>21900167.98</v>
      </c>
      <c r="BC25" s="3">
        <f>BB25/1000</f>
        <v>21900.167980000002</v>
      </c>
      <c r="BD25" s="3">
        <v>22773734.859999999</v>
      </c>
      <c r="BE25" s="3">
        <f>BD25/1000</f>
        <v>22773.73486</v>
      </c>
      <c r="BF25" s="272">
        <v>23292929.140000001</v>
      </c>
      <c r="BG25" s="3">
        <f>BF25/1000</f>
        <v>23292.92914</v>
      </c>
      <c r="BH25" s="3">
        <v>23386980.760000002</v>
      </c>
      <c r="BI25" s="3">
        <f t="shared" si="14"/>
        <v>23386.980760000002</v>
      </c>
      <c r="BJ25" s="3">
        <v>24870066.100000001</v>
      </c>
      <c r="BK25" s="3">
        <f t="shared" ref="BK25:BK28" si="15">BJ25/1000</f>
        <v>24870.0661</v>
      </c>
      <c r="BL25" s="3">
        <v>26042364.920000002</v>
      </c>
      <c r="BM25" s="3">
        <f t="shared" si="11"/>
        <v>26042.36492</v>
      </c>
    </row>
    <row r="26" spans="1:65">
      <c r="A26" s="1" t="s">
        <v>18</v>
      </c>
      <c r="B26" s="1">
        <v>148151</v>
      </c>
      <c r="C26" s="1">
        <v>154047</v>
      </c>
      <c r="D26" s="1">
        <v>175415</v>
      </c>
      <c r="E26" s="1">
        <v>189414.8</v>
      </c>
      <c r="F26" s="1">
        <v>199614.8</v>
      </c>
      <c r="G26" s="1">
        <v>206978.734</v>
      </c>
      <c r="H26" s="1">
        <v>210414.8</v>
      </c>
      <c r="I26" s="1">
        <v>211067.38800000001</v>
      </c>
      <c r="J26" s="1">
        <v>217782.34400000001</v>
      </c>
      <c r="K26" s="1">
        <v>219821.36799999999</v>
      </c>
      <c r="L26" s="239">
        <f t="shared" si="8"/>
        <v>0.93626689957932296</v>
      </c>
      <c r="M26" s="239">
        <f t="shared" si="9"/>
        <v>50.509904417151311</v>
      </c>
      <c r="N26" s="21">
        <v>39424</v>
      </c>
      <c r="O26" s="14">
        <v>41395</v>
      </c>
      <c r="P26" s="14">
        <v>44095</v>
      </c>
      <c r="Q26" s="14">
        <v>48781</v>
      </c>
      <c r="R26" s="14">
        <v>53982</v>
      </c>
      <c r="S26" s="14">
        <v>61348</v>
      </c>
      <c r="T26" s="14">
        <v>69881</v>
      </c>
      <c r="U26" s="14">
        <v>72176</v>
      </c>
      <c r="V26" s="14">
        <v>75363</v>
      </c>
      <c r="W26" s="14">
        <v>87500</v>
      </c>
      <c r="X26" s="14">
        <v>94418</v>
      </c>
      <c r="Y26" s="14">
        <v>101054</v>
      </c>
      <c r="Z26" s="14">
        <v>105082</v>
      </c>
      <c r="AA26" s="70">
        <v>109844</v>
      </c>
      <c r="AB26" s="70">
        <v>113800</v>
      </c>
      <c r="AC26" s="206">
        <v>119220</v>
      </c>
      <c r="AD26" s="1">
        <v>128102</v>
      </c>
      <c r="AE26" s="206">
        <v>138335.27900000001</v>
      </c>
      <c r="AF26" s="206">
        <v>146051.098</v>
      </c>
      <c r="AG26" s="1">
        <v>128102196</v>
      </c>
      <c r="AH26" s="3">
        <f>AG26/1000</f>
        <v>128102.196</v>
      </c>
      <c r="AK26" s="3">
        <v>138335279</v>
      </c>
      <c r="AL26" s="3">
        <f>AK26/1000</f>
        <v>138335.27900000001</v>
      </c>
      <c r="AN26" s="3">
        <v>146051098</v>
      </c>
      <c r="AO26" s="3">
        <f>AN26/1000</f>
        <v>146051.098</v>
      </c>
      <c r="AQ26" s="3">
        <v>148150510</v>
      </c>
      <c r="AR26" s="3">
        <f>AQ26/1000</f>
        <v>148150.51</v>
      </c>
      <c r="AT26" s="3">
        <v>154047408</v>
      </c>
      <c r="AU26" s="3">
        <f>AT26/1000</f>
        <v>154047.408</v>
      </c>
      <c r="AW26" s="3">
        <v>175414800</v>
      </c>
      <c r="AX26" s="3">
        <f>AW26/1000</f>
        <v>175414.8</v>
      </c>
      <c r="AZ26" s="3">
        <v>189414800</v>
      </c>
      <c r="BA26" s="3">
        <f>AZ26/1000</f>
        <v>189414.8</v>
      </c>
      <c r="BB26" s="3">
        <v>199614800</v>
      </c>
      <c r="BC26" s="3">
        <f>BB26/1000</f>
        <v>199614.8</v>
      </c>
      <c r="BD26" s="3">
        <v>206978734</v>
      </c>
      <c r="BE26" s="3">
        <f>BD26/1000</f>
        <v>206978.734</v>
      </c>
      <c r="BF26" s="272">
        <v>210414800</v>
      </c>
      <c r="BG26" s="3">
        <f>BF26/1000</f>
        <v>210414.8</v>
      </c>
      <c r="BH26" s="3">
        <v>211067388</v>
      </c>
      <c r="BI26" s="3">
        <f t="shared" si="14"/>
        <v>211067.38800000001</v>
      </c>
      <c r="BJ26" s="3">
        <v>217782344</v>
      </c>
      <c r="BK26" s="3">
        <f t="shared" si="15"/>
        <v>217782.34400000001</v>
      </c>
      <c r="BL26" s="3">
        <v>219821368</v>
      </c>
      <c r="BM26" s="3">
        <f t="shared" si="11"/>
        <v>219821.36799999999</v>
      </c>
    </row>
    <row r="27" spans="1:65">
      <c r="A27" s="1" t="s">
        <v>19</v>
      </c>
      <c r="B27" s="1">
        <v>310590</v>
      </c>
      <c r="C27" s="1">
        <v>334590</v>
      </c>
      <c r="D27" s="1">
        <v>362590</v>
      </c>
      <c r="E27" s="1">
        <v>393710.89</v>
      </c>
      <c r="F27" s="1">
        <v>427176.31599999999</v>
      </c>
      <c r="G27" s="1">
        <v>454794.61</v>
      </c>
      <c r="H27" s="1">
        <v>457560.424</v>
      </c>
      <c r="I27" s="1">
        <v>464708.788</v>
      </c>
      <c r="J27" s="1">
        <v>467617.04100000003</v>
      </c>
      <c r="K27" s="1">
        <v>482384.81800000003</v>
      </c>
      <c r="L27" s="239">
        <f t="shared" si="8"/>
        <v>3.1580921363385475</v>
      </c>
      <c r="M27" s="239">
        <f t="shared" si="9"/>
        <v>64.973757608303188</v>
      </c>
      <c r="N27" s="21">
        <v>61338</v>
      </c>
      <c r="O27" s="14">
        <v>69432</v>
      </c>
      <c r="P27" s="14">
        <v>78539</v>
      </c>
      <c r="Q27" s="14">
        <v>87763</v>
      </c>
      <c r="R27" s="14">
        <v>101938</v>
      </c>
      <c r="S27" s="14">
        <v>120731</v>
      </c>
      <c r="T27" s="14">
        <v>138467</v>
      </c>
      <c r="U27" s="14">
        <v>133648</v>
      </c>
      <c r="V27" s="14">
        <v>137530</v>
      </c>
      <c r="W27" s="14">
        <v>151842</v>
      </c>
      <c r="X27" s="14">
        <v>162340</v>
      </c>
      <c r="Y27" s="14">
        <v>170840</v>
      </c>
      <c r="Z27" s="14">
        <v>177425</v>
      </c>
      <c r="AA27" s="70">
        <v>184605</v>
      </c>
      <c r="AB27" s="70">
        <v>199129</v>
      </c>
      <c r="AC27" s="206">
        <v>220800</v>
      </c>
      <c r="AD27" s="1">
        <v>248277</v>
      </c>
      <c r="AE27" s="206">
        <v>274540.34000000003</v>
      </c>
      <c r="AF27" s="206">
        <v>292400.94</v>
      </c>
      <c r="AG27" s="1">
        <v>248277270</v>
      </c>
      <c r="AH27" s="3">
        <f>AG27/1000</f>
        <v>248277.27</v>
      </c>
      <c r="AK27" s="3">
        <v>274540340</v>
      </c>
      <c r="AL27" s="3">
        <f>AK27/1000</f>
        <v>274540.34000000003</v>
      </c>
      <c r="AN27" s="3">
        <v>292400940</v>
      </c>
      <c r="AO27" s="3">
        <f>AN27/1000</f>
        <v>292400.94</v>
      </c>
      <c r="AQ27" s="3">
        <v>310590015</v>
      </c>
      <c r="AR27" s="3">
        <f>AQ27/1000</f>
        <v>310590.01500000001</v>
      </c>
      <c r="AT27" s="3">
        <v>334589915</v>
      </c>
      <c r="AU27" s="3">
        <f>AT27/1000</f>
        <v>334589.91499999998</v>
      </c>
      <c r="AW27" s="3">
        <v>362590015</v>
      </c>
      <c r="AX27" s="3">
        <f>AW27/1000</f>
        <v>362590.01500000001</v>
      </c>
      <c r="AZ27" s="3">
        <v>393710890</v>
      </c>
      <c r="BA27" s="3">
        <f>AZ27/1000</f>
        <v>393710.89</v>
      </c>
      <c r="BB27" s="3">
        <v>427176316</v>
      </c>
      <c r="BC27" s="3">
        <f>BB27/1000</f>
        <v>427176.31599999999</v>
      </c>
      <c r="BD27" s="3">
        <v>454794610</v>
      </c>
      <c r="BE27" s="3">
        <f>BD27/1000</f>
        <v>454794.61</v>
      </c>
      <c r="BF27" s="272">
        <v>457560424</v>
      </c>
      <c r="BG27" s="3">
        <f>BF27/1000</f>
        <v>457560.424</v>
      </c>
      <c r="BH27" s="3">
        <v>464708788</v>
      </c>
      <c r="BI27" s="3">
        <f t="shared" si="14"/>
        <v>464708.788</v>
      </c>
      <c r="BJ27" s="3">
        <v>467617041</v>
      </c>
      <c r="BK27" s="3">
        <f t="shared" si="15"/>
        <v>467617.04100000003</v>
      </c>
      <c r="BL27" s="3">
        <v>482384818</v>
      </c>
      <c r="BM27" s="3">
        <f t="shared" si="11"/>
        <v>482384.81800000003</v>
      </c>
    </row>
    <row r="28" spans="1:65">
      <c r="A28" s="1" t="s">
        <v>20</v>
      </c>
      <c r="B28" s="1">
        <v>13125</v>
      </c>
      <c r="C28" s="1">
        <v>13742</v>
      </c>
      <c r="D28" s="1">
        <v>14276</v>
      </c>
      <c r="E28" s="1">
        <v>15174.8</v>
      </c>
      <c r="F28" s="1">
        <v>16217</v>
      </c>
      <c r="G28" s="1">
        <v>17217</v>
      </c>
      <c r="H28" s="1">
        <v>17194.705999999998</v>
      </c>
      <c r="I28" s="1">
        <v>17119.319</v>
      </c>
      <c r="J28" s="1">
        <v>16128.111999999999</v>
      </c>
      <c r="K28" s="1">
        <v>17362.758000000002</v>
      </c>
      <c r="L28" s="239">
        <f t="shared" si="8"/>
        <v>7.6552419774862823</v>
      </c>
      <c r="M28" s="239">
        <f t="shared" si="9"/>
        <v>29.215212972158792</v>
      </c>
      <c r="N28" s="21">
        <v>3995</v>
      </c>
      <c r="O28" s="14">
        <v>4356</v>
      </c>
      <c r="P28" s="14">
        <v>4956</v>
      </c>
      <c r="Q28" s="14">
        <v>5211</v>
      </c>
      <c r="R28" s="14">
        <v>6611</v>
      </c>
      <c r="S28" s="14">
        <v>7126</v>
      </c>
      <c r="T28" s="14">
        <v>7397</v>
      </c>
      <c r="U28" s="14">
        <v>7139</v>
      </c>
      <c r="V28" s="14">
        <v>7542</v>
      </c>
      <c r="W28" s="14">
        <v>9033</v>
      </c>
      <c r="X28" s="205">
        <v>9874</v>
      </c>
      <c r="Y28" s="14">
        <v>10110</v>
      </c>
      <c r="Z28" s="14">
        <v>10368</v>
      </c>
      <c r="AA28" s="70">
        <v>10790</v>
      </c>
      <c r="AB28" s="70">
        <v>11090</v>
      </c>
      <c r="AC28" s="206">
        <v>11537</v>
      </c>
      <c r="AD28" s="1">
        <v>12492</v>
      </c>
      <c r="AE28" s="206">
        <v>13484.252</v>
      </c>
      <c r="AF28" s="206">
        <v>13437.084999999999</v>
      </c>
      <c r="AG28" s="1">
        <v>12491694</v>
      </c>
      <c r="AH28" s="3">
        <f>AG28/1000</f>
        <v>12491.694</v>
      </c>
      <c r="AK28" s="3">
        <v>13484252</v>
      </c>
      <c r="AL28" s="3">
        <f>AK28/1000</f>
        <v>13484.252</v>
      </c>
      <c r="AN28" s="3">
        <v>13437085</v>
      </c>
      <c r="AO28" s="3">
        <f>AN28/1000</f>
        <v>13437.084999999999</v>
      </c>
      <c r="AQ28" s="3">
        <v>13124906</v>
      </c>
      <c r="AR28" s="3">
        <f>AQ28/1000</f>
        <v>13124.906000000001</v>
      </c>
      <c r="AT28" s="3">
        <v>13741730</v>
      </c>
      <c r="AU28" s="3">
        <f>AT28/1000</f>
        <v>13741.73</v>
      </c>
      <c r="AW28" s="3">
        <v>14275613</v>
      </c>
      <c r="AX28" s="3">
        <f>AW28/1000</f>
        <v>14275.612999999999</v>
      </c>
      <c r="AZ28" s="3">
        <v>15174800</v>
      </c>
      <c r="BA28" s="3">
        <f>AZ28/1000</f>
        <v>15174.8</v>
      </c>
      <c r="BB28" s="3">
        <v>16217000</v>
      </c>
      <c r="BC28" s="3">
        <f>BB28/1000</f>
        <v>16217</v>
      </c>
      <c r="BD28" s="3">
        <v>17217000</v>
      </c>
      <c r="BE28" s="3">
        <f>BD28/1000</f>
        <v>17217</v>
      </c>
      <c r="BF28" s="272">
        <v>17194706</v>
      </c>
      <c r="BG28" s="3">
        <f>BF28/1000</f>
        <v>17194.705999999998</v>
      </c>
      <c r="BH28" s="3">
        <v>17119319</v>
      </c>
      <c r="BI28" s="3">
        <f t="shared" si="14"/>
        <v>17119.319</v>
      </c>
      <c r="BJ28" s="3">
        <v>16128112</v>
      </c>
      <c r="BK28" s="3">
        <f t="shared" si="15"/>
        <v>16128.111999999999</v>
      </c>
      <c r="BL28" s="3">
        <v>17362758</v>
      </c>
      <c r="BM28" s="3">
        <f t="shared" si="11"/>
        <v>17362.758000000002</v>
      </c>
    </row>
    <row r="29" spans="1:65">
      <c r="L29" s="239"/>
      <c r="M29" s="239"/>
      <c r="N29" s="21"/>
      <c r="O29" s="14"/>
      <c r="P29" s="14"/>
      <c r="Q29" s="14"/>
      <c r="R29" s="14"/>
      <c r="S29" s="14"/>
      <c r="T29" s="14"/>
      <c r="U29" s="14"/>
      <c r="V29" s="14"/>
      <c r="W29" s="14"/>
      <c r="X29" s="204"/>
      <c r="Y29" s="14"/>
      <c r="Z29" s="14"/>
      <c r="AA29" s="70"/>
      <c r="AB29" s="70"/>
      <c r="AC29" s="206"/>
      <c r="AE29" s="206"/>
      <c r="AF29" s="206"/>
      <c r="AG29" s="1"/>
      <c r="BF29" s="272"/>
    </row>
    <row r="30" spans="1:65">
      <c r="A30" s="1" t="s">
        <v>21</v>
      </c>
      <c r="B30" s="1">
        <v>1132070</v>
      </c>
      <c r="C30" s="1">
        <v>1210596</v>
      </c>
      <c r="D30" s="1">
        <v>1283070</v>
      </c>
      <c r="E30" s="1">
        <v>1381701.4148900001</v>
      </c>
      <c r="F30" s="1">
        <v>1449834.862</v>
      </c>
      <c r="G30" s="1">
        <v>1513763.86048</v>
      </c>
      <c r="H30" s="1">
        <v>1428500.9697700001</v>
      </c>
      <c r="I30" s="1">
        <v>1415260.32064</v>
      </c>
      <c r="J30" s="1">
        <v>1370271.3922899999</v>
      </c>
      <c r="K30" s="1">
        <v>1419639.4509999999</v>
      </c>
      <c r="L30" s="239">
        <f t="shared" si="8"/>
        <v>3.6027942338850139</v>
      </c>
      <c r="M30" s="239">
        <f t="shared" si="9"/>
        <v>33.276294147920943</v>
      </c>
      <c r="N30" s="21">
        <v>330035</v>
      </c>
      <c r="O30" s="14">
        <v>361632</v>
      </c>
      <c r="P30" s="14">
        <v>398053</v>
      </c>
      <c r="Q30" s="14">
        <v>434583</v>
      </c>
      <c r="R30" s="14">
        <v>488064</v>
      </c>
      <c r="S30" s="14">
        <v>545378</v>
      </c>
      <c r="T30" s="14">
        <v>601408</v>
      </c>
      <c r="U30" s="14">
        <v>603605</v>
      </c>
      <c r="V30" s="14">
        <v>622469</v>
      </c>
      <c r="W30" s="14">
        <v>666176</v>
      </c>
      <c r="X30" s="204">
        <v>694727</v>
      </c>
      <c r="Y30" s="14">
        <v>718687</v>
      </c>
      <c r="Z30" s="14">
        <v>740909</v>
      </c>
      <c r="AA30" s="70">
        <v>775813</v>
      </c>
      <c r="AB30" s="70">
        <v>821457</v>
      </c>
      <c r="AC30" s="206">
        <v>872189</v>
      </c>
      <c r="AD30" s="1">
        <v>959722</v>
      </c>
      <c r="AE30" s="206">
        <v>1030002.553</v>
      </c>
      <c r="AF30" s="206">
        <v>1065185.2679999999</v>
      </c>
      <c r="AG30" s="1">
        <v>959722321</v>
      </c>
      <c r="AH30" s="3">
        <f>AG30/1000</f>
        <v>959722.321</v>
      </c>
      <c r="AK30" s="3">
        <v>1030002553</v>
      </c>
      <c r="AL30" s="3">
        <f>AK30/1000</f>
        <v>1030002.553</v>
      </c>
      <c r="AN30" s="3">
        <v>1065185268</v>
      </c>
      <c r="AO30" s="3">
        <f>AN30/1000</f>
        <v>1065185.2679999999</v>
      </c>
      <c r="AQ30" s="3">
        <v>1132069738</v>
      </c>
      <c r="AR30" s="3">
        <f>AQ30/1000</f>
        <v>1132069.7379999999</v>
      </c>
      <c r="AT30" s="3">
        <v>1210596321</v>
      </c>
      <c r="AU30" s="3">
        <f>AT30/1000</f>
        <v>1210596.321</v>
      </c>
      <c r="AW30" s="3">
        <v>1283070185</v>
      </c>
      <c r="AX30" s="3">
        <f>AW30/1000</f>
        <v>1283070.1850000001</v>
      </c>
      <c r="AZ30" s="3">
        <v>1381701414.8900001</v>
      </c>
      <c r="BA30" s="3">
        <f>AZ30/1000</f>
        <v>1381701.4148900001</v>
      </c>
      <c r="BB30" s="3">
        <v>1449834862</v>
      </c>
      <c r="BC30" s="3">
        <f>BB30/1000</f>
        <v>1449834.862</v>
      </c>
      <c r="BD30" s="3">
        <v>1513763860.48</v>
      </c>
      <c r="BE30" s="3">
        <f>BD30/1000</f>
        <v>1513763.86048</v>
      </c>
      <c r="BF30" s="272">
        <v>1428500969.77</v>
      </c>
      <c r="BG30" s="3">
        <f>BF30/1000</f>
        <v>1428500.9697700001</v>
      </c>
      <c r="BH30" s="3">
        <v>1415260320.6400001</v>
      </c>
      <c r="BI30" s="3">
        <f t="shared" ref="BI30:BI34" si="16">BH30/1000</f>
        <v>1415260.32064</v>
      </c>
      <c r="BJ30" s="3">
        <v>1370271392.29</v>
      </c>
      <c r="BK30" s="3">
        <f>BJ30/1000</f>
        <v>1370271.3922899999</v>
      </c>
      <c r="BL30" s="3">
        <v>1419639451</v>
      </c>
      <c r="BM30" s="3">
        <f t="shared" si="11"/>
        <v>1419639.4509999999</v>
      </c>
    </row>
    <row r="31" spans="1:65">
      <c r="A31" s="1" t="s">
        <v>22</v>
      </c>
      <c r="B31" s="1">
        <v>527648</v>
      </c>
      <c r="C31" s="1">
        <v>548084</v>
      </c>
      <c r="D31" s="1">
        <v>522227</v>
      </c>
      <c r="E31" s="1">
        <v>591196.33439999993</v>
      </c>
      <c r="F31" s="1">
        <v>584463.22618</v>
      </c>
      <c r="G31" s="1">
        <v>594493.21180999989</v>
      </c>
      <c r="H31" s="1">
        <v>616311.97604999994</v>
      </c>
      <c r="I31" s="1">
        <v>598152.97573000006</v>
      </c>
      <c r="J31" s="1">
        <v>598027.88478999992</v>
      </c>
      <c r="K31" s="1">
        <v>633292.01912999991</v>
      </c>
      <c r="L31" s="239">
        <f t="shared" si="8"/>
        <v>5.8967374660770444</v>
      </c>
      <c r="M31" s="239">
        <f t="shared" si="9"/>
        <v>26.562506908265558</v>
      </c>
      <c r="N31" s="21">
        <v>191107</v>
      </c>
      <c r="O31" s="14">
        <v>209385</v>
      </c>
      <c r="P31" s="14">
        <v>227674</v>
      </c>
      <c r="Q31" s="14">
        <v>253843</v>
      </c>
      <c r="R31" s="14">
        <v>265954</v>
      </c>
      <c r="S31" s="14">
        <v>294038</v>
      </c>
      <c r="T31" s="14">
        <v>319301</v>
      </c>
      <c r="U31" s="14">
        <v>307939</v>
      </c>
      <c r="V31" s="14">
        <v>315662</v>
      </c>
      <c r="W31" s="14">
        <v>349164</v>
      </c>
      <c r="X31" s="204">
        <v>376988</v>
      </c>
      <c r="Y31" s="14">
        <v>385470</v>
      </c>
      <c r="Z31" s="14">
        <v>398605</v>
      </c>
      <c r="AA31" s="70">
        <v>408086</v>
      </c>
      <c r="AB31" s="70">
        <v>422402</v>
      </c>
      <c r="AC31" s="206">
        <v>437615</v>
      </c>
      <c r="AD31" s="1">
        <v>453301</v>
      </c>
      <c r="AE31" s="206">
        <v>468355.88699999999</v>
      </c>
      <c r="AF31" s="206">
        <v>500378.85200000001</v>
      </c>
      <c r="AG31" s="1">
        <v>453301306</v>
      </c>
      <c r="AH31" s="3">
        <f>AG31/1000</f>
        <v>453301.30599999998</v>
      </c>
      <c r="AK31" s="3">
        <v>468355887</v>
      </c>
      <c r="AL31" s="3">
        <f>AK31/1000</f>
        <v>468355.88699999999</v>
      </c>
      <c r="AN31" s="3">
        <v>500378852</v>
      </c>
      <c r="AO31" s="3">
        <f>AN31/1000</f>
        <v>500378.85200000001</v>
      </c>
      <c r="AQ31" s="3">
        <v>527648158</v>
      </c>
      <c r="AR31" s="3">
        <f>AQ31/1000</f>
        <v>527648.15800000005</v>
      </c>
      <c r="AT31" s="3">
        <v>548083713</v>
      </c>
      <c r="AU31" s="3">
        <f>AT31/1000</f>
        <v>548083.71299999999</v>
      </c>
      <c r="AW31" s="3">
        <v>522227299</v>
      </c>
      <c r="AX31" s="3">
        <f>AW31/1000</f>
        <v>522227.299</v>
      </c>
      <c r="AZ31" s="3">
        <v>591196334.39999998</v>
      </c>
      <c r="BA31" s="3">
        <f>AZ31/1000</f>
        <v>591196.33439999993</v>
      </c>
      <c r="BB31" s="3">
        <v>584463226.17999995</v>
      </c>
      <c r="BC31" s="3">
        <f>BB31/1000</f>
        <v>584463.22618</v>
      </c>
      <c r="BD31" s="3">
        <v>594493211.80999994</v>
      </c>
      <c r="BE31" s="3">
        <f>BD31/1000</f>
        <v>594493.21180999989</v>
      </c>
      <c r="BF31" s="272">
        <v>616311976.04999995</v>
      </c>
      <c r="BG31" s="3">
        <f>BF31/1000</f>
        <v>616311.97604999994</v>
      </c>
      <c r="BH31" s="3">
        <v>598152975.73000002</v>
      </c>
      <c r="BI31" s="3">
        <f t="shared" si="16"/>
        <v>598152.97573000006</v>
      </c>
      <c r="BJ31" s="3">
        <v>598027884.78999996</v>
      </c>
      <c r="BK31" s="3">
        <f t="shared" ref="BK31:BK34" si="17">BJ31/1000</f>
        <v>598027.88478999992</v>
      </c>
      <c r="BL31" s="3">
        <v>633292019.12999988</v>
      </c>
      <c r="BM31" s="3">
        <f t="shared" si="11"/>
        <v>633292.01912999991</v>
      </c>
    </row>
    <row r="32" spans="1:65">
      <c r="A32" s="1" t="s">
        <v>23</v>
      </c>
      <c r="B32" s="1">
        <v>35007</v>
      </c>
      <c r="C32" s="1">
        <v>36587</v>
      </c>
      <c r="D32" s="1">
        <v>38174</v>
      </c>
      <c r="E32" s="1">
        <v>39940.413</v>
      </c>
      <c r="F32" s="1">
        <v>43940.413</v>
      </c>
      <c r="G32" s="1">
        <v>47176.25</v>
      </c>
      <c r="H32" s="1">
        <v>47465.625</v>
      </c>
      <c r="I32" s="1">
        <v>47957.462</v>
      </c>
      <c r="J32" s="1">
        <v>43528.031999999999</v>
      </c>
      <c r="K32" s="1">
        <v>44860.050999999999</v>
      </c>
      <c r="L32" s="239">
        <f t="shared" si="8"/>
        <v>3.0601406468365036</v>
      </c>
      <c r="M32" s="239">
        <f t="shared" si="9"/>
        <v>36.946257019746945</v>
      </c>
      <c r="N32" s="21">
        <v>7597</v>
      </c>
      <c r="O32" s="14">
        <v>8874</v>
      </c>
      <c r="P32" s="14">
        <v>10206</v>
      </c>
      <c r="Q32" s="14">
        <v>10812</v>
      </c>
      <c r="R32" s="14">
        <v>11500</v>
      </c>
      <c r="S32" s="14">
        <v>13150</v>
      </c>
      <c r="T32" s="14">
        <v>15600</v>
      </c>
      <c r="U32" s="14">
        <v>16845</v>
      </c>
      <c r="V32" s="14">
        <v>16912</v>
      </c>
      <c r="W32" s="14">
        <v>18530</v>
      </c>
      <c r="X32" s="204">
        <v>20192</v>
      </c>
      <c r="Y32" s="14">
        <v>20730</v>
      </c>
      <c r="Z32" s="14">
        <v>21929</v>
      </c>
      <c r="AA32" s="70">
        <v>22607</v>
      </c>
      <c r="AB32" s="70">
        <v>25707</v>
      </c>
      <c r="AC32" s="206">
        <v>27058</v>
      </c>
      <c r="AD32" s="1">
        <v>29258</v>
      </c>
      <c r="AE32" s="206">
        <v>30978.413</v>
      </c>
      <c r="AF32" s="206">
        <v>32757.413</v>
      </c>
      <c r="AG32" s="1">
        <v>29257534</v>
      </c>
      <c r="AH32" s="3">
        <f>AG32/1000</f>
        <v>29257.534</v>
      </c>
      <c r="AK32" s="3">
        <v>30978413</v>
      </c>
      <c r="AL32" s="3">
        <f>AK32/1000</f>
        <v>30978.413</v>
      </c>
      <c r="AN32" s="3">
        <v>32757413</v>
      </c>
      <c r="AO32" s="3">
        <f>AN32/1000</f>
        <v>32757.413</v>
      </c>
      <c r="AQ32" s="3">
        <v>35007413</v>
      </c>
      <c r="AR32" s="3">
        <f>AQ32/1000</f>
        <v>35007.413</v>
      </c>
      <c r="AT32" s="3">
        <v>36587413</v>
      </c>
      <c r="AU32" s="3">
        <f>AT32/1000</f>
        <v>36587.413</v>
      </c>
      <c r="AW32" s="3">
        <v>38174413</v>
      </c>
      <c r="AX32" s="3">
        <f>AW32/1000</f>
        <v>38174.413</v>
      </c>
      <c r="AZ32" s="3">
        <v>39940413</v>
      </c>
      <c r="BA32" s="3">
        <f>AZ32/1000</f>
        <v>39940.413</v>
      </c>
      <c r="BB32" s="3">
        <v>43940413</v>
      </c>
      <c r="BC32" s="3">
        <f>BB32/1000</f>
        <v>43940.413</v>
      </c>
      <c r="BD32" s="3">
        <v>47176250</v>
      </c>
      <c r="BE32" s="3">
        <f>BD32/1000</f>
        <v>47176.25</v>
      </c>
      <c r="BF32" s="272">
        <v>47465625</v>
      </c>
      <c r="BG32" s="3">
        <f>BF32/1000</f>
        <v>47465.625</v>
      </c>
      <c r="BH32" s="3">
        <v>47957462</v>
      </c>
      <c r="BI32" s="3">
        <f t="shared" si="16"/>
        <v>47957.462</v>
      </c>
      <c r="BJ32" s="3">
        <v>43528032</v>
      </c>
      <c r="BK32" s="3">
        <f t="shared" si="17"/>
        <v>43528.031999999999</v>
      </c>
      <c r="BL32" s="3">
        <v>44860051</v>
      </c>
      <c r="BM32" s="3">
        <f t="shared" si="11"/>
        <v>44860.050999999999</v>
      </c>
    </row>
    <row r="33" spans="1:65">
      <c r="A33" s="1" t="s">
        <v>24</v>
      </c>
      <c r="B33" s="1">
        <v>56215</v>
      </c>
      <c r="C33" s="1">
        <v>58900</v>
      </c>
      <c r="D33" s="1">
        <v>62634</v>
      </c>
      <c r="E33" s="1">
        <v>67811.487999999998</v>
      </c>
      <c r="F33" s="1">
        <v>76000</v>
      </c>
      <c r="G33" s="1">
        <v>80138.191999999995</v>
      </c>
      <c r="H33" s="1">
        <v>79195.101999999999</v>
      </c>
      <c r="I33" s="1">
        <v>76000</v>
      </c>
      <c r="J33" s="1">
        <v>77045.86</v>
      </c>
      <c r="K33" s="1">
        <v>85757.054439999993</v>
      </c>
      <c r="L33" s="239">
        <f t="shared" si="8"/>
        <v>11.306505553964861</v>
      </c>
      <c r="M33" s="239">
        <f t="shared" si="9"/>
        <v>57.252228126616224</v>
      </c>
      <c r="N33" s="21">
        <v>15066</v>
      </c>
      <c r="O33" s="14">
        <v>15808</v>
      </c>
      <c r="P33" s="14">
        <v>17774</v>
      </c>
      <c r="Q33" s="14">
        <v>20036</v>
      </c>
      <c r="R33" s="14">
        <v>22026</v>
      </c>
      <c r="S33" s="14">
        <v>23676</v>
      </c>
      <c r="T33" s="14">
        <v>26829</v>
      </c>
      <c r="U33" s="14">
        <v>30075</v>
      </c>
      <c r="V33" s="14">
        <v>29595</v>
      </c>
      <c r="W33" s="14">
        <v>32329</v>
      </c>
      <c r="X33" s="14">
        <v>36252</v>
      </c>
      <c r="Y33" s="14">
        <v>36256</v>
      </c>
      <c r="Z33" s="14">
        <v>38631</v>
      </c>
      <c r="AA33" s="70">
        <v>40060</v>
      </c>
      <c r="AB33" s="70">
        <v>42888</v>
      </c>
      <c r="AC33" s="206">
        <v>46460</v>
      </c>
      <c r="AD33" s="1">
        <v>49691</v>
      </c>
      <c r="AE33" s="206">
        <v>52520.214999999997</v>
      </c>
      <c r="AF33" s="206">
        <v>54534.714999999997</v>
      </c>
      <c r="AG33" s="1">
        <v>49690740</v>
      </c>
      <c r="AH33" s="3">
        <f>AG33/1000</f>
        <v>49690.74</v>
      </c>
      <c r="AK33" s="3">
        <v>52520215</v>
      </c>
      <c r="AL33" s="3">
        <f>AK33/1000</f>
        <v>52520.214999999997</v>
      </c>
      <c r="AN33" s="3">
        <v>54534715</v>
      </c>
      <c r="AO33" s="3">
        <f>AN33/1000</f>
        <v>54534.714999999997</v>
      </c>
      <c r="AQ33" s="3">
        <v>56214697</v>
      </c>
      <c r="AR33" s="3">
        <f>AQ33/1000</f>
        <v>56214.697</v>
      </c>
      <c r="AT33" s="3">
        <v>58900000</v>
      </c>
      <c r="AU33" s="3">
        <f>AT33/1000</f>
        <v>58900</v>
      </c>
      <c r="AW33" s="3">
        <v>62634224</v>
      </c>
      <c r="AX33" s="3">
        <f>AW33/1000</f>
        <v>62634.224000000002</v>
      </c>
      <c r="AZ33" s="3">
        <v>67811488</v>
      </c>
      <c r="BA33" s="3">
        <f>AZ33/1000</f>
        <v>67811.487999999998</v>
      </c>
      <c r="BB33" s="3">
        <v>76000000</v>
      </c>
      <c r="BC33" s="3">
        <f>BB33/1000</f>
        <v>76000</v>
      </c>
      <c r="BD33" s="3">
        <v>80138192</v>
      </c>
      <c r="BE33" s="3">
        <f>BD33/1000</f>
        <v>80138.191999999995</v>
      </c>
      <c r="BF33" s="272">
        <v>79195102</v>
      </c>
      <c r="BG33" s="3">
        <f>BF33/1000</f>
        <v>79195.101999999999</v>
      </c>
      <c r="BH33" s="3">
        <v>76000000</v>
      </c>
      <c r="BI33" s="3">
        <f t="shared" si="16"/>
        <v>76000</v>
      </c>
      <c r="BJ33" s="3">
        <v>77045860</v>
      </c>
      <c r="BK33" s="3">
        <f t="shared" si="17"/>
        <v>77045.86</v>
      </c>
      <c r="BL33" s="3">
        <v>85757054.439999998</v>
      </c>
      <c r="BM33" s="3">
        <f t="shared" si="11"/>
        <v>85757.054439999993</v>
      </c>
    </row>
    <row r="34" spans="1:65">
      <c r="A34" s="1" t="s">
        <v>25</v>
      </c>
      <c r="B34" s="1">
        <v>8562</v>
      </c>
      <c r="C34" s="1">
        <v>8499</v>
      </c>
      <c r="D34" s="1">
        <v>8548</v>
      </c>
      <c r="E34" s="1">
        <v>8925.7119999999995</v>
      </c>
      <c r="F34" s="1">
        <v>8792.1923399999996</v>
      </c>
      <c r="G34" s="1">
        <v>8994.3240000000005</v>
      </c>
      <c r="H34" s="1">
        <v>8740.4215199999999</v>
      </c>
      <c r="I34" s="1">
        <v>8751.1</v>
      </c>
      <c r="J34" s="1">
        <v>8724.2512200000001</v>
      </c>
      <c r="K34" s="1">
        <v>9104.4481199999991</v>
      </c>
      <c r="L34" s="239">
        <f t="shared" si="8"/>
        <v>4.3579315910620808</v>
      </c>
      <c r="M34" s="239">
        <f t="shared" si="9"/>
        <v>2.9477184984348748</v>
      </c>
      <c r="N34" s="21">
        <v>2737</v>
      </c>
      <c r="O34" s="14">
        <v>3007</v>
      </c>
      <c r="P34" s="14">
        <v>3278</v>
      </c>
      <c r="Q34" s="14">
        <v>3380</v>
      </c>
      <c r="R34" s="14">
        <v>3910</v>
      </c>
      <c r="S34" s="14">
        <v>4414</v>
      </c>
      <c r="T34" s="14">
        <v>4773</v>
      </c>
      <c r="U34" s="14">
        <v>4443</v>
      </c>
      <c r="V34" s="14">
        <v>4339</v>
      </c>
      <c r="W34" s="14">
        <v>5539</v>
      </c>
      <c r="X34" s="14">
        <v>6267</v>
      </c>
      <c r="Y34" s="14">
        <v>6580</v>
      </c>
      <c r="Z34" s="14">
        <v>6449</v>
      </c>
      <c r="AA34" s="70">
        <v>7094</v>
      </c>
      <c r="AB34" s="70">
        <v>7619</v>
      </c>
      <c r="AC34" s="206">
        <v>8119</v>
      </c>
      <c r="AD34" s="1">
        <v>8850</v>
      </c>
      <c r="AE34" s="206">
        <v>8691.732</v>
      </c>
      <c r="AF34" s="206">
        <v>8843.759</v>
      </c>
      <c r="AG34" s="1">
        <v>8849988</v>
      </c>
      <c r="AH34" s="3">
        <f>AG34/1000</f>
        <v>8849.9879999999994</v>
      </c>
      <c r="AK34" s="3">
        <v>8691732</v>
      </c>
      <c r="AL34" s="3">
        <f>AK34/1000</f>
        <v>8691.732</v>
      </c>
      <c r="AN34" s="3">
        <v>8843759</v>
      </c>
      <c r="AO34" s="3">
        <f>AN34/1000</f>
        <v>8843.759</v>
      </c>
      <c r="AQ34" s="3">
        <v>8562017</v>
      </c>
      <c r="AR34" s="3">
        <f>AQ34/1000</f>
        <v>8562.0169999999998</v>
      </c>
      <c r="AT34" s="3">
        <v>8499357</v>
      </c>
      <c r="AU34" s="3">
        <f>AT34/1000</f>
        <v>8499.357</v>
      </c>
      <c r="AW34" s="3">
        <v>8547712</v>
      </c>
      <c r="AX34" s="3">
        <f>AW34/1000</f>
        <v>8547.7119999999995</v>
      </c>
      <c r="AZ34" s="3">
        <v>8925712</v>
      </c>
      <c r="BA34" s="3">
        <f>AZ34/1000</f>
        <v>8925.7119999999995</v>
      </c>
      <c r="BB34" s="3">
        <v>8792192.3399999999</v>
      </c>
      <c r="BC34" s="3">
        <f>BB34/1000</f>
        <v>8792.1923399999996</v>
      </c>
      <c r="BD34" s="3">
        <v>8994324</v>
      </c>
      <c r="BE34" s="3">
        <f>BD34/1000</f>
        <v>8994.3240000000005</v>
      </c>
      <c r="BF34" s="272">
        <v>8740421.5199999996</v>
      </c>
      <c r="BG34" s="3">
        <f>BF34/1000</f>
        <v>8740.4215199999999</v>
      </c>
      <c r="BH34" s="3">
        <v>8751100</v>
      </c>
      <c r="BI34" s="3">
        <f t="shared" si="16"/>
        <v>8751.1</v>
      </c>
      <c r="BJ34" s="3">
        <v>8724251.2200000007</v>
      </c>
      <c r="BK34" s="3">
        <f t="shared" si="17"/>
        <v>8724.2512200000001</v>
      </c>
      <c r="BL34" s="3">
        <v>9104448.1199999992</v>
      </c>
      <c r="BM34" s="3">
        <f t="shared" si="11"/>
        <v>9104.4481199999991</v>
      </c>
    </row>
    <row r="35" spans="1:65">
      <c r="L35" s="239"/>
      <c r="M35" s="239"/>
      <c r="O35" s="14"/>
      <c r="P35" s="14"/>
      <c r="R35" s="14"/>
      <c r="S35" s="14"/>
      <c r="T35" s="14"/>
      <c r="U35" s="14"/>
      <c r="V35" s="14"/>
      <c r="W35" s="14"/>
      <c r="X35" s="14"/>
      <c r="Y35" s="14"/>
      <c r="Z35" s="14"/>
      <c r="AA35" s="70"/>
      <c r="AB35" s="70"/>
      <c r="AC35" s="206"/>
      <c r="AE35" s="206"/>
      <c r="AF35" s="206"/>
      <c r="AG35" s="1"/>
      <c r="BF35" s="273"/>
    </row>
    <row r="36" spans="1:65">
      <c r="A36" s="1" t="s">
        <v>26</v>
      </c>
      <c r="B36" s="1">
        <v>25846</v>
      </c>
      <c r="C36" s="1">
        <v>26361</v>
      </c>
      <c r="D36" s="1">
        <v>27898</v>
      </c>
      <c r="E36" s="1">
        <v>29848.887999999999</v>
      </c>
      <c r="F36" s="1">
        <v>31728.712</v>
      </c>
      <c r="G36" s="1">
        <v>34053.966</v>
      </c>
      <c r="H36" s="1">
        <v>34219.072999999997</v>
      </c>
      <c r="I36" s="1">
        <v>34329.542000000001</v>
      </c>
      <c r="J36" s="1">
        <v>32403.006000000001</v>
      </c>
      <c r="K36" s="1">
        <v>34960.006999999998</v>
      </c>
      <c r="L36" s="239">
        <f t="shared" si="8"/>
        <v>7.8912462627695605</v>
      </c>
      <c r="M36" s="239">
        <f t="shared" si="9"/>
        <v>35.481049863216867</v>
      </c>
      <c r="N36" s="21">
        <v>7893</v>
      </c>
      <c r="O36" s="14">
        <v>8311</v>
      </c>
      <c r="P36" s="14">
        <v>8689</v>
      </c>
      <c r="Q36" s="14">
        <v>10679</v>
      </c>
      <c r="R36" s="14">
        <v>11877</v>
      </c>
      <c r="S36" s="14">
        <v>13741</v>
      </c>
      <c r="T36" s="14">
        <v>14397</v>
      </c>
      <c r="U36" s="14">
        <v>13580</v>
      </c>
      <c r="V36" s="14">
        <v>13947</v>
      </c>
      <c r="W36" s="14">
        <v>16807</v>
      </c>
      <c r="X36" s="14">
        <v>18550</v>
      </c>
      <c r="Y36" s="14">
        <v>17675</v>
      </c>
      <c r="Z36" s="14">
        <v>18578</v>
      </c>
      <c r="AA36" s="70">
        <v>19162</v>
      </c>
      <c r="AB36" s="70">
        <v>19949</v>
      </c>
      <c r="AC36" s="206">
        <v>20946</v>
      </c>
      <c r="AD36" s="1">
        <v>22370</v>
      </c>
      <c r="AE36" s="206">
        <v>24071.991999999998</v>
      </c>
      <c r="AF36" s="206">
        <v>25804.351999999999</v>
      </c>
      <c r="AG36" s="1">
        <v>22369792</v>
      </c>
      <c r="AH36" s="3">
        <f>AG36/1000</f>
        <v>22369.792000000001</v>
      </c>
      <c r="AK36" s="3">
        <v>24071992</v>
      </c>
      <c r="AL36" s="3">
        <f>AK36/1000</f>
        <v>24071.991999999998</v>
      </c>
      <c r="AN36" s="3">
        <v>25804352</v>
      </c>
      <c r="AO36" s="3">
        <f>AN36/1000</f>
        <v>25804.351999999999</v>
      </c>
      <c r="AQ36" s="3">
        <v>25845786</v>
      </c>
      <c r="AR36" s="3">
        <f>AQ36/1000</f>
        <v>25845.786</v>
      </c>
      <c r="AT36" s="3">
        <v>26361280</v>
      </c>
      <c r="AU36" s="3">
        <f>AT36/1000</f>
        <v>26361.279999999999</v>
      </c>
      <c r="AW36" s="3">
        <v>27897682</v>
      </c>
      <c r="AX36" s="3">
        <f>AW36/1000</f>
        <v>27897.682000000001</v>
      </c>
      <c r="AZ36" s="3">
        <v>29848888</v>
      </c>
      <c r="BA36" s="3">
        <f>AZ36/1000</f>
        <v>29848.887999999999</v>
      </c>
      <c r="BB36" s="3">
        <v>31728712</v>
      </c>
      <c r="BC36" s="3">
        <f>BB36/1000</f>
        <v>31728.712</v>
      </c>
      <c r="BD36" s="3">
        <v>34053966</v>
      </c>
      <c r="BE36" s="3">
        <f>BD36/1000</f>
        <v>34053.966</v>
      </c>
      <c r="BF36" s="272">
        <v>34219073</v>
      </c>
      <c r="BG36" s="3">
        <f>BF36/1000</f>
        <v>34219.072999999997</v>
      </c>
      <c r="BH36" s="3">
        <v>34329542</v>
      </c>
      <c r="BI36" s="3">
        <f t="shared" ref="BI36:BI39" si="18">BH36/1000</f>
        <v>34329.542000000001</v>
      </c>
      <c r="BJ36" s="3">
        <v>32403006</v>
      </c>
      <c r="BK36" s="3">
        <f>BJ36/1000</f>
        <v>32403.006000000001</v>
      </c>
      <c r="BL36" s="3">
        <v>34960007</v>
      </c>
      <c r="BM36" s="3">
        <f t="shared" si="11"/>
        <v>34960.006999999998</v>
      </c>
    </row>
    <row r="37" spans="1:65">
      <c r="A37" s="1" t="s">
        <v>27</v>
      </c>
      <c r="B37" s="1">
        <v>74825</v>
      </c>
      <c r="C37" s="1">
        <v>78817</v>
      </c>
      <c r="D37" s="1">
        <v>81978</v>
      </c>
      <c r="E37" s="1">
        <v>83232.402249999999</v>
      </c>
      <c r="F37" s="1">
        <v>85552.839080000005</v>
      </c>
      <c r="G37" s="1">
        <v>87741.184999999998</v>
      </c>
      <c r="H37" s="1">
        <v>89573.978239999997</v>
      </c>
      <c r="I37" s="1">
        <v>88817.056719999993</v>
      </c>
      <c r="J37" s="1">
        <v>89544.543730000005</v>
      </c>
      <c r="K37" s="1">
        <v>92951.603000000003</v>
      </c>
      <c r="L37" s="239">
        <f t="shared" si="8"/>
        <v>3.8048764649169069</v>
      </c>
      <c r="M37" s="239">
        <f t="shared" si="9"/>
        <v>28.972564685459307</v>
      </c>
      <c r="N37" s="21">
        <v>27008</v>
      </c>
      <c r="O37" s="14">
        <v>28416</v>
      </c>
      <c r="P37" s="14">
        <v>30616</v>
      </c>
      <c r="Q37" s="14">
        <v>32715</v>
      </c>
      <c r="R37" s="14">
        <v>34986</v>
      </c>
      <c r="S37" s="14">
        <v>37730</v>
      </c>
      <c r="T37" s="14">
        <v>40501</v>
      </c>
      <c r="U37" s="14">
        <v>41061</v>
      </c>
      <c r="V37" s="14">
        <v>38751</v>
      </c>
      <c r="W37" s="14">
        <v>43223</v>
      </c>
      <c r="X37" s="14">
        <v>45898</v>
      </c>
      <c r="Y37" s="14">
        <v>47037</v>
      </c>
      <c r="Z37" s="14">
        <v>48233</v>
      </c>
      <c r="AA37" s="70">
        <v>51661</v>
      </c>
      <c r="AB37" s="70">
        <v>55841</v>
      </c>
      <c r="AC37" s="206">
        <v>60440</v>
      </c>
      <c r="AD37" s="1">
        <v>64576</v>
      </c>
      <c r="AE37" s="206">
        <v>69563.895000000004</v>
      </c>
      <c r="AF37" s="206">
        <v>72070.834000000003</v>
      </c>
      <c r="AG37" s="1">
        <v>64576254</v>
      </c>
      <c r="AH37" s="3">
        <f>AG37/1000</f>
        <v>64576.254000000001</v>
      </c>
      <c r="AK37" s="3">
        <v>69563895</v>
      </c>
      <c r="AL37" s="3">
        <f>AK37/1000</f>
        <v>69563.895000000004</v>
      </c>
      <c r="AN37" s="3">
        <v>72070834</v>
      </c>
      <c r="AO37" s="3">
        <f>AN37/1000</f>
        <v>72070.834000000003</v>
      </c>
      <c r="AQ37" s="3">
        <v>74824848</v>
      </c>
      <c r="AR37" s="3">
        <f>AQ37/1000</f>
        <v>74824.847999999998</v>
      </c>
      <c r="AT37" s="3">
        <v>78816610</v>
      </c>
      <c r="AU37" s="3">
        <f>AT37/1000</f>
        <v>78816.61</v>
      </c>
      <c r="AW37" s="3">
        <v>81977719</v>
      </c>
      <c r="AX37" s="3">
        <f>AW37/1000</f>
        <v>81977.718999999997</v>
      </c>
      <c r="AZ37" s="3">
        <v>83232402.25</v>
      </c>
      <c r="BA37" s="3">
        <f>AZ37/1000</f>
        <v>83232.402249999999</v>
      </c>
      <c r="BB37" s="3">
        <v>85552839.079999998</v>
      </c>
      <c r="BC37" s="3">
        <f>BB37/1000</f>
        <v>85552.839080000005</v>
      </c>
      <c r="BD37" s="3">
        <v>87741185</v>
      </c>
      <c r="BE37" s="3">
        <f>BD37/1000</f>
        <v>87741.184999999998</v>
      </c>
      <c r="BF37" s="272">
        <v>89573978.239999995</v>
      </c>
      <c r="BG37" s="3">
        <f>BF37/1000</f>
        <v>89573.978239999997</v>
      </c>
      <c r="BH37" s="3">
        <v>88817056.719999999</v>
      </c>
      <c r="BI37" s="3">
        <f t="shared" si="18"/>
        <v>88817.056719999993</v>
      </c>
      <c r="BJ37" s="3">
        <v>89544543.730000004</v>
      </c>
      <c r="BK37" s="3">
        <f t="shared" ref="BK37:BK39" si="19">BJ37/1000</f>
        <v>89544.543730000005</v>
      </c>
      <c r="BL37" s="3">
        <v>92951603</v>
      </c>
      <c r="BM37" s="3">
        <f t="shared" si="11"/>
        <v>92951.603000000003</v>
      </c>
    </row>
    <row r="38" spans="1:65">
      <c r="A38" s="1" t="s">
        <v>28</v>
      </c>
      <c r="B38" s="1">
        <v>45680</v>
      </c>
      <c r="C38" s="1">
        <v>46131</v>
      </c>
      <c r="D38" s="1">
        <v>46925</v>
      </c>
      <c r="E38" s="1">
        <v>48329.815000000002</v>
      </c>
      <c r="F38" s="1">
        <v>49443.053</v>
      </c>
      <c r="G38" s="1">
        <v>50204.654999999999</v>
      </c>
      <c r="H38" s="1">
        <v>50781.711000000003</v>
      </c>
      <c r="I38" s="1">
        <v>43196.892</v>
      </c>
      <c r="J38" s="1">
        <v>36196.892039999999</v>
      </c>
      <c r="K38" s="1">
        <v>39173.593000000001</v>
      </c>
      <c r="L38" s="239">
        <f t="shared" si="8"/>
        <v>8.2236368711174084</v>
      </c>
      <c r="M38" s="239">
        <f t="shared" si="9"/>
        <v>-12.294826330578374</v>
      </c>
      <c r="N38" s="21">
        <v>14583</v>
      </c>
      <c r="O38" s="14">
        <v>16325</v>
      </c>
      <c r="P38" s="14">
        <v>17277</v>
      </c>
      <c r="Q38" s="14">
        <v>18115</v>
      </c>
      <c r="R38" s="14">
        <v>20214</v>
      </c>
      <c r="S38" s="14">
        <v>23660</v>
      </c>
      <c r="T38" s="14">
        <v>26121</v>
      </c>
      <c r="U38" s="14">
        <v>23499</v>
      </c>
      <c r="V38" s="14">
        <v>25052</v>
      </c>
      <c r="W38" s="14">
        <v>27313</v>
      </c>
      <c r="X38" s="14">
        <v>29526</v>
      </c>
      <c r="Y38" s="14">
        <v>28153</v>
      </c>
      <c r="Z38" s="14">
        <v>30343</v>
      </c>
      <c r="AA38" s="70">
        <v>31788</v>
      </c>
      <c r="AB38" s="70">
        <v>35426</v>
      </c>
      <c r="AC38" s="206">
        <v>38144</v>
      </c>
      <c r="AD38" s="1">
        <v>42844</v>
      </c>
      <c r="AE38" s="206">
        <v>43743.788</v>
      </c>
      <c r="AF38" s="206">
        <v>44665.088000000003</v>
      </c>
      <c r="AG38" s="1">
        <v>42843788</v>
      </c>
      <c r="AH38" s="3">
        <f>AG38/1000</f>
        <v>42843.788</v>
      </c>
      <c r="AK38" s="3">
        <v>43743788</v>
      </c>
      <c r="AL38" s="3">
        <f>AK38/1000</f>
        <v>43743.788</v>
      </c>
      <c r="AN38" s="3">
        <v>44665088</v>
      </c>
      <c r="AO38" s="3">
        <f>AN38/1000</f>
        <v>44665.088000000003</v>
      </c>
      <c r="AQ38" s="3">
        <v>45679815</v>
      </c>
      <c r="AR38" s="3">
        <f>AQ38/1000</f>
        <v>45679.815000000002</v>
      </c>
      <c r="AT38" s="3">
        <v>46131073</v>
      </c>
      <c r="AU38" s="3">
        <f>AT38/1000</f>
        <v>46131.072999999997</v>
      </c>
      <c r="AW38" s="3">
        <v>46925458</v>
      </c>
      <c r="AX38" s="3">
        <f>AW38/1000</f>
        <v>46925.457999999999</v>
      </c>
      <c r="AZ38" s="3">
        <v>48329815</v>
      </c>
      <c r="BA38" s="3">
        <f>AZ38/1000</f>
        <v>48329.815000000002</v>
      </c>
      <c r="BB38" s="3">
        <v>49443053</v>
      </c>
      <c r="BC38" s="3">
        <f>BB38/1000</f>
        <v>49443.053</v>
      </c>
      <c r="BD38" s="3">
        <v>50204655</v>
      </c>
      <c r="BE38" s="3">
        <f>BD38/1000</f>
        <v>50204.654999999999</v>
      </c>
      <c r="BF38" s="272">
        <v>50781711</v>
      </c>
      <c r="BG38" s="3">
        <f>BF38/1000</f>
        <v>50781.711000000003</v>
      </c>
      <c r="BH38" s="3">
        <v>43196892</v>
      </c>
      <c r="BI38" s="3">
        <f t="shared" si="18"/>
        <v>43196.892</v>
      </c>
      <c r="BJ38" s="3">
        <v>36196892.039999999</v>
      </c>
      <c r="BK38" s="3">
        <f t="shared" si="19"/>
        <v>36196.892039999999</v>
      </c>
      <c r="BL38" s="3">
        <v>39173593</v>
      </c>
      <c r="BM38" s="3">
        <f t="shared" si="11"/>
        <v>39173.593000000001</v>
      </c>
    </row>
    <row r="39" spans="1:65">
      <c r="A39" s="1" t="s">
        <v>29</v>
      </c>
      <c r="B39" s="1">
        <v>48164</v>
      </c>
      <c r="C39" s="1">
        <v>52104</v>
      </c>
      <c r="D39" s="1">
        <v>55067</v>
      </c>
      <c r="E39" s="1">
        <v>61150.025999999998</v>
      </c>
      <c r="F39" s="1">
        <v>66703.960000000006</v>
      </c>
      <c r="G39" s="1">
        <v>72614.611000000004</v>
      </c>
      <c r="H39" s="1">
        <v>71954.063999999998</v>
      </c>
      <c r="I39" s="1">
        <v>71339.072</v>
      </c>
      <c r="J39" s="1">
        <v>71939.827999999994</v>
      </c>
      <c r="K39" s="1">
        <v>73923.043999999994</v>
      </c>
      <c r="L39" s="239">
        <f t="shared" si="8"/>
        <v>2.7567705610861353</v>
      </c>
      <c r="M39" s="239">
        <f t="shared" si="9"/>
        <v>55.693862026461723</v>
      </c>
      <c r="N39" s="21">
        <v>12433</v>
      </c>
      <c r="O39" s="14">
        <v>14235</v>
      </c>
      <c r="P39" s="14">
        <v>17180</v>
      </c>
      <c r="Q39" s="14">
        <v>18720</v>
      </c>
      <c r="R39" s="14">
        <v>19824</v>
      </c>
      <c r="S39" s="14">
        <v>22042</v>
      </c>
      <c r="T39" s="14">
        <v>24371</v>
      </c>
      <c r="U39" s="14">
        <v>25873</v>
      </c>
      <c r="V39" s="14">
        <v>26487</v>
      </c>
      <c r="W39" s="14">
        <v>28708</v>
      </c>
      <c r="X39" s="14">
        <v>30222</v>
      </c>
      <c r="Y39" s="14">
        <v>31142</v>
      </c>
      <c r="Z39" s="14">
        <v>32438</v>
      </c>
      <c r="AA39" s="71">
        <v>35395</v>
      </c>
      <c r="AB39" s="70">
        <v>36078</v>
      </c>
      <c r="AC39" s="206">
        <v>37548</v>
      </c>
      <c r="AD39" s="1">
        <v>40808</v>
      </c>
      <c r="AE39" s="206">
        <v>44536.521000000001</v>
      </c>
      <c r="AF39" s="206">
        <v>47479.741999999998</v>
      </c>
      <c r="AG39" s="1">
        <v>40808342</v>
      </c>
      <c r="AH39" s="3">
        <f>AG39/1000</f>
        <v>40808.341999999997</v>
      </c>
      <c r="AK39" s="3">
        <v>44536521</v>
      </c>
      <c r="AL39" s="3">
        <f>AK39/1000</f>
        <v>44536.521000000001</v>
      </c>
      <c r="AN39" s="3">
        <v>47479742</v>
      </c>
      <c r="AO39" s="3">
        <f>AN39/1000</f>
        <v>47479.741999999998</v>
      </c>
      <c r="AQ39" s="3">
        <v>48163739</v>
      </c>
      <c r="AR39" s="3">
        <f>AQ39/1000</f>
        <v>48163.739000000001</v>
      </c>
      <c r="AT39" s="3">
        <v>52104132</v>
      </c>
      <c r="AU39" s="3">
        <f>AT39/1000</f>
        <v>52104.131999999998</v>
      </c>
      <c r="AW39" s="3">
        <v>55066516</v>
      </c>
      <c r="AX39" s="3">
        <f>AW39/1000</f>
        <v>55066.516000000003</v>
      </c>
      <c r="AZ39" s="3">
        <v>61150026</v>
      </c>
      <c r="BA39" s="3">
        <f>AZ39/1000</f>
        <v>61150.025999999998</v>
      </c>
      <c r="BB39" s="3">
        <v>66703960</v>
      </c>
      <c r="BC39" s="3">
        <f>BB39/1000</f>
        <v>66703.960000000006</v>
      </c>
      <c r="BD39" s="3">
        <v>72614611</v>
      </c>
      <c r="BE39" s="3">
        <f>BD39/1000</f>
        <v>72614.611000000004</v>
      </c>
      <c r="BF39" s="274">
        <v>71954064</v>
      </c>
      <c r="BG39" s="3">
        <f>BF39/1000</f>
        <v>71954.063999999998</v>
      </c>
      <c r="BH39" s="3">
        <v>71339072</v>
      </c>
      <c r="BI39" s="3">
        <f t="shared" si="18"/>
        <v>71339.072</v>
      </c>
      <c r="BJ39" s="3">
        <v>71939828</v>
      </c>
      <c r="BK39" s="3">
        <f t="shared" si="19"/>
        <v>71939.827999999994</v>
      </c>
      <c r="BL39" s="3">
        <v>73923044</v>
      </c>
      <c r="BM39" s="3">
        <f t="shared" si="11"/>
        <v>73923.043999999994</v>
      </c>
    </row>
    <row r="40" spans="1:6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Y40" s="18"/>
      <c r="AD40" s="18"/>
    </row>
    <row r="42" spans="1:65">
      <c r="R42" s="14"/>
      <c r="S42" s="14"/>
      <c r="Y42" s="14"/>
    </row>
    <row r="43" spans="1:65">
      <c r="R43" s="14"/>
      <c r="S43" s="14"/>
      <c r="Y43" s="14"/>
    </row>
    <row r="44" spans="1:65">
      <c r="R44" s="14"/>
      <c r="S44" s="14"/>
      <c r="Y44" s="14"/>
    </row>
    <row r="45" spans="1:65">
      <c r="R45" s="14"/>
      <c r="S45" s="14"/>
      <c r="Y45" s="14"/>
    </row>
    <row r="46" spans="1:65">
      <c r="R46" s="14"/>
      <c r="S46" s="14"/>
      <c r="Y46" s="14"/>
    </row>
    <row r="47" spans="1:65">
      <c r="Y47" s="14"/>
    </row>
    <row r="48" spans="1:65">
      <c r="Y48" s="14"/>
    </row>
    <row r="49" spans="25:25">
      <c r="Y49" s="14"/>
    </row>
    <row r="50" spans="25:25">
      <c r="Y50" s="14"/>
    </row>
    <row r="51" spans="25:25">
      <c r="Y51" s="14"/>
    </row>
  </sheetData>
  <sheetProtection password="CAF5" sheet="1" objects="1" scenarios="1"/>
  <mergeCells count="2">
    <mergeCell ref="L7:M7"/>
    <mergeCell ref="A4:M4"/>
  </mergeCells>
  <phoneticPr fontId="2" type="noConversion"/>
  <pageMargins left="0.4" right="0.41" top="1" bottom="1" header="0.5" footer="0.5"/>
  <pageSetup scale="80" orientation="landscape" horizontalDpi="4294967292" verticalDpi="4294967292" r:id="rId1"/>
  <headerFooter scaleWithDoc="0" alignWithMargins="0">
    <oddFooter>&amp;L&amp;"Arial,Italic"&amp;10MSDE - LFRO  12 / 2014&amp;C&amp;"Arial,Regular"&amp;10- 4 -&amp;R&amp;"Arial,Italic"&amp;10Selected Financial Data - Part 4</oddFooter>
  </headerFooter>
  <rowBreaks count="1" manualBreakCount="1">
    <brk id="4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W58"/>
  <sheetViews>
    <sheetView topLeftCell="A2" workbookViewId="0">
      <selection activeCell="BV12" sqref="BV12"/>
    </sheetView>
  </sheetViews>
  <sheetFormatPr defaultColWidth="10" defaultRowHeight="12.75"/>
  <cols>
    <col min="1" max="1" width="12.875" style="1" customWidth="1"/>
    <col min="2" max="11" width="12.625" style="1" customWidth="1"/>
    <col min="12" max="12" width="8.75" style="1" customWidth="1"/>
    <col min="13" max="13" width="8.125" style="1" customWidth="1"/>
    <col min="14" max="15" width="8.625" style="1" bestFit="1" customWidth="1"/>
    <col min="16" max="20" width="10.125" style="1" customWidth="1"/>
    <col min="21" max="22" width="10.125" style="3" customWidth="1"/>
    <col min="23" max="23" width="10.125" style="1" customWidth="1"/>
    <col min="24" max="25" width="12.625" style="1" customWidth="1"/>
    <col min="26" max="26" width="10.875" style="3" bestFit="1" customWidth="1"/>
    <col min="27" max="28" width="12.625" style="1" customWidth="1"/>
    <col min="29" max="29" width="8.375" style="3" bestFit="1" customWidth="1"/>
    <col min="30" max="30" width="12.625" style="1" customWidth="1"/>
    <col min="31" max="32" width="11.625" style="3" customWidth="1"/>
    <col min="33" max="33" width="13.125" style="3" bestFit="1" customWidth="1"/>
    <col min="34" max="34" width="10" style="3" customWidth="1"/>
    <col min="35" max="35" width="3.625" style="3" customWidth="1"/>
    <col min="36" max="36" width="13.125" style="3" bestFit="1" customWidth="1"/>
    <col min="37" max="37" width="10" style="3" customWidth="1"/>
    <col min="38" max="38" width="3.375" style="3" customWidth="1"/>
    <col min="39" max="39" width="10" style="3" customWidth="1"/>
    <col min="40" max="41" width="7.875" style="3" customWidth="1"/>
    <col min="42" max="43" width="10" style="3" customWidth="1"/>
    <col min="44" max="44" width="3.875" style="3" customWidth="1"/>
    <col min="45" max="46" width="10" style="3" customWidth="1"/>
    <col min="47" max="47" width="5.125" style="3" customWidth="1"/>
    <col min="48" max="49" width="10" style="3" customWidth="1"/>
    <col min="50" max="50" width="2.375" style="3" customWidth="1"/>
    <col min="51" max="52" width="10" style="3" customWidth="1"/>
    <col min="53" max="53" width="3.125" style="3" customWidth="1"/>
    <col min="54" max="57" width="10" style="3"/>
    <col min="58" max="58" width="2.625" style="3" customWidth="1"/>
    <col min="59" max="59" width="11.125" style="3" bestFit="1" customWidth="1"/>
    <col min="60" max="60" width="13.125" style="3" customWidth="1"/>
    <col min="61" max="61" width="13.625" style="3" customWidth="1"/>
    <col min="62" max="62" width="10" style="3"/>
    <col min="63" max="63" width="2.875" style="3" customWidth="1"/>
    <col min="64" max="64" width="11.125" style="3" bestFit="1" customWidth="1"/>
    <col min="65" max="65" width="13.25" style="3" customWidth="1"/>
    <col min="66" max="66" width="12.875" style="3" customWidth="1"/>
    <col min="67" max="16384" width="10" style="3"/>
  </cols>
  <sheetData>
    <row r="1" spans="1:75" s="221" customFormat="1" ht="15.75" customHeight="1">
      <c r="A1" s="115" t="s">
        <v>94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99"/>
      <c r="O1" s="68"/>
      <c r="P1" s="68"/>
      <c r="Q1" s="68"/>
      <c r="R1" s="68"/>
      <c r="S1" s="68"/>
      <c r="T1" s="68"/>
      <c r="W1" s="199"/>
      <c r="X1" s="199"/>
      <c r="Y1" s="199"/>
      <c r="AA1" s="199"/>
      <c r="AB1" s="199"/>
      <c r="AD1" s="115"/>
    </row>
    <row r="2" spans="1:75" s="221" customForma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99"/>
      <c r="O2" s="68"/>
      <c r="P2" s="68"/>
      <c r="Q2" s="68"/>
      <c r="R2" s="68"/>
      <c r="S2" s="68"/>
      <c r="T2" s="68"/>
      <c r="W2" s="199"/>
      <c r="X2" s="199"/>
      <c r="Y2" s="199"/>
      <c r="AA2" s="199"/>
      <c r="AB2" s="199"/>
      <c r="AD2" s="115"/>
    </row>
    <row r="3" spans="1:75" s="221" customFormat="1">
      <c r="A3" s="115" t="s">
        <v>227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99"/>
      <c r="O3" s="68"/>
      <c r="P3" s="68"/>
      <c r="Q3" s="68"/>
      <c r="R3" s="68"/>
      <c r="S3" s="68"/>
      <c r="T3" s="68"/>
      <c r="W3" s="199"/>
      <c r="X3" s="199"/>
      <c r="Y3" s="199"/>
      <c r="AA3" s="199"/>
      <c r="AB3" s="199"/>
      <c r="AD3" s="115"/>
    </row>
    <row r="4" spans="1:75">
      <c r="A4" s="405" t="s">
        <v>367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115"/>
      <c r="O4" s="199"/>
      <c r="P4" s="199"/>
      <c r="Q4" s="10"/>
      <c r="U4" s="1"/>
      <c r="V4" s="1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1"/>
    </row>
    <row r="5" spans="1:75" ht="13.5" thickBot="1">
      <c r="A5" s="22"/>
      <c r="B5" s="22"/>
      <c r="C5" s="22"/>
      <c r="N5" s="22"/>
      <c r="O5" s="22"/>
      <c r="Q5" s="22"/>
      <c r="R5" s="22"/>
      <c r="S5" s="22"/>
      <c r="T5" s="22"/>
      <c r="W5" s="22"/>
      <c r="X5" s="22"/>
      <c r="Y5" s="22"/>
      <c r="AA5" s="22"/>
      <c r="AB5" s="7"/>
      <c r="AD5" s="22"/>
    </row>
    <row r="6" spans="1:75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 s="5"/>
      <c r="P6" s="5"/>
      <c r="Q6" s="5"/>
      <c r="R6" s="5"/>
      <c r="S6" s="3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39"/>
      <c r="AF6" s="394"/>
    </row>
    <row r="7" spans="1:75">
      <c r="L7" s="6" t="s">
        <v>34</v>
      </c>
      <c r="M7" s="6"/>
      <c r="S7" s="3"/>
      <c r="U7" s="1"/>
      <c r="V7" s="1"/>
      <c r="Z7" s="1"/>
      <c r="AC7" s="1"/>
      <c r="AE7" s="23"/>
      <c r="AF7" s="23"/>
      <c r="AY7" s="3" t="s">
        <v>257</v>
      </c>
    </row>
    <row r="8" spans="1: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6" t="s">
        <v>85</v>
      </c>
      <c r="M8" s="26" t="s">
        <v>86</v>
      </c>
      <c r="O8" s="7"/>
      <c r="P8" s="7"/>
      <c r="Q8" s="7"/>
      <c r="R8" s="7"/>
      <c r="S8" s="3"/>
      <c r="T8" s="7"/>
      <c r="U8" s="7"/>
      <c r="V8" s="7"/>
      <c r="W8" s="7"/>
      <c r="X8" s="7"/>
      <c r="Y8" s="7"/>
      <c r="Z8" s="7"/>
      <c r="AA8" s="7"/>
      <c r="AB8" s="7"/>
      <c r="AD8" s="7"/>
      <c r="AE8" s="14"/>
      <c r="AF8" s="14"/>
      <c r="AK8" s="3" t="s">
        <v>210</v>
      </c>
      <c r="AN8" s="3" t="s">
        <v>210</v>
      </c>
      <c r="AQ8" s="3" t="s">
        <v>210</v>
      </c>
      <c r="AT8" s="3" t="s">
        <v>210</v>
      </c>
      <c r="AW8" s="3" t="s">
        <v>210</v>
      </c>
      <c r="AZ8" s="3" t="s">
        <v>210</v>
      </c>
      <c r="BC8" s="187" t="s">
        <v>209</v>
      </c>
      <c r="BE8" s="187" t="s">
        <v>209</v>
      </c>
      <c r="BF8" s="187"/>
      <c r="BG8" s="407" t="s">
        <v>283</v>
      </c>
      <c r="BH8" s="407"/>
      <c r="BI8" s="407"/>
      <c r="BJ8" s="187" t="s">
        <v>209</v>
      </c>
      <c r="BL8" s="407" t="s">
        <v>303</v>
      </c>
      <c r="BM8" s="407"/>
      <c r="BN8" s="407"/>
      <c r="BO8" s="187" t="s">
        <v>209</v>
      </c>
      <c r="BP8" s="407" t="s">
        <v>330</v>
      </c>
      <c r="BQ8" s="407"/>
      <c r="BR8" s="407"/>
      <c r="BS8" s="187" t="s">
        <v>209</v>
      </c>
      <c r="BT8" s="407" t="s">
        <v>360</v>
      </c>
      <c r="BU8" s="407"/>
      <c r="BV8" s="407"/>
      <c r="BW8" s="187" t="s">
        <v>209</v>
      </c>
    </row>
    <row r="9" spans="1:75" ht="13.5" thickBot="1">
      <c r="A9" s="8" t="s">
        <v>1</v>
      </c>
      <c r="B9" s="397" t="s">
        <v>184</v>
      </c>
      <c r="C9" s="397" t="s">
        <v>194</v>
      </c>
      <c r="D9" s="397" t="s">
        <v>208</v>
      </c>
      <c r="E9" s="397" t="s">
        <v>243</v>
      </c>
      <c r="F9" s="397" t="s">
        <v>256</v>
      </c>
      <c r="G9" s="397" t="s">
        <v>269</v>
      </c>
      <c r="H9" s="397" t="s">
        <v>283</v>
      </c>
      <c r="I9" s="397" t="s">
        <v>303</v>
      </c>
      <c r="J9" s="397" t="s">
        <v>330</v>
      </c>
      <c r="K9" s="397" t="s">
        <v>360</v>
      </c>
      <c r="L9" s="9" t="s">
        <v>84</v>
      </c>
      <c r="M9" s="9" t="s">
        <v>84</v>
      </c>
      <c r="N9" s="10" t="s">
        <v>43</v>
      </c>
      <c r="O9" s="9" t="s">
        <v>35</v>
      </c>
      <c r="P9" s="9" t="s">
        <v>31</v>
      </c>
      <c r="Q9" s="9" t="s">
        <v>64</v>
      </c>
      <c r="R9" s="9" t="s">
        <v>32</v>
      </c>
      <c r="S9" s="9" t="s">
        <v>45</v>
      </c>
      <c r="T9" s="9" t="s">
        <v>67</v>
      </c>
      <c r="U9" s="8" t="s">
        <v>71</v>
      </c>
      <c r="V9" s="8" t="s">
        <v>70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9" t="s">
        <v>105</v>
      </c>
      <c r="AE9" s="332" t="s">
        <v>161</v>
      </c>
      <c r="AF9" s="387" t="s">
        <v>168</v>
      </c>
      <c r="AG9" s="9" t="s">
        <v>105</v>
      </c>
      <c r="AH9" s="9" t="s">
        <v>105</v>
      </c>
      <c r="AJ9" s="9" t="s">
        <v>161</v>
      </c>
      <c r="AK9" s="9" t="s">
        <v>161</v>
      </c>
      <c r="AM9" s="408" t="s">
        <v>168</v>
      </c>
      <c r="AN9" s="408"/>
      <c r="AO9" s="185"/>
      <c r="AP9" s="408" t="s">
        <v>184</v>
      </c>
      <c r="AQ9" s="408"/>
      <c r="AS9" s="408" t="s">
        <v>194</v>
      </c>
      <c r="AT9" s="408"/>
      <c r="AV9" s="408" t="s">
        <v>208</v>
      </c>
      <c r="AW9" s="408"/>
      <c r="AY9" s="250" t="s">
        <v>243</v>
      </c>
      <c r="AZ9" s="250" t="s">
        <v>243</v>
      </c>
      <c r="BA9" s="253"/>
      <c r="BB9" s="20" t="s">
        <v>256</v>
      </c>
      <c r="BC9" s="20" t="s">
        <v>256</v>
      </c>
      <c r="BD9" s="20" t="s">
        <v>256</v>
      </c>
      <c r="BE9" s="20" t="s">
        <v>256</v>
      </c>
      <c r="BF9" s="20"/>
      <c r="BG9" s="3" t="s">
        <v>300</v>
      </c>
      <c r="BH9" s="3" t="s">
        <v>301</v>
      </c>
      <c r="BI9" s="3" t="s">
        <v>302</v>
      </c>
      <c r="BJ9" s="3" t="s">
        <v>283</v>
      </c>
      <c r="BL9" s="3" t="s">
        <v>300</v>
      </c>
      <c r="BM9" s="3" t="s">
        <v>301</v>
      </c>
      <c r="BN9" s="3" t="s">
        <v>302</v>
      </c>
      <c r="BO9" s="20" t="s">
        <v>303</v>
      </c>
      <c r="BP9" s="3" t="s">
        <v>300</v>
      </c>
      <c r="BQ9" s="3" t="s">
        <v>301</v>
      </c>
      <c r="BR9" s="3" t="s">
        <v>302</v>
      </c>
      <c r="BS9" s="385" t="s">
        <v>330</v>
      </c>
      <c r="BT9" s="3" t="s">
        <v>300</v>
      </c>
      <c r="BU9" s="3" t="s">
        <v>301</v>
      </c>
      <c r="BV9" s="3" t="s">
        <v>302</v>
      </c>
      <c r="BW9" s="385" t="s">
        <v>360</v>
      </c>
    </row>
    <row r="10" spans="1:75" ht="13.5" thickTop="1">
      <c r="A10" s="7" t="s">
        <v>5</v>
      </c>
      <c r="B10" s="23">
        <f t="shared" ref="B10:G10" si="0">SUM(B12:B39)</f>
        <v>575837</v>
      </c>
      <c r="C10" s="23">
        <f t="shared" si="0"/>
        <v>648726</v>
      </c>
      <c r="D10" s="23">
        <f t="shared" si="0"/>
        <v>651260</v>
      </c>
      <c r="E10" s="23">
        <f t="shared" si="0"/>
        <v>661973.05218</v>
      </c>
      <c r="F10" s="23">
        <f t="shared" si="0"/>
        <v>701587.01286000013</v>
      </c>
      <c r="G10" s="23">
        <f t="shared" si="0"/>
        <v>681345.05103999993</v>
      </c>
      <c r="H10" s="23">
        <f>SUM(H12:H39)</f>
        <v>1026225.3137800002</v>
      </c>
      <c r="I10" s="23">
        <f>SUM(I12:I39)</f>
        <v>1237672.2902899997</v>
      </c>
      <c r="J10" s="23">
        <f>SUM(J12:J39)</f>
        <v>846154.75378999999</v>
      </c>
      <c r="K10" s="23">
        <f>SUM(K12:K39)</f>
        <v>786389.34017999982</v>
      </c>
      <c r="L10" s="239">
        <f>(K10-J10)*100/J10</f>
        <v>-7.0631776684236227</v>
      </c>
      <c r="M10" s="239">
        <f>(K10-AF10)*100/AF10</f>
        <v>37.711234332656467</v>
      </c>
      <c r="N10" s="13">
        <f t="shared" ref="N10:S10" si="1">SUM(N12:N39)</f>
        <v>138994</v>
      </c>
      <c r="O10" s="11">
        <f t="shared" si="1"/>
        <v>147408</v>
      </c>
      <c r="P10" s="11">
        <f t="shared" si="1"/>
        <v>153125</v>
      </c>
      <c r="Q10" s="11">
        <f t="shared" si="1"/>
        <v>162056</v>
      </c>
      <c r="R10" s="11">
        <f t="shared" si="1"/>
        <v>177746</v>
      </c>
      <c r="S10" s="11">
        <f t="shared" si="1"/>
        <v>187242</v>
      </c>
      <c r="T10" s="11">
        <f>SUM(T12:T39)</f>
        <v>204219</v>
      </c>
      <c r="U10" s="11">
        <f>SUM(U12:U39)</f>
        <v>230061</v>
      </c>
      <c r="V10" s="11">
        <f>SUM(V12:V39)</f>
        <v>252012.33400000006</v>
      </c>
      <c r="W10" s="11">
        <v>258385</v>
      </c>
      <c r="X10" s="23">
        <v>269938</v>
      </c>
      <c r="Y10" s="23">
        <v>271776</v>
      </c>
      <c r="Z10" s="23">
        <v>303882</v>
      </c>
      <c r="AA10" s="23">
        <v>328358</v>
      </c>
      <c r="AB10" s="23">
        <v>362568</v>
      </c>
      <c r="AC10" s="23">
        <v>397904</v>
      </c>
      <c r="AD10" s="23">
        <v>479697</v>
      </c>
      <c r="AE10" s="30">
        <f>SUM(AE12:AE39)</f>
        <v>529946.90688000002</v>
      </c>
      <c r="AF10" s="30">
        <f>SUM(AF12:AF39)</f>
        <v>571042.25663999992</v>
      </c>
      <c r="AG10" s="30">
        <f>SUM(AG12:AG39)</f>
        <v>479696621.25999999</v>
      </c>
      <c r="AH10" s="30">
        <f>SUM(AH12:AH39)</f>
        <v>479696.62125999999</v>
      </c>
      <c r="AJ10" s="131">
        <v>529946907</v>
      </c>
      <c r="AK10" s="30">
        <f>SUM(AK12:AK39)</f>
        <v>529946.90688000002</v>
      </c>
      <c r="AM10" s="30">
        <f>SUM(AM12:AM39)</f>
        <v>571042256.63999999</v>
      </c>
      <c r="AN10" s="30">
        <f>SUM(AN12:AN39)</f>
        <v>571042.25663999992</v>
      </c>
      <c r="AO10" s="30"/>
      <c r="AP10" s="3">
        <v>575840541</v>
      </c>
      <c r="AQ10" s="30">
        <f>SUM(AQ12:AQ39)</f>
        <v>575840.54216000019</v>
      </c>
      <c r="AS10" s="30">
        <f>SUM(AS12:AS39)</f>
        <v>648726085.18000007</v>
      </c>
      <c r="AT10" s="30">
        <f>SUM(AT12:AT39)</f>
        <v>648726.08517999982</v>
      </c>
      <c r="AV10" s="30">
        <f>SUM(AV12:AV39)</f>
        <v>651260796.37000012</v>
      </c>
      <c r="AW10" s="30">
        <f>SUM(AW12:AW39)</f>
        <v>651260.79637</v>
      </c>
      <c r="AY10" s="30">
        <f>SUM(AY12:AY39)</f>
        <v>661973052.17999995</v>
      </c>
      <c r="AZ10" s="30">
        <f>SUM(AZ12:AZ39)</f>
        <v>661973.05218</v>
      </c>
      <c r="BA10" s="30"/>
      <c r="BB10" s="30">
        <f t="shared" ref="BB10:BJ10" si="2">SUM(BB12:BB39)</f>
        <v>701587012.86000013</v>
      </c>
      <c r="BC10" s="30">
        <f t="shared" si="2"/>
        <v>701587.01286000013</v>
      </c>
      <c r="BD10" s="30">
        <f t="shared" si="2"/>
        <v>681345051.03999984</v>
      </c>
      <c r="BE10" s="30">
        <f t="shared" si="2"/>
        <v>681345.05103999993</v>
      </c>
      <c r="BF10" s="30"/>
      <c r="BG10" s="30">
        <f t="shared" si="2"/>
        <v>1039270220.0899999</v>
      </c>
      <c r="BH10" s="30">
        <f t="shared" si="2"/>
        <v>13044906.310000001</v>
      </c>
      <c r="BI10" s="30">
        <f>BG10-BH10</f>
        <v>1026225313.78</v>
      </c>
      <c r="BJ10" s="30">
        <f t="shared" si="2"/>
        <v>1026225.3137800002</v>
      </c>
      <c r="BL10" s="30">
        <f t="shared" ref="BL10:BM10" si="3">SUM(BL12:BL39)</f>
        <v>1254655413.9200003</v>
      </c>
      <c r="BM10" s="30">
        <f t="shared" si="3"/>
        <v>16983123.629999995</v>
      </c>
      <c r="BN10" s="30">
        <f>BL10-BM10</f>
        <v>1237672290.2900004</v>
      </c>
      <c r="BO10" s="30">
        <f t="shared" ref="BO10" si="4">SUM(BO12:BO39)</f>
        <v>1237672.2902899997</v>
      </c>
      <c r="BP10" s="3">
        <f>SUM(BP12:BP39)</f>
        <v>859324504.00999975</v>
      </c>
      <c r="BQ10" s="3">
        <f>SUM(BQ12:BQ39)</f>
        <v>13169750.220000001</v>
      </c>
      <c r="BR10" s="3">
        <f>BP10-BQ10</f>
        <v>846154753.78999972</v>
      </c>
      <c r="BS10" s="3">
        <f>SUM(BS12:BS39)</f>
        <v>846154.75378999999</v>
      </c>
      <c r="BT10" s="3">
        <f t="shared" ref="BT10:BW10" si="5">SUM(BT12:BT39)</f>
        <v>805478144.25999987</v>
      </c>
      <c r="BU10" s="3">
        <f t="shared" si="5"/>
        <v>19088804.080000002</v>
      </c>
      <c r="BV10" s="3">
        <f t="shared" si="5"/>
        <v>786389340.17999995</v>
      </c>
      <c r="BW10" s="3">
        <f t="shared" si="5"/>
        <v>786389.34017999982</v>
      </c>
    </row>
    <row r="11" spans="1:75">
      <c r="B11" s="14"/>
      <c r="C11" s="14"/>
      <c r="D11" s="14"/>
      <c r="E11" s="14"/>
      <c r="F11" s="14"/>
      <c r="G11" s="14"/>
      <c r="H11" s="14"/>
      <c r="I11" s="14"/>
      <c r="M11" s="14"/>
      <c r="O11" s="14"/>
      <c r="R11" s="14"/>
      <c r="S11" s="14"/>
      <c r="U11" s="1"/>
      <c r="V11" s="1"/>
      <c r="X11" s="14"/>
      <c r="Y11" s="14"/>
      <c r="Z11" s="14"/>
      <c r="AA11" s="14"/>
      <c r="AB11" s="14"/>
      <c r="AC11" s="14"/>
      <c r="AD11" s="14"/>
      <c r="AE11" s="14"/>
      <c r="AF11" s="14"/>
      <c r="AJ11" s="121"/>
    </row>
    <row r="12" spans="1:75">
      <c r="A12" s="1" t="s">
        <v>6</v>
      </c>
      <c r="B12" s="14">
        <v>11710</v>
      </c>
      <c r="C12" s="14">
        <v>12209</v>
      </c>
      <c r="D12" s="14">
        <v>11757</v>
      </c>
      <c r="E12" s="14">
        <v>11159.242899999999</v>
      </c>
      <c r="F12" s="14">
        <v>10960.204429999998</v>
      </c>
      <c r="G12" s="14">
        <v>11724.97293</v>
      </c>
      <c r="H12" s="14">
        <v>13914.862800000001</v>
      </c>
      <c r="I12" s="1">
        <v>16758.89977</v>
      </c>
      <c r="J12" s="1">
        <v>13258.911330000001</v>
      </c>
      <c r="K12" s="1">
        <v>12072.862399999998</v>
      </c>
      <c r="L12" s="239">
        <f t="shared" ref="L12:L16" si="6">(K12-J12)*100/J12</f>
        <v>-8.9452964913975528</v>
      </c>
      <c r="M12" s="239">
        <f>(K12-AF12)*100/AF12</f>
        <v>11.327085064434051</v>
      </c>
      <c r="N12" s="14">
        <v>2867</v>
      </c>
      <c r="O12" s="14">
        <v>3078</v>
      </c>
      <c r="P12" s="14">
        <v>3082</v>
      </c>
      <c r="Q12" s="14">
        <v>3417</v>
      </c>
      <c r="R12" s="14">
        <v>3637</v>
      </c>
      <c r="S12" s="14">
        <v>3709</v>
      </c>
      <c r="T12" s="14">
        <v>3989</v>
      </c>
      <c r="U12" s="14">
        <v>4572</v>
      </c>
      <c r="V12" s="14">
        <f>5141765/1000</f>
        <v>5141.7650000000003</v>
      </c>
      <c r="W12" s="14">
        <v>5660</v>
      </c>
      <c r="X12" s="14">
        <v>5867</v>
      </c>
      <c r="Y12" s="14">
        <v>6228</v>
      </c>
      <c r="Z12" s="14">
        <v>6769</v>
      </c>
      <c r="AA12" s="14">
        <v>6681</v>
      </c>
      <c r="AB12" s="14">
        <v>8135</v>
      </c>
      <c r="AC12" s="14">
        <v>10008</v>
      </c>
      <c r="AD12" s="14">
        <v>9702</v>
      </c>
      <c r="AE12" s="14">
        <v>10786.918</v>
      </c>
      <c r="AF12" s="14">
        <v>10844.496999999999</v>
      </c>
      <c r="AG12" s="90">
        <v>9701581.5299999993</v>
      </c>
      <c r="AH12" s="3">
        <f>AG12/1000</f>
        <v>9701.5815299999995</v>
      </c>
      <c r="AJ12" s="120">
        <v>10786918</v>
      </c>
      <c r="AK12" s="3">
        <f>AJ12/1000</f>
        <v>10786.918</v>
      </c>
      <c r="AM12" s="3">
        <v>10844497</v>
      </c>
      <c r="AN12" s="3">
        <f>AM12/1000</f>
        <v>10844.496999999999</v>
      </c>
      <c r="AP12" s="3">
        <v>11710150</v>
      </c>
      <c r="AQ12" s="3">
        <f>AP12/1000</f>
        <v>11710.15</v>
      </c>
      <c r="AS12" s="3">
        <v>12209097</v>
      </c>
      <c r="AT12" s="3">
        <f>AS12/1000</f>
        <v>12209.097</v>
      </c>
      <c r="AV12" s="3">
        <v>11756739</v>
      </c>
      <c r="AW12" s="3">
        <f>AV12/1000</f>
        <v>11756.739</v>
      </c>
      <c r="AY12" s="3">
        <v>11159242.899999999</v>
      </c>
      <c r="AZ12" s="3">
        <f>AY12/1000</f>
        <v>11159.242899999999</v>
      </c>
      <c r="BB12" s="3">
        <v>10960204.429999998</v>
      </c>
      <c r="BC12" s="3">
        <f>BB12/1000</f>
        <v>10960.204429999998</v>
      </c>
      <c r="BD12" s="3">
        <v>11724972.93</v>
      </c>
      <c r="BE12" s="3">
        <f>BD12/1000</f>
        <v>11724.97293</v>
      </c>
      <c r="BG12" s="3">
        <v>14147501.020000001</v>
      </c>
      <c r="BH12" s="3">
        <v>232638.22</v>
      </c>
      <c r="BI12" s="30">
        <f>BG12-BH12</f>
        <v>13914862.800000001</v>
      </c>
      <c r="BJ12" s="3">
        <f>BI12/1000</f>
        <v>13914.862800000001</v>
      </c>
      <c r="BL12" s="3">
        <v>17047593.170000002</v>
      </c>
      <c r="BM12" s="3">
        <v>288693.40000000002</v>
      </c>
      <c r="BN12" s="30">
        <f t="shared" ref="BN12:BN16" si="7">BL12-BM12</f>
        <v>16758899.770000001</v>
      </c>
      <c r="BO12" s="3">
        <f t="shared" ref="BO12:BO16" si="8">BN12/1000</f>
        <v>16758.89977</v>
      </c>
      <c r="BP12" s="3">
        <v>13610427.24</v>
      </c>
      <c r="BQ12" s="3">
        <v>351515.91</v>
      </c>
      <c r="BR12" s="3">
        <f>BP12-BQ12</f>
        <v>13258911.33</v>
      </c>
      <c r="BS12" s="3">
        <f>BR12/1000</f>
        <v>13258.911330000001</v>
      </c>
      <c r="BT12" s="3">
        <v>12347750.319999998</v>
      </c>
      <c r="BU12" s="3">
        <v>274887.92</v>
      </c>
      <c r="BV12" s="3">
        <f>BT12-BU12</f>
        <v>12072862.399999999</v>
      </c>
      <c r="BW12" s="3">
        <f>BV12/1000</f>
        <v>12072.862399999998</v>
      </c>
    </row>
    <row r="13" spans="1:75">
      <c r="A13" s="1" t="s">
        <v>7</v>
      </c>
      <c r="B13" s="14">
        <v>39519</v>
      </c>
      <c r="C13" s="14">
        <v>43475</v>
      </c>
      <c r="D13" s="14">
        <v>44315</v>
      </c>
      <c r="E13" s="14">
        <v>44047.125019999992</v>
      </c>
      <c r="F13" s="14">
        <v>45951.599409999995</v>
      </c>
      <c r="G13" s="14">
        <v>45403.290189999992</v>
      </c>
      <c r="H13" s="14">
        <v>66816.463250000001</v>
      </c>
      <c r="I13" s="1">
        <v>77060.491040000008</v>
      </c>
      <c r="J13" s="1">
        <v>54800.041599999997</v>
      </c>
      <c r="K13" s="1">
        <v>55995.790110000002</v>
      </c>
      <c r="L13" s="239">
        <f t="shared" si="6"/>
        <v>2.1820211720423308</v>
      </c>
      <c r="M13" s="239">
        <f t="shared" ref="M13:M39" si="9">(K13-AF13)*100/AF13</f>
        <v>54.511202959597647</v>
      </c>
      <c r="N13" s="14">
        <v>10022</v>
      </c>
      <c r="O13" s="14">
        <v>10413</v>
      </c>
      <c r="P13" s="14">
        <v>12924</v>
      </c>
      <c r="Q13" s="14">
        <v>10820</v>
      </c>
      <c r="R13" s="14">
        <v>13425</v>
      </c>
      <c r="S13" s="14">
        <v>14249</v>
      </c>
      <c r="T13" s="14">
        <v>14066</v>
      </c>
      <c r="U13" s="14">
        <v>15669</v>
      </c>
      <c r="V13" s="14">
        <f>17273210/1000</f>
        <v>17273.21</v>
      </c>
      <c r="W13" s="14">
        <v>16818</v>
      </c>
      <c r="X13" s="14">
        <v>16930</v>
      </c>
      <c r="Y13" s="14">
        <v>17941</v>
      </c>
      <c r="Z13" s="14">
        <v>15365</v>
      </c>
      <c r="AA13" s="14">
        <v>18958</v>
      </c>
      <c r="AB13" s="14">
        <v>23140</v>
      </c>
      <c r="AC13" s="14">
        <v>22160</v>
      </c>
      <c r="AD13" s="14">
        <v>29263</v>
      </c>
      <c r="AE13" s="14">
        <v>32619.037</v>
      </c>
      <c r="AF13" s="14">
        <v>36240.601999999999</v>
      </c>
      <c r="AG13" s="90">
        <v>29262682.75</v>
      </c>
      <c r="AH13" s="3">
        <f>AG13/1000</f>
        <v>29262.68275</v>
      </c>
      <c r="AJ13" s="120">
        <v>32619037</v>
      </c>
      <c r="AK13" s="3">
        <f>AJ13/1000</f>
        <v>32619.037</v>
      </c>
      <c r="AM13" s="3">
        <v>36240602</v>
      </c>
      <c r="AN13" s="3">
        <f>AM13/1000</f>
        <v>36240.601999999999</v>
      </c>
      <c r="AP13" s="3">
        <v>39518655</v>
      </c>
      <c r="AQ13" s="3">
        <f>AP13/1000</f>
        <v>39518.654999999999</v>
      </c>
      <c r="AS13" s="3">
        <v>43475303</v>
      </c>
      <c r="AT13" s="3">
        <f>AS13/1000</f>
        <v>43475.303</v>
      </c>
      <c r="AV13" s="3">
        <v>44314552</v>
      </c>
      <c r="AW13" s="3">
        <f>AV13/1000</f>
        <v>44314.552000000003</v>
      </c>
      <c r="AY13" s="3">
        <v>44047125.019999996</v>
      </c>
      <c r="AZ13" s="3">
        <f>AY13/1000</f>
        <v>44047.125019999992</v>
      </c>
      <c r="BB13" s="3">
        <v>45951599.409999996</v>
      </c>
      <c r="BC13" s="3">
        <f>BB13/1000</f>
        <v>45951.599409999995</v>
      </c>
      <c r="BD13" s="3">
        <v>45403290.18999999</v>
      </c>
      <c r="BE13" s="3">
        <f>BD13/1000</f>
        <v>45403.290189999992</v>
      </c>
      <c r="BG13" s="3">
        <v>67865600.25</v>
      </c>
      <c r="BH13" s="3">
        <v>1049137</v>
      </c>
      <c r="BI13" s="30">
        <f>BG13-BH13</f>
        <v>66816463.25</v>
      </c>
      <c r="BJ13" s="3">
        <f>BI13/1000</f>
        <v>66816.463250000001</v>
      </c>
      <c r="BL13" s="3">
        <v>78340830.040000007</v>
      </c>
      <c r="BM13" s="3">
        <v>1280339</v>
      </c>
      <c r="BN13" s="30">
        <f t="shared" si="7"/>
        <v>77060491.040000007</v>
      </c>
      <c r="BO13" s="3">
        <f t="shared" si="8"/>
        <v>77060.491040000008</v>
      </c>
      <c r="BP13" s="3">
        <v>55612914.600000009</v>
      </c>
      <c r="BQ13" s="3">
        <v>812873</v>
      </c>
      <c r="BR13" s="3">
        <f t="shared" ref="BR13:BR16" si="10">BP13-BQ13</f>
        <v>54800041.600000009</v>
      </c>
      <c r="BS13" s="3">
        <f t="shared" ref="BS13:BS16" si="11">BR13/1000</f>
        <v>54800.041600000011</v>
      </c>
      <c r="BT13" s="3">
        <v>56986988.109999999</v>
      </c>
      <c r="BU13" s="3">
        <v>991198</v>
      </c>
      <c r="BV13" s="3">
        <f t="shared" ref="BV13:BV39" si="12">BT13-BU13</f>
        <v>55995790.109999999</v>
      </c>
      <c r="BW13" s="3">
        <f t="shared" ref="BW13:BW39" si="13">BV13/1000</f>
        <v>55995.790110000002</v>
      </c>
    </row>
    <row r="14" spans="1:75">
      <c r="A14" s="1" t="s">
        <v>8</v>
      </c>
      <c r="B14" s="14">
        <v>113610</v>
      </c>
      <c r="C14" s="14">
        <v>147471</v>
      </c>
      <c r="D14" s="14">
        <v>130645</v>
      </c>
      <c r="E14" s="14">
        <v>135244.78842</v>
      </c>
      <c r="F14" s="14">
        <v>162776.01142999995</v>
      </c>
      <c r="G14" s="14">
        <v>151498.89481999999</v>
      </c>
      <c r="H14" s="14">
        <v>232318.34558000005</v>
      </c>
      <c r="I14" s="1">
        <v>275847.51033999998</v>
      </c>
      <c r="J14" s="1">
        <v>203998.89293</v>
      </c>
      <c r="K14" s="1">
        <v>178832.83212000001</v>
      </c>
      <c r="L14" s="239">
        <f t="shared" si="6"/>
        <v>-12.336371265816355</v>
      </c>
      <c r="M14" s="239">
        <f t="shared" si="9"/>
        <v>25.234910388183007</v>
      </c>
      <c r="N14" s="14">
        <v>45795</v>
      </c>
      <c r="O14" s="14">
        <v>48609</v>
      </c>
      <c r="P14" s="14">
        <v>49575</v>
      </c>
      <c r="Q14" s="14">
        <v>51918</v>
      </c>
      <c r="R14" s="14">
        <v>55495</v>
      </c>
      <c r="S14" s="14">
        <v>61106</v>
      </c>
      <c r="T14" s="14">
        <v>68401</v>
      </c>
      <c r="U14" s="14">
        <v>77236</v>
      </c>
      <c r="V14" s="14">
        <f>83543443/1000</f>
        <v>83543.442999999999</v>
      </c>
      <c r="W14" s="14">
        <v>75897</v>
      </c>
      <c r="X14" s="14">
        <v>78577</v>
      </c>
      <c r="Y14" s="14">
        <v>79756</v>
      </c>
      <c r="Z14" s="14">
        <v>99987</v>
      </c>
      <c r="AA14" s="14">
        <v>98507</v>
      </c>
      <c r="AB14" s="14">
        <v>107912</v>
      </c>
      <c r="AC14" s="14">
        <v>107464</v>
      </c>
      <c r="AD14" s="14">
        <v>148228</v>
      </c>
      <c r="AE14" s="14">
        <v>150340.122</v>
      </c>
      <c r="AF14" s="14">
        <v>142797.908</v>
      </c>
      <c r="AG14" s="90">
        <v>148228409.91999999</v>
      </c>
      <c r="AH14" s="3">
        <f>AG14/1000</f>
        <v>148228.40991999998</v>
      </c>
      <c r="AJ14" s="120">
        <v>150340122</v>
      </c>
      <c r="AK14" s="3">
        <f>AJ14/1000</f>
        <v>150340.122</v>
      </c>
      <c r="AM14" s="3">
        <v>142797908</v>
      </c>
      <c r="AN14" s="3">
        <f>AM14/1000</f>
        <v>142797.908</v>
      </c>
      <c r="AP14" s="3">
        <v>113610304</v>
      </c>
      <c r="AQ14" s="3">
        <f>AP14/1000</f>
        <v>113610.304</v>
      </c>
      <c r="AS14" s="3">
        <v>147471453</v>
      </c>
      <c r="AT14" s="3">
        <f>AS14/1000</f>
        <v>147471.45300000001</v>
      </c>
      <c r="AV14" s="3">
        <v>130645202</v>
      </c>
      <c r="AW14" s="3">
        <f>AV14/1000</f>
        <v>130645.202</v>
      </c>
      <c r="AY14" s="3">
        <v>135244788.41999999</v>
      </c>
      <c r="AZ14" s="3">
        <f>AY14/1000</f>
        <v>135244.78842</v>
      </c>
      <c r="BB14" s="3">
        <v>162776011.42999995</v>
      </c>
      <c r="BC14" s="3">
        <f>BB14/1000</f>
        <v>162776.01142999995</v>
      </c>
      <c r="BD14" s="3">
        <v>151498894.81999999</v>
      </c>
      <c r="BE14" s="3">
        <f>BD14/1000</f>
        <v>151498.89481999999</v>
      </c>
      <c r="BG14" s="3">
        <v>232318345.58000004</v>
      </c>
      <c r="BH14" s="3">
        <v>0</v>
      </c>
      <c r="BI14" s="30">
        <f>BG14-BH14</f>
        <v>232318345.58000004</v>
      </c>
      <c r="BJ14" s="3">
        <f>BI14/1000</f>
        <v>232318.34558000005</v>
      </c>
      <c r="BL14" s="3">
        <v>277753958.79999995</v>
      </c>
      <c r="BM14" s="3">
        <v>1906448.46</v>
      </c>
      <c r="BN14" s="30">
        <f t="shared" si="7"/>
        <v>275847510.33999997</v>
      </c>
      <c r="BO14" s="3">
        <f t="shared" si="8"/>
        <v>275847.51033999998</v>
      </c>
      <c r="BP14" s="3">
        <v>203998892.92999998</v>
      </c>
      <c r="BQ14" s="3">
        <v>0</v>
      </c>
      <c r="BR14" s="3">
        <f t="shared" si="10"/>
        <v>203998892.92999998</v>
      </c>
      <c r="BS14" s="3">
        <f t="shared" si="11"/>
        <v>203998.89292999997</v>
      </c>
      <c r="BT14" s="3">
        <v>178832832.12</v>
      </c>
      <c r="BU14" s="3">
        <v>0</v>
      </c>
      <c r="BV14" s="3">
        <f t="shared" si="12"/>
        <v>178832832.12</v>
      </c>
      <c r="BW14" s="3">
        <f t="shared" si="13"/>
        <v>178832.83212000001</v>
      </c>
    </row>
    <row r="15" spans="1:75">
      <c r="A15" s="1" t="s">
        <v>9</v>
      </c>
      <c r="B15" s="14">
        <v>67682</v>
      </c>
      <c r="C15" s="14">
        <v>75162</v>
      </c>
      <c r="D15" s="14">
        <v>84271</v>
      </c>
      <c r="E15" s="14">
        <v>90996.1826</v>
      </c>
      <c r="F15" s="14">
        <v>81476.794289999991</v>
      </c>
      <c r="G15" s="14">
        <v>73978.956939999989</v>
      </c>
      <c r="H15" s="14">
        <v>112087.81902000001</v>
      </c>
      <c r="I15" s="1">
        <v>136282.94493999999</v>
      </c>
      <c r="J15" s="1">
        <v>88911.026509999996</v>
      </c>
      <c r="K15" s="1">
        <v>91798.619049999994</v>
      </c>
      <c r="L15" s="239">
        <f t="shared" si="6"/>
        <v>3.2477327653789092</v>
      </c>
      <c r="M15" s="239">
        <f t="shared" si="9"/>
        <v>49.363303389987827</v>
      </c>
      <c r="N15" s="14">
        <v>10271</v>
      </c>
      <c r="O15" s="14">
        <v>10596</v>
      </c>
      <c r="P15" s="14">
        <v>10861</v>
      </c>
      <c r="Q15" s="14">
        <v>11208</v>
      </c>
      <c r="R15" s="14">
        <v>12554</v>
      </c>
      <c r="S15" s="14">
        <v>13570</v>
      </c>
      <c r="T15" s="14">
        <v>14633</v>
      </c>
      <c r="U15" s="14">
        <v>15802</v>
      </c>
      <c r="V15" s="14">
        <f>17104138/1000</f>
        <v>17104.137999999999</v>
      </c>
      <c r="W15" s="14">
        <v>25374</v>
      </c>
      <c r="X15" s="14">
        <v>27499</v>
      </c>
      <c r="Y15" s="14">
        <v>26910</v>
      </c>
      <c r="Z15" s="14">
        <v>34839</v>
      </c>
      <c r="AA15" s="14">
        <v>37629</v>
      </c>
      <c r="AB15" s="14">
        <v>37275</v>
      </c>
      <c r="AC15" s="14">
        <v>42527</v>
      </c>
      <c r="AD15" s="14">
        <v>46767</v>
      </c>
      <c r="AE15" s="14">
        <v>51437.726999999999</v>
      </c>
      <c r="AF15" s="14">
        <v>61459.955000000002</v>
      </c>
      <c r="AG15" s="90">
        <v>46767234.049999997</v>
      </c>
      <c r="AH15" s="3">
        <f>AG15/1000</f>
        <v>46767.234049999999</v>
      </c>
      <c r="AJ15" s="120">
        <v>51437727</v>
      </c>
      <c r="AK15" s="3">
        <f>AJ15/1000</f>
        <v>51437.726999999999</v>
      </c>
      <c r="AM15" s="3">
        <v>61459955</v>
      </c>
      <c r="AN15" s="3">
        <f>AM15/1000</f>
        <v>61459.955000000002</v>
      </c>
      <c r="AP15" s="3">
        <v>67681614</v>
      </c>
      <c r="AQ15" s="3">
        <f>AP15/1000</f>
        <v>67681.614000000001</v>
      </c>
      <c r="AS15" s="3">
        <v>75161578</v>
      </c>
      <c r="AT15" s="3">
        <f>AS15/1000</f>
        <v>75161.577999999994</v>
      </c>
      <c r="AV15" s="3">
        <v>84270817</v>
      </c>
      <c r="AW15" s="3">
        <f>AV15/1000</f>
        <v>84270.816999999995</v>
      </c>
      <c r="AY15" s="3">
        <v>90996182.599999994</v>
      </c>
      <c r="AZ15" s="3">
        <f>AY15/1000</f>
        <v>90996.1826</v>
      </c>
      <c r="BB15" s="3">
        <v>81476794.289999992</v>
      </c>
      <c r="BC15" s="3">
        <f>BB15/1000</f>
        <v>81476.794289999991</v>
      </c>
      <c r="BD15" s="3">
        <v>73978956.939999983</v>
      </c>
      <c r="BE15" s="3">
        <f>BD15/1000</f>
        <v>73978.956939999989</v>
      </c>
      <c r="BG15" s="3">
        <v>113966114.02000001</v>
      </c>
      <c r="BH15" s="3">
        <v>1878295</v>
      </c>
      <c r="BI15" s="30">
        <f>BG15-BH15</f>
        <v>112087819.02000001</v>
      </c>
      <c r="BJ15" s="3">
        <f>BI15/1000</f>
        <v>112087.81902000001</v>
      </c>
      <c r="BL15" s="3">
        <v>138274548.94</v>
      </c>
      <c r="BM15" s="3">
        <v>1991604</v>
      </c>
      <c r="BN15" s="30">
        <f t="shared" si="7"/>
        <v>136282944.94</v>
      </c>
      <c r="BO15" s="3">
        <f t="shared" si="8"/>
        <v>136282.94493999999</v>
      </c>
      <c r="BP15" s="3">
        <v>90954594.510000005</v>
      </c>
      <c r="BQ15" s="3">
        <v>2043568</v>
      </c>
      <c r="BR15" s="3">
        <f t="shared" si="10"/>
        <v>88911026.510000005</v>
      </c>
      <c r="BS15" s="3">
        <f t="shared" si="11"/>
        <v>88911.026510000011</v>
      </c>
      <c r="BT15" s="3">
        <v>94037693.049999997</v>
      </c>
      <c r="BU15" s="3">
        <v>2239074</v>
      </c>
      <c r="BV15" s="3">
        <f t="shared" si="12"/>
        <v>91798619.049999997</v>
      </c>
      <c r="BW15" s="3">
        <f t="shared" si="13"/>
        <v>91798.619049999994</v>
      </c>
    </row>
    <row r="16" spans="1:75">
      <c r="A16" s="1" t="s">
        <v>10</v>
      </c>
      <c r="B16" s="14">
        <v>8781</v>
      </c>
      <c r="C16" s="14">
        <v>8236</v>
      </c>
      <c r="D16" s="14">
        <v>8337</v>
      </c>
      <c r="E16" s="14">
        <v>7345.6881599999988</v>
      </c>
      <c r="F16" s="14">
        <v>7939.8072300000003</v>
      </c>
      <c r="G16" s="14">
        <v>7817.6330599999992</v>
      </c>
      <c r="H16" s="14">
        <v>11650.43266</v>
      </c>
      <c r="I16" s="1">
        <v>15394.673859999997</v>
      </c>
      <c r="J16" s="1">
        <v>10062.163780000001</v>
      </c>
      <c r="K16" s="1">
        <v>8885.8235299999997</v>
      </c>
      <c r="L16" s="239">
        <f t="shared" si="6"/>
        <v>-11.690728512471113</v>
      </c>
      <c r="M16" s="239">
        <f t="shared" si="9"/>
        <v>17.763700705681774</v>
      </c>
      <c r="N16" s="14">
        <v>1578</v>
      </c>
      <c r="O16" s="14">
        <v>1737</v>
      </c>
      <c r="P16" s="14">
        <v>1619</v>
      </c>
      <c r="Q16" s="14">
        <v>1632</v>
      </c>
      <c r="R16" s="14">
        <v>1861</v>
      </c>
      <c r="S16" s="14">
        <v>1918</v>
      </c>
      <c r="T16" s="14">
        <v>2355</v>
      </c>
      <c r="U16" s="14">
        <v>2330</v>
      </c>
      <c r="V16" s="14">
        <f>2701527/1000</f>
        <v>2701.527</v>
      </c>
      <c r="W16" s="14">
        <v>2770</v>
      </c>
      <c r="X16" s="14">
        <v>2791</v>
      </c>
      <c r="Y16" s="14">
        <v>2835</v>
      </c>
      <c r="Z16" s="14">
        <v>3145</v>
      </c>
      <c r="AA16" s="14">
        <v>3644</v>
      </c>
      <c r="AB16" s="14">
        <v>4413</v>
      </c>
      <c r="AC16" s="14">
        <v>5110</v>
      </c>
      <c r="AD16" s="14">
        <v>6178</v>
      </c>
      <c r="AE16" s="14">
        <v>7000.9970000000003</v>
      </c>
      <c r="AF16" s="14">
        <v>7545.4690000000001</v>
      </c>
      <c r="AG16" s="90">
        <v>6178363.54</v>
      </c>
      <c r="AH16" s="3">
        <f>AG16/1000</f>
        <v>6178.3635400000003</v>
      </c>
      <c r="AJ16" s="120">
        <v>7000997</v>
      </c>
      <c r="AK16" s="3">
        <f>AJ16/1000</f>
        <v>7000.9970000000003</v>
      </c>
      <c r="AM16" s="3">
        <v>7545469</v>
      </c>
      <c r="AN16" s="3">
        <f>AM16/1000</f>
        <v>7545.4690000000001</v>
      </c>
      <c r="AP16" s="3">
        <v>8781393</v>
      </c>
      <c r="AQ16" s="3">
        <f>AP16/1000</f>
        <v>8781.393</v>
      </c>
      <c r="AS16" s="3">
        <v>8236236</v>
      </c>
      <c r="AT16" s="3">
        <f>AS16/1000</f>
        <v>8236.2360000000008</v>
      </c>
      <c r="AV16" s="3">
        <v>8337300</v>
      </c>
      <c r="AW16" s="3">
        <f>AV16/1000</f>
        <v>8337.2999999999993</v>
      </c>
      <c r="AY16" s="3">
        <v>7345688.1599999992</v>
      </c>
      <c r="AZ16" s="3">
        <f>AY16/1000</f>
        <v>7345.6881599999988</v>
      </c>
      <c r="BB16" s="3">
        <v>7939807.2300000004</v>
      </c>
      <c r="BC16" s="3">
        <f>BB16/1000</f>
        <v>7939.8072300000003</v>
      </c>
      <c r="BD16" s="3">
        <v>7817633.0599999996</v>
      </c>
      <c r="BE16" s="3">
        <f>BD16/1000</f>
        <v>7817.6330599999992</v>
      </c>
      <c r="BG16" s="3">
        <v>11882053.66</v>
      </c>
      <c r="BH16" s="3">
        <v>231621</v>
      </c>
      <c r="BI16" s="30">
        <f>BG16-BH16</f>
        <v>11650432.66</v>
      </c>
      <c r="BJ16" s="3">
        <f>BI16/1000</f>
        <v>11650.43266</v>
      </c>
      <c r="BL16" s="3">
        <v>15670566.859999998</v>
      </c>
      <c r="BM16" s="3">
        <v>275893</v>
      </c>
      <c r="BN16" s="30">
        <f t="shared" si="7"/>
        <v>15394673.859999998</v>
      </c>
      <c r="BO16" s="3">
        <f t="shared" si="8"/>
        <v>15394.673859999997</v>
      </c>
      <c r="BP16" s="3">
        <v>10270465.780000001</v>
      </c>
      <c r="BQ16" s="3">
        <v>208302</v>
      </c>
      <c r="BR16" s="3">
        <f t="shared" si="10"/>
        <v>10062163.780000001</v>
      </c>
      <c r="BS16" s="3">
        <f t="shared" si="11"/>
        <v>10062.163780000001</v>
      </c>
      <c r="BT16" s="3">
        <v>9101589.5299999993</v>
      </c>
      <c r="BU16" s="3">
        <v>215766</v>
      </c>
      <c r="BV16" s="3">
        <f t="shared" si="12"/>
        <v>8885823.5299999993</v>
      </c>
      <c r="BW16" s="3">
        <f t="shared" si="13"/>
        <v>8885.8235299999997</v>
      </c>
    </row>
    <row r="17" spans="1:75">
      <c r="B17" s="14"/>
      <c r="C17" s="14"/>
      <c r="D17" s="14"/>
      <c r="E17" s="14"/>
      <c r="F17" s="14"/>
      <c r="G17" s="14"/>
      <c r="H17" s="14"/>
      <c r="L17" s="239"/>
      <c r="M17" s="239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30"/>
      <c r="AJ17" s="120"/>
    </row>
    <row r="18" spans="1:75">
      <c r="A18" s="1" t="s">
        <v>11</v>
      </c>
      <c r="B18" s="14">
        <v>4924</v>
      </c>
      <c r="C18" s="14">
        <v>5025</v>
      </c>
      <c r="D18" s="14">
        <v>5459</v>
      </c>
      <c r="E18" s="14">
        <v>4978.9544400000004</v>
      </c>
      <c r="F18" s="14">
        <v>5495.37021</v>
      </c>
      <c r="G18" s="14">
        <v>5272.4346400000013</v>
      </c>
      <c r="H18" s="14">
        <v>8297.6495400000003</v>
      </c>
      <c r="I18" s="1">
        <v>8750.2059100000006</v>
      </c>
      <c r="J18" s="1">
        <v>7181.8702000000003</v>
      </c>
      <c r="K18" s="1">
        <v>6315.2649299999994</v>
      </c>
      <c r="L18" s="239">
        <f t="shared" ref="L18:L22" si="14">(K18-J18)*100/J18</f>
        <v>-12.066568259615732</v>
      </c>
      <c r="M18" s="239">
        <f t="shared" si="9"/>
        <v>33.700870817896273</v>
      </c>
      <c r="N18" s="14">
        <v>1157</v>
      </c>
      <c r="O18" s="14">
        <v>1134</v>
      </c>
      <c r="P18" s="14">
        <v>1180</v>
      </c>
      <c r="Q18" s="14">
        <v>1274</v>
      </c>
      <c r="R18" s="14">
        <v>1469</v>
      </c>
      <c r="S18" s="14">
        <v>1497</v>
      </c>
      <c r="T18" s="14">
        <v>1587</v>
      </c>
      <c r="U18" s="14">
        <v>1666</v>
      </c>
      <c r="V18" s="14">
        <f>1889535/1000</f>
        <v>1889.5350000000001</v>
      </c>
      <c r="W18" s="14">
        <v>2119</v>
      </c>
      <c r="X18" s="14">
        <v>2198</v>
      </c>
      <c r="Y18" s="14">
        <v>2503</v>
      </c>
      <c r="Z18" s="14">
        <v>2455</v>
      </c>
      <c r="AA18" s="14">
        <v>2437</v>
      </c>
      <c r="AB18" s="14">
        <v>3092</v>
      </c>
      <c r="AC18" s="14">
        <v>3248</v>
      </c>
      <c r="AD18" s="14">
        <v>3549</v>
      </c>
      <c r="AE18" s="14">
        <v>4619.5110400000003</v>
      </c>
      <c r="AF18" s="14">
        <v>4723.4284200000002</v>
      </c>
      <c r="AG18" s="90">
        <v>3548623.45</v>
      </c>
      <c r="AH18" s="3">
        <f>AG18/1000</f>
        <v>3548.62345</v>
      </c>
      <c r="AJ18" s="120">
        <v>4619511.04</v>
      </c>
      <c r="AK18" s="3">
        <f>AJ18/1000</f>
        <v>4619.5110400000003</v>
      </c>
      <c r="AM18" s="3">
        <v>4723428.42</v>
      </c>
      <c r="AN18" s="3">
        <f>AM18/1000</f>
        <v>4723.4284200000002</v>
      </c>
      <c r="AP18" s="3">
        <v>4924429.5</v>
      </c>
      <c r="AQ18" s="3">
        <f>AP18/1000</f>
        <v>4924.4295000000002</v>
      </c>
      <c r="AS18" s="3">
        <v>5024730.95</v>
      </c>
      <c r="AT18" s="3">
        <f>AS18/1000</f>
        <v>5024.7309500000001</v>
      </c>
      <c r="AV18" s="3">
        <v>5458530</v>
      </c>
      <c r="AW18" s="3">
        <f>AV18/1000</f>
        <v>5458.53</v>
      </c>
      <c r="AY18" s="3">
        <v>4978954.4400000004</v>
      </c>
      <c r="AZ18" s="3">
        <f>AY18/1000</f>
        <v>4978.9544400000004</v>
      </c>
      <c r="BB18" s="3">
        <v>5495370.21</v>
      </c>
      <c r="BC18" s="3">
        <f>BB18/1000</f>
        <v>5495.37021</v>
      </c>
      <c r="BD18" s="3">
        <v>5272434.6400000015</v>
      </c>
      <c r="BE18" s="3">
        <f>BD18/1000</f>
        <v>5272.4346400000013</v>
      </c>
      <c r="BG18" s="3">
        <v>8297649.54</v>
      </c>
      <c r="BH18" s="3">
        <v>0</v>
      </c>
      <c r="BI18" s="30">
        <f>BG18-BH18</f>
        <v>8297649.54</v>
      </c>
      <c r="BJ18" s="3">
        <f>BI18/1000</f>
        <v>8297.6495400000003</v>
      </c>
      <c r="BL18" s="3">
        <v>8750205.9100000001</v>
      </c>
      <c r="BM18" s="3">
        <v>0</v>
      </c>
      <c r="BN18" s="30">
        <f t="shared" ref="BN18:BN22" si="15">BL18-BM18</f>
        <v>8750205.9100000001</v>
      </c>
      <c r="BO18" s="3">
        <f t="shared" ref="BO18:BO22" si="16">BN18/1000</f>
        <v>8750.2059100000006</v>
      </c>
      <c r="BP18" s="3">
        <v>7181870.1999999993</v>
      </c>
      <c r="BQ18" s="3">
        <v>0</v>
      </c>
      <c r="BR18" s="3">
        <f>BP18-BQ18</f>
        <v>7181870.1999999993</v>
      </c>
      <c r="BS18" s="3">
        <f>BR18/1000</f>
        <v>7181.8701999999994</v>
      </c>
      <c r="BT18" s="3">
        <v>6315264.9299999997</v>
      </c>
      <c r="BU18" s="3">
        <v>0</v>
      </c>
      <c r="BV18" s="3">
        <f t="shared" si="12"/>
        <v>6315264.9299999997</v>
      </c>
      <c r="BW18" s="3">
        <f t="shared" si="13"/>
        <v>6315.2649299999994</v>
      </c>
    </row>
    <row r="19" spans="1:75">
      <c r="A19" s="1" t="s">
        <v>12</v>
      </c>
      <c r="B19" s="14">
        <v>13144</v>
      </c>
      <c r="C19" s="14">
        <v>13046</v>
      </c>
      <c r="D19" s="14">
        <v>13604</v>
      </c>
      <c r="E19" s="14">
        <v>11414.34369</v>
      </c>
      <c r="F19" s="14">
        <v>12268.212390000001</v>
      </c>
      <c r="G19" s="14">
        <v>12674.67497</v>
      </c>
      <c r="H19" s="14">
        <v>17381.510130000002</v>
      </c>
      <c r="I19" s="1">
        <v>16914.019080000002</v>
      </c>
      <c r="J19" s="1">
        <v>19519.139859999999</v>
      </c>
      <c r="K19" s="1">
        <v>14093.135870000002</v>
      </c>
      <c r="L19" s="239">
        <f t="shared" si="14"/>
        <v>-27.798376511043646</v>
      </c>
      <c r="M19" s="239">
        <f t="shared" si="9"/>
        <v>17.603661124474783</v>
      </c>
      <c r="N19" s="14">
        <v>2234</v>
      </c>
      <c r="O19" s="14">
        <v>2423</v>
      </c>
      <c r="P19" s="14">
        <v>2461</v>
      </c>
      <c r="Q19" s="14">
        <v>2486</v>
      </c>
      <c r="R19" s="14">
        <v>2628</v>
      </c>
      <c r="S19" s="14">
        <v>2922</v>
      </c>
      <c r="T19" s="14">
        <v>3230</v>
      </c>
      <c r="U19" s="14">
        <v>3768</v>
      </c>
      <c r="V19" s="14">
        <f>4308882/1000</f>
        <v>4308.8819999999996</v>
      </c>
      <c r="W19" s="14">
        <v>4525</v>
      </c>
      <c r="X19" s="14">
        <v>4786</v>
      </c>
      <c r="Y19" s="14">
        <v>4526</v>
      </c>
      <c r="Z19" s="14">
        <v>4633</v>
      </c>
      <c r="AA19" s="14">
        <v>4990</v>
      </c>
      <c r="AB19" s="14">
        <v>6397</v>
      </c>
      <c r="AC19" s="14">
        <v>6924</v>
      </c>
      <c r="AD19" s="14">
        <v>8639</v>
      </c>
      <c r="AE19" s="14">
        <v>9611.0310000000009</v>
      </c>
      <c r="AF19" s="14">
        <v>11983.585999999999</v>
      </c>
      <c r="AG19" s="90">
        <v>8638568.3200000003</v>
      </c>
      <c r="AH19" s="3">
        <f>AG19/1000</f>
        <v>8638.5683200000003</v>
      </c>
      <c r="AJ19" s="120">
        <v>9611031</v>
      </c>
      <c r="AK19" s="3">
        <f>AJ19/1000</f>
        <v>9611.0310000000009</v>
      </c>
      <c r="AM19" s="3">
        <v>11983586</v>
      </c>
      <c r="AN19" s="3">
        <f>AM19/1000</f>
        <v>11983.585999999999</v>
      </c>
      <c r="AP19" s="3">
        <v>13143958</v>
      </c>
      <c r="AQ19" s="3">
        <f>AP19/1000</f>
        <v>13143.958000000001</v>
      </c>
      <c r="AS19" s="3">
        <v>13045698</v>
      </c>
      <c r="AT19" s="3">
        <f>AS19/1000</f>
        <v>13045.698</v>
      </c>
      <c r="AV19" s="3">
        <v>13603656</v>
      </c>
      <c r="AW19" s="3">
        <f>AV19/1000</f>
        <v>13603.656000000001</v>
      </c>
      <c r="AY19" s="3">
        <v>11414343.689999999</v>
      </c>
      <c r="AZ19" s="3">
        <f>AY19/1000</f>
        <v>11414.34369</v>
      </c>
      <c r="BB19" s="3">
        <v>12268212.390000001</v>
      </c>
      <c r="BC19" s="3">
        <f>BB19/1000</f>
        <v>12268.212390000001</v>
      </c>
      <c r="BD19" s="3">
        <v>12674674.970000001</v>
      </c>
      <c r="BE19" s="3">
        <f>BD19/1000</f>
        <v>12674.67497</v>
      </c>
      <c r="BG19" s="3">
        <v>17734611.690000001</v>
      </c>
      <c r="BH19" s="3">
        <v>353101.56</v>
      </c>
      <c r="BI19" s="30">
        <f>BG19-BH19</f>
        <v>17381510.130000003</v>
      </c>
      <c r="BJ19" s="3">
        <f>BI19/1000</f>
        <v>17381.510130000002</v>
      </c>
      <c r="BL19" s="3">
        <v>17383648.180000003</v>
      </c>
      <c r="BM19" s="3">
        <v>469629.1</v>
      </c>
      <c r="BN19" s="30">
        <f t="shared" si="15"/>
        <v>16914019.080000002</v>
      </c>
      <c r="BO19" s="3">
        <f t="shared" si="16"/>
        <v>16914.019080000002</v>
      </c>
      <c r="BP19" s="3">
        <v>19852747.090000004</v>
      </c>
      <c r="BQ19" s="3">
        <v>333607.23</v>
      </c>
      <c r="BR19" s="3">
        <f t="shared" ref="BR19:BR22" si="17">BP19-BQ19</f>
        <v>19519139.860000003</v>
      </c>
      <c r="BS19" s="3">
        <f t="shared" ref="BS19:BS22" si="18">BR19/1000</f>
        <v>19519.139860000003</v>
      </c>
      <c r="BT19" s="3">
        <v>14500598.82</v>
      </c>
      <c r="BU19" s="3">
        <v>407462.95</v>
      </c>
      <c r="BV19" s="3">
        <f t="shared" si="12"/>
        <v>14093135.870000001</v>
      </c>
      <c r="BW19" s="3">
        <f t="shared" si="13"/>
        <v>14093.135870000002</v>
      </c>
    </row>
    <row r="20" spans="1:75">
      <c r="A20" s="1" t="s">
        <v>13</v>
      </c>
      <c r="B20" s="14">
        <v>9789</v>
      </c>
      <c r="C20" s="14">
        <v>10176</v>
      </c>
      <c r="D20" s="14">
        <v>9985</v>
      </c>
      <c r="E20" s="14">
        <v>9882.6428800000012</v>
      </c>
      <c r="F20" s="14">
        <v>10041.676049999998</v>
      </c>
      <c r="G20" s="14">
        <v>10948.470459999999</v>
      </c>
      <c r="H20" s="14">
        <v>15982.101990000001</v>
      </c>
      <c r="I20" s="1">
        <v>20422.075210000003</v>
      </c>
      <c r="J20" s="1">
        <v>13715.057339999999</v>
      </c>
      <c r="K20" s="1">
        <v>13152.714969999999</v>
      </c>
      <c r="L20" s="239">
        <f t="shared" si="14"/>
        <v>-4.1001824203820671</v>
      </c>
      <c r="M20" s="239">
        <f t="shared" si="9"/>
        <v>45.909734907339264</v>
      </c>
      <c r="N20" s="14">
        <v>1843</v>
      </c>
      <c r="O20" s="14">
        <v>2009</v>
      </c>
      <c r="P20" s="14">
        <v>2080</v>
      </c>
      <c r="Q20" s="14">
        <v>2141</v>
      </c>
      <c r="R20" s="14">
        <v>2143</v>
      </c>
      <c r="S20" s="14">
        <v>2404</v>
      </c>
      <c r="T20" s="14">
        <v>2441</v>
      </c>
      <c r="U20" s="14">
        <v>2714</v>
      </c>
      <c r="V20" s="14">
        <f>3030411/1000</f>
        <v>3030.4110000000001</v>
      </c>
      <c r="W20" s="14">
        <v>3502</v>
      </c>
      <c r="X20" s="14">
        <v>3774</v>
      </c>
      <c r="Y20" s="14">
        <v>3672</v>
      </c>
      <c r="Z20" s="14">
        <v>3914</v>
      </c>
      <c r="AA20" s="14">
        <v>4527</v>
      </c>
      <c r="AB20" s="14">
        <v>5495</v>
      </c>
      <c r="AC20" s="14">
        <v>5975</v>
      </c>
      <c r="AD20" s="14">
        <v>7167</v>
      </c>
      <c r="AE20" s="14">
        <v>8468.7080000000005</v>
      </c>
      <c r="AF20" s="14">
        <v>9014.2819999999992</v>
      </c>
      <c r="AG20" s="90">
        <v>7167279.9699999997</v>
      </c>
      <c r="AH20" s="3">
        <f>AG20/1000</f>
        <v>7167.2799699999996</v>
      </c>
      <c r="AJ20" s="120">
        <v>8468708</v>
      </c>
      <c r="AK20" s="3">
        <f>AJ20/1000</f>
        <v>8468.7080000000005</v>
      </c>
      <c r="AM20" s="3">
        <v>9014282</v>
      </c>
      <c r="AN20" s="3">
        <f>AM20/1000</f>
        <v>9014.2819999999992</v>
      </c>
      <c r="AP20" s="3">
        <v>9789152</v>
      </c>
      <c r="AQ20" s="3">
        <f>AP20/1000</f>
        <v>9789.152</v>
      </c>
      <c r="AS20" s="3">
        <v>10175706</v>
      </c>
      <c r="AT20" s="3">
        <f>AS20/1000</f>
        <v>10175.706</v>
      </c>
      <c r="AV20" s="3">
        <v>9985010</v>
      </c>
      <c r="AW20" s="3">
        <f>AV20/1000</f>
        <v>9985.01</v>
      </c>
      <c r="AY20" s="3">
        <v>9882642.8800000008</v>
      </c>
      <c r="AZ20" s="3">
        <f>AY20/1000</f>
        <v>9882.6428800000012</v>
      </c>
      <c r="BB20" s="3">
        <v>10041676.049999999</v>
      </c>
      <c r="BC20" s="3">
        <f>BB20/1000</f>
        <v>10041.676049999998</v>
      </c>
      <c r="BD20" s="3">
        <v>10948470.459999999</v>
      </c>
      <c r="BE20" s="3">
        <f>BD20/1000</f>
        <v>10948.470459999999</v>
      </c>
      <c r="BG20" s="3">
        <v>16260647.32</v>
      </c>
      <c r="BH20" s="3">
        <v>278545.33</v>
      </c>
      <c r="BI20" s="30">
        <f>BG20-BH20</f>
        <v>15982101.99</v>
      </c>
      <c r="BJ20" s="3">
        <f>BI20/1000</f>
        <v>15982.101990000001</v>
      </c>
      <c r="BL20" s="3">
        <v>20774713</v>
      </c>
      <c r="BM20" s="3">
        <v>352637.79</v>
      </c>
      <c r="BN20" s="30">
        <f t="shared" si="15"/>
        <v>20422075.210000001</v>
      </c>
      <c r="BO20" s="3">
        <f t="shared" si="16"/>
        <v>20422.075210000003</v>
      </c>
      <c r="BP20" s="3">
        <v>13994213.24</v>
      </c>
      <c r="BQ20" s="3">
        <v>279155.90000000002</v>
      </c>
      <c r="BR20" s="3">
        <f t="shared" si="17"/>
        <v>13715057.34</v>
      </c>
      <c r="BS20" s="3">
        <f t="shared" si="18"/>
        <v>13715.057339999999</v>
      </c>
      <c r="BT20" s="3">
        <v>13442616.939999999</v>
      </c>
      <c r="BU20" s="3">
        <v>289901.96999999997</v>
      </c>
      <c r="BV20" s="3">
        <f t="shared" si="12"/>
        <v>13152714.969999999</v>
      </c>
      <c r="BW20" s="3">
        <f t="shared" si="13"/>
        <v>13152.714969999999</v>
      </c>
    </row>
    <row r="21" spans="1:75">
      <c r="A21" s="1" t="s">
        <v>14</v>
      </c>
      <c r="B21" s="14">
        <v>13581</v>
      </c>
      <c r="C21" s="14">
        <v>14384</v>
      </c>
      <c r="D21" s="14">
        <v>14364</v>
      </c>
      <c r="E21" s="14">
        <v>12879.96377</v>
      </c>
      <c r="F21" s="14">
        <v>14598.955040000001</v>
      </c>
      <c r="G21" s="14">
        <v>16060.923339999998</v>
      </c>
      <c r="H21" s="14">
        <v>22742.327450000004</v>
      </c>
      <c r="I21" s="1">
        <v>21376.531200000001</v>
      </c>
      <c r="J21" s="1">
        <v>23627.169620000001</v>
      </c>
      <c r="K21" s="1">
        <v>17905.12932</v>
      </c>
      <c r="L21" s="239">
        <f t="shared" si="14"/>
        <v>-24.218052318701726</v>
      </c>
      <c r="M21" s="239">
        <f t="shared" si="9"/>
        <v>46.242515957511969</v>
      </c>
      <c r="N21" s="14">
        <v>3077</v>
      </c>
      <c r="O21" s="14">
        <v>3389</v>
      </c>
      <c r="P21" s="14">
        <v>3387</v>
      </c>
      <c r="Q21" s="14">
        <v>3378</v>
      </c>
      <c r="R21" s="14">
        <v>3452</v>
      </c>
      <c r="S21" s="14">
        <v>4055</v>
      </c>
      <c r="T21" s="14">
        <v>3792</v>
      </c>
      <c r="U21" s="14">
        <v>4697</v>
      </c>
      <c r="V21" s="14">
        <f>5160627/1000</f>
        <v>5160.6270000000004</v>
      </c>
      <c r="W21" s="14">
        <v>5468</v>
      </c>
      <c r="X21" s="14">
        <v>5570</v>
      </c>
      <c r="Y21" s="14">
        <v>5085</v>
      </c>
      <c r="Z21" s="14">
        <v>4982</v>
      </c>
      <c r="AA21" s="14">
        <v>5929</v>
      </c>
      <c r="AB21" s="14">
        <v>7204</v>
      </c>
      <c r="AC21" s="14">
        <v>8237</v>
      </c>
      <c r="AD21" s="14">
        <v>9045</v>
      </c>
      <c r="AE21" s="14">
        <v>10021.549999999999</v>
      </c>
      <c r="AF21" s="14">
        <v>12243.45</v>
      </c>
      <c r="AG21" s="90">
        <v>9045458.0099999998</v>
      </c>
      <c r="AH21" s="3">
        <f>AG21/1000</f>
        <v>9045.4580100000003</v>
      </c>
      <c r="AJ21" s="120">
        <v>10021550</v>
      </c>
      <c r="AK21" s="3">
        <f>AJ21/1000</f>
        <v>10021.549999999999</v>
      </c>
      <c r="AM21" s="3">
        <v>12243450</v>
      </c>
      <c r="AN21" s="3">
        <f>AM21/1000</f>
        <v>12243.45</v>
      </c>
      <c r="AP21" s="3">
        <v>13580722</v>
      </c>
      <c r="AQ21" s="3">
        <f>AP21/1000</f>
        <v>13580.722</v>
      </c>
      <c r="AS21" s="3">
        <v>14384371</v>
      </c>
      <c r="AT21" s="3">
        <f>AS21/1000</f>
        <v>14384.370999999999</v>
      </c>
      <c r="AV21" s="3">
        <v>14363549</v>
      </c>
      <c r="AW21" s="3">
        <f>AV21/1000</f>
        <v>14363.549000000001</v>
      </c>
      <c r="AY21" s="3">
        <v>12879963.77</v>
      </c>
      <c r="AZ21" s="3">
        <f>AY21/1000</f>
        <v>12879.96377</v>
      </c>
      <c r="BB21" s="3">
        <v>14598955.040000001</v>
      </c>
      <c r="BC21" s="3">
        <f>BB21/1000</f>
        <v>14598.955040000001</v>
      </c>
      <c r="BD21" s="3">
        <v>16060923.339999998</v>
      </c>
      <c r="BE21" s="3">
        <f>BD21/1000</f>
        <v>16060.923339999998</v>
      </c>
      <c r="BG21" s="3">
        <v>23266382.770000003</v>
      </c>
      <c r="BH21" s="3">
        <v>524055.32</v>
      </c>
      <c r="BI21" s="30">
        <f>BG21-BH21</f>
        <v>22742327.450000003</v>
      </c>
      <c r="BJ21" s="3">
        <f>BI21/1000</f>
        <v>22742.327450000004</v>
      </c>
      <c r="BL21" s="3">
        <v>21961967.590000004</v>
      </c>
      <c r="BM21" s="3">
        <v>585436.39</v>
      </c>
      <c r="BN21" s="30">
        <f t="shared" si="15"/>
        <v>21376531.200000003</v>
      </c>
      <c r="BO21" s="3">
        <f t="shared" si="16"/>
        <v>21376.531200000001</v>
      </c>
      <c r="BP21" s="3">
        <v>23686814.689999998</v>
      </c>
      <c r="BQ21" s="3">
        <v>59645.07</v>
      </c>
      <c r="BR21" s="3">
        <f t="shared" si="17"/>
        <v>23627169.619999997</v>
      </c>
      <c r="BS21" s="3">
        <f t="shared" si="18"/>
        <v>23627.169619999997</v>
      </c>
      <c r="BT21" s="3">
        <v>18481282.52</v>
      </c>
      <c r="BU21" s="3">
        <v>576153.19999999995</v>
      </c>
      <c r="BV21" s="3">
        <f t="shared" si="12"/>
        <v>17905129.32</v>
      </c>
      <c r="BW21" s="3">
        <f t="shared" si="13"/>
        <v>17905.12932</v>
      </c>
    </row>
    <row r="22" spans="1:75">
      <c r="A22" s="1" t="s">
        <v>15</v>
      </c>
      <c r="B22" s="14">
        <v>5182</v>
      </c>
      <c r="C22" s="14">
        <v>6099</v>
      </c>
      <c r="D22" s="14">
        <v>5757</v>
      </c>
      <c r="E22" s="14">
        <v>6013.6128899999994</v>
      </c>
      <c r="F22" s="14">
        <v>6407.6305499999989</v>
      </c>
      <c r="G22" s="14">
        <v>5906.453199999999</v>
      </c>
      <c r="H22" s="14">
        <v>7370.4389899999996</v>
      </c>
      <c r="I22" s="1">
        <v>7329.6111000000001</v>
      </c>
      <c r="J22" s="1">
        <v>5709.4268199999997</v>
      </c>
      <c r="K22" s="1">
        <v>6570.5594699999992</v>
      </c>
      <c r="L22" s="239">
        <f t="shared" si="14"/>
        <v>15.082646247141138</v>
      </c>
      <c r="M22" s="239">
        <f t="shared" si="9"/>
        <v>16.987496757300807</v>
      </c>
      <c r="N22" s="14">
        <v>1672</v>
      </c>
      <c r="O22" s="14">
        <v>1929</v>
      </c>
      <c r="P22" s="14">
        <v>1857</v>
      </c>
      <c r="Q22" s="14">
        <v>1998</v>
      </c>
      <c r="R22" s="14">
        <v>2331</v>
      </c>
      <c r="S22" s="14">
        <v>2610</v>
      </c>
      <c r="T22" s="14">
        <v>2865</v>
      </c>
      <c r="U22" s="14">
        <v>3145</v>
      </c>
      <c r="V22" s="14">
        <f>3241113/1000</f>
        <v>3241.1129999999998</v>
      </c>
      <c r="W22" s="14">
        <v>3078</v>
      </c>
      <c r="X22" s="14">
        <v>2968</v>
      </c>
      <c r="Y22" s="14">
        <v>2977</v>
      </c>
      <c r="Z22" s="14">
        <v>3325</v>
      </c>
      <c r="AA22" s="14">
        <v>3445</v>
      </c>
      <c r="AB22" s="14">
        <v>3624</v>
      </c>
      <c r="AC22" s="14">
        <v>4898</v>
      </c>
      <c r="AD22" s="14">
        <v>5291</v>
      </c>
      <c r="AE22" s="14">
        <v>5086.0318499999994</v>
      </c>
      <c r="AF22" s="14">
        <v>5616.4629999999997</v>
      </c>
      <c r="AG22" s="90">
        <v>5291435.5</v>
      </c>
      <c r="AH22" s="3">
        <f>AG22/1000</f>
        <v>5291.4354999999996</v>
      </c>
      <c r="AJ22" s="120">
        <v>5086031.8499999996</v>
      </c>
      <c r="AK22" s="3">
        <f>AJ22/1000</f>
        <v>5086.0318499999994</v>
      </c>
      <c r="AM22" s="3">
        <v>5616463</v>
      </c>
      <c r="AN22" s="3">
        <f>AM22/1000</f>
        <v>5616.4629999999997</v>
      </c>
      <c r="AP22" s="3">
        <v>5182023.92</v>
      </c>
      <c r="AQ22" s="3">
        <f>AP22/1000</f>
        <v>5182.0239199999996</v>
      </c>
      <c r="AS22" s="3">
        <v>6098517</v>
      </c>
      <c r="AT22" s="3">
        <f>AS22/1000</f>
        <v>6098.5169999999998</v>
      </c>
      <c r="AV22" s="3">
        <v>5757479</v>
      </c>
      <c r="AW22" s="3">
        <f>AV22/1000</f>
        <v>5757.4790000000003</v>
      </c>
      <c r="AY22" s="3">
        <v>6013612.8899999997</v>
      </c>
      <c r="AZ22" s="3">
        <f>AY22/1000</f>
        <v>6013.6128899999994</v>
      </c>
      <c r="BB22" s="3">
        <v>6407630.5499999989</v>
      </c>
      <c r="BC22" s="3">
        <f>BB22/1000</f>
        <v>6407.6305499999989</v>
      </c>
      <c r="BD22" s="3">
        <v>5906453.1999999993</v>
      </c>
      <c r="BE22" s="3">
        <f>BD22/1000</f>
        <v>5906.453199999999</v>
      </c>
      <c r="BG22" s="3">
        <v>7444990.9899999993</v>
      </c>
      <c r="BH22" s="3">
        <v>74552</v>
      </c>
      <c r="BI22" s="30">
        <f>BG22-BH22</f>
        <v>7370438.9899999993</v>
      </c>
      <c r="BJ22" s="3">
        <f>BI22/1000</f>
        <v>7370.4389899999996</v>
      </c>
      <c r="BL22" s="3">
        <v>7474649.0999999996</v>
      </c>
      <c r="BM22" s="3">
        <v>145038</v>
      </c>
      <c r="BN22" s="30">
        <f t="shared" si="15"/>
        <v>7329611.0999999996</v>
      </c>
      <c r="BO22" s="3">
        <f t="shared" si="16"/>
        <v>7329.6111000000001</v>
      </c>
      <c r="BP22" s="3">
        <v>5826623.8200000003</v>
      </c>
      <c r="BQ22" s="3">
        <v>117197</v>
      </c>
      <c r="BR22" s="3">
        <f t="shared" si="17"/>
        <v>5709426.8200000003</v>
      </c>
      <c r="BS22" s="3">
        <f t="shared" si="18"/>
        <v>5709.4268200000006</v>
      </c>
      <c r="BT22" s="3">
        <v>6689986.4699999988</v>
      </c>
      <c r="BU22" s="3">
        <v>119427</v>
      </c>
      <c r="BV22" s="3">
        <f t="shared" si="12"/>
        <v>6570559.4699999988</v>
      </c>
      <c r="BW22" s="3">
        <f t="shared" si="13"/>
        <v>6570.5594699999992</v>
      </c>
    </row>
    <row r="23" spans="1:75">
      <c r="B23" s="14"/>
      <c r="C23" s="14"/>
      <c r="D23" s="14"/>
      <c r="E23" s="14"/>
      <c r="F23" s="14"/>
      <c r="G23" s="14"/>
      <c r="H23" s="14"/>
      <c r="L23" s="239"/>
      <c r="M23" s="239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30"/>
      <c r="AJ23" s="120"/>
    </row>
    <row r="24" spans="1:75">
      <c r="A24" s="1" t="s">
        <v>16</v>
      </c>
      <c r="B24" s="14">
        <v>15571</v>
      </c>
      <c r="C24" s="14">
        <v>16917</v>
      </c>
      <c r="D24" s="14">
        <v>16593</v>
      </c>
      <c r="E24" s="14">
        <v>16747.507189999997</v>
      </c>
      <c r="F24" s="14">
        <v>17552.337149999999</v>
      </c>
      <c r="G24" s="14">
        <v>18497.625489999995</v>
      </c>
      <c r="H24" s="14">
        <v>29320.564779999997</v>
      </c>
      <c r="I24" s="1">
        <v>38792.051209999991</v>
      </c>
      <c r="J24" s="1">
        <v>19994.048149999999</v>
      </c>
      <c r="K24" s="1">
        <v>11005.34375</v>
      </c>
      <c r="L24" s="239">
        <f t="shared" ref="L24:L28" si="19">(K24-J24)*100/J24</f>
        <v>-44.956900836512183</v>
      </c>
      <c r="M24" s="239">
        <f t="shared" si="9"/>
        <v>-26.167615477655787</v>
      </c>
      <c r="N24" s="14">
        <v>3150</v>
      </c>
      <c r="O24" s="14">
        <v>3346</v>
      </c>
      <c r="P24" s="14">
        <v>3382</v>
      </c>
      <c r="Q24" s="14">
        <v>3761</v>
      </c>
      <c r="R24" s="14">
        <v>4075</v>
      </c>
      <c r="S24" s="14">
        <v>4007</v>
      </c>
      <c r="T24" s="14">
        <v>4593</v>
      </c>
      <c r="U24" s="14">
        <v>5002</v>
      </c>
      <c r="V24" s="14">
        <f>5526644/1000</f>
        <v>5526.6440000000002</v>
      </c>
      <c r="W24" s="14">
        <v>5726</v>
      </c>
      <c r="X24" s="14">
        <v>6265</v>
      </c>
      <c r="Y24" s="14">
        <v>6355</v>
      </c>
      <c r="Z24" s="14">
        <v>5971</v>
      </c>
      <c r="AA24" s="14">
        <v>7285</v>
      </c>
      <c r="AB24" s="14">
        <v>8922</v>
      </c>
      <c r="AC24" s="14">
        <v>9939</v>
      </c>
      <c r="AD24" s="14">
        <v>10691</v>
      </c>
      <c r="AE24" s="14">
        <v>13394.816999999999</v>
      </c>
      <c r="AF24" s="14">
        <v>14905.849</v>
      </c>
      <c r="AG24" s="90">
        <v>10690803.43</v>
      </c>
      <c r="AH24" s="3">
        <f>AG24/1000</f>
        <v>10690.80343</v>
      </c>
      <c r="AJ24" s="120">
        <v>13394817</v>
      </c>
      <c r="AK24" s="3">
        <f>AJ24/1000</f>
        <v>13394.816999999999</v>
      </c>
      <c r="AM24" s="3">
        <v>14905849</v>
      </c>
      <c r="AN24" s="3">
        <f>AM24/1000</f>
        <v>14905.849</v>
      </c>
      <c r="AP24" s="3">
        <v>15571457</v>
      </c>
      <c r="AQ24" s="3">
        <f>AP24/1000</f>
        <v>15571.457</v>
      </c>
      <c r="AS24" s="3">
        <v>16916810</v>
      </c>
      <c r="AT24" s="3">
        <f>AS24/1000</f>
        <v>16916.810000000001</v>
      </c>
      <c r="AV24" s="3">
        <v>16592598</v>
      </c>
      <c r="AW24" s="3">
        <f>AV24/1000</f>
        <v>16592.598000000002</v>
      </c>
      <c r="AY24" s="3">
        <v>16747507.189999998</v>
      </c>
      <c r="AZ24" s="3">
        <f>AY24/1000</f>
        <v>16747.507189999997</v>
      </c>
      <c r="BB24" s="3">
        <v>17552337.149999999</v>
      </c>
      <c r="BC24" s="3">
        <f t="shared" ref="BC24:BE39" si="20">BB24/1000</f>
        <v>17552.337149999999</v>
      </c>
      <c r="BD24" s="3">
        <v>18497625.489999995</v>
      </c>
      <c r="BE24" s="3">
        <f t="shared" si="20"/>
        <v>18497.625489999995</v>
      </c>
      <c r="BG24" s="3">
        <v>29909977.839999996</v>
      </c>
      <c r="BH24" s="3">
        <v>589413.06000000006</v>
      </c>
      <c r="BI24" s="30">
        <f>BG24-BH24</f>
        <v>29320564.779999997</v>
      </c>
      <c r="BJ24" s="3">
        <f>BI24/1000</f>
        <v>29320.564779999997</v>
      </c>
      <c r="BL24" s="3">
        <v>39407508.50999999</v>
      </c>
      <c r="BM24" s="3">
        <v>615457.30000000005</v>
      </c>
      <c r="BN24" s="30">
        <f t="shared" ref="BN24:BN28" si="21">BL24-BM24</f>
        <v>38792051.209999993</v>
      </c>
      <c r="BO24" s="3">
        <f t="shared" ref="BO24:BO28" si="22">BN24/1000</f>
        <v>38792.051209999991</v>
      </c>
      <c r="BP24" s="3">
        <v>20523067.359999999</v>
      </c>
      <c r="BQ24" s="3">
        <v>529019.21</v>
      </c>
      <c r="BR24" s="3">
        <f>BP24-BQ24</f>
        <v>19994048.149999999</v>
      </c>
      <c r="BS24" s="3">
        <f>BR24/1000</f>
        <v>19994.048149999999</v>
      </c>
      <c r="BT24" s="3">
        <v>16449353.75</v>
      </c>
      <c r="BU24" s="3">
        <v>5444010</v>
      </c>
      <c r="BV24" s="3">
        <f t="shared" si="12"/>
        <v>11005343.75</v>
      </c>
      <c r="BW24" s="3">
        <f t="shared" si="13"/>
        <v>11005.34375</v>
      </c>
    </row>
    <row r="25" spans="1:75">
      <c r="A25" s="1" t="s">
        <v>17</v>
      </c>
      <c r="B25" s="14">
        <v>5111</v>
      </c>
      <c r="C25" s="14">
        <v>5040</v>
      </c>
      <c r="D25" s="14">
        <v>5274</v>
      </c>
      <c r="E25" s="14">
        <v>5121.4121599999999</v>
      </c>
      <c r="F25" s="14">
        <v>5003.5884999999998</v>
      </c>
      <c r="G25" s="14">
        <v>5056.0691899999983</v>
      </c>
      <c r="H25" s="14">
        <v>6736.9413399999994</v>
      </c>
      <c r="I25" s="1">
        <v>7712.4445099999994</v>
      </c>
      <c r="J25" s="1">
        <v>4857.5419499999998</v>
      </c>
      <c r="K25" s="1">
        <v>5312.7033700000002</v>
      </c>
      <c r="L25" s="239">
        <f t="shared" si="19"/>
        <v>9.3702004982170131</v>
      </c>
      <c r="M25" s="239">
        <f t="shared" si="9"/>
        <v>10.724977221435447</v>
      </c>
      <c r="N25" s="14">
        <v>1605</v>
      </c>
      <c r="O25" s="14">
        <v>1885</v>
      </c>
      <c r="P25" s="14">
        <v>1680</v>
      </c>
      <c r="Q25" s="14">
        <v>1864</v>
      </c>
      <c r="R25" s="14">
        <v>2024</v>
      </c>
      <c r="S25" s="14">
        <v>2066</v>
      </c>
      <c r="T25" s="14">
        <v>2771</v>
      </c>
      <c r="U25" s="14">
        <v>2290</v>
      </c>
      <c r="V25" s="14">
        <f>2608540/1000</f>
        <v>2608.54</v>
      </c>
      <c r="W25" s="14">
        <v>2565</v>
      </c>
      <c r="X25" s="14">
        <v>2750</v>
      </c>
      <c r="Y25" s="14">
        <v>2750</v>
      </c>
      <c r="Z25" s="14">
        <v>3035</v>
      </c>
      <c r="AA25" s="14">
        <v>3226</v>
      </c>
      <c r="AB25" s="14">
        <v>3768</v>
      </c>
      <c r="AC25" s="14">
        <v>3998</v>
      </c>
      <c r="AD25" s="14">
        <v>4597</v>
      </c>
      <c r="AE25" s="14">
        <v>5005.5415599999997</v>
      </c>
      <c r="AF25" s="14">
        <v>4798.1074400000007</v>
      </c>
      <c r="AG25" s="90">
        <v>4596795.3600000003</v>
      </c>
      <c r="AH25" s="3">
        <f>AG25/1000</f>
        <v>4596.7953600000001</v>
      </c>
      <c r="AJ25" s="120">
        <v>5005541.5599999996</v>
      </c>
      <c r="AK25" s="3">
        <f>AJ25/1000</f>
        <v>5005.5415599999997</v>
      </c>
      <c r="AM25" s="3">
        <v>4798107.4400000004</v>
      </c>
      <c r="AN25" s="3">
        <f>AM25/1000</f>
        <v>4798.1074400000007</v>
      </c>
      <c r="AP25" s="3">
        <v>5111040.6100000003</v>
      </c>
      <c r="AQ25" s="3">
        <f>AP25/1000</f>
        <v>5111.04061</v>
      </c>
      <c r="AS25" s="3">
        <v>5040398.08</v>
      </c>
      <c r="AT25" s="3">
        <f>AS25/1000</f>
        <v>5040.3980799999999</v>
      </c>
      <c r="AV25" s="3">
        <v>5274181.9400000004</v>
      </c>
      <c r="AW25" s="3">
        <f>AV25/1000</f>
        <v>5274.1819400000004</v>
      </c>
      <c r="AY25" s="3">
        <v>5121412.16</v>
      </c>
      <c r="AZ25" s="3">
        <f>AY25/1000</f>
        <v>5121.4121599999999</v>
      </c>
      <c r="BB25" s="3">
        <v>5003588.5</v>
      </c>
      <c r="BC25" s="3">
        <f t="shared" si="20"/>
        <v>5003.5884999999998</v>
      </c>
      <c r="BD25" s="3">
        <v>5056069.1899999985</v>
      </c>
      <c r="BE25" s="3">
        <f t="shared" si="20"/>
        <v>5056.0691899999983</v>
      </c>
      <c r="BG25" s="3">
        <v>6850010.3399999999</v>
      </c>
      <c r="BH25" s="3">
        <v>113069</v>
      </c>
      <c r="BI25" s="30">
        <f>BG25-BH25</f>
        <v>6736941.3399999999</v>
      </c>
      <c r="BJ25" s="3">
        <f>BI25/1000</f>
        <v>6736.9413399999994</v>
      </c>
      <c r="BL25" s="3">
        <v>7829028.5099999998</v>
      </c>
      <c r="BM25" s="3">
        <v>116584</v>
      </c>
      <c r="BN25" s="30">
        <f t="shared" si="21"/>
        <v>7712444.5099999998</v>
      </c>
      <c r="BO25" s="3">
        <f t="shared" si="22"/>
        <v>7712.4445099999994</v>
      </c>
      <c r="BP25" s="3">
        <v>4960972.9499999993</v>
      </c>
      <c r="BQ25" s="3">
        <v>103431</v>
      </c>
      <c r="BR25" s="3">
        <f t="shared" ref="BR25:BR28" si="23">BP25-BQ25</f>
        <v>4857541.9499999993</v>
      </c>
      <c r="BS25" s="3">
        <f t="shared" ref="BS25:BS28" si="24">BR25/1000</f>
        <v>4857.5419499999989</v>
      </c>
      <c r="BT25" s="3">
        <v>5412234.3700000001</v>
      </c>
      <c r="BU25" s="3">
        <v>99531</v>
      </c>
      <c r="BV25" s="3">
        <f t="shared" si="12"/>
        <v>5312703.37</v>
      </c>
      <c r="BW25" s="3">
        <f t="shared" si="13"/>
        <v>5312.7033700000002</v>
      </c>
    </row>
    <row r="26" spans="1:75">
      <c r="A26" s="1" t="s">
        <v>18</v>
      </c>
      <c r="B26" s="14">
        <v>19675</v>
      </c>
      <c r="C26" s="14">
        <v>21412</v>
      </c>
      <c r="D26" s="14">
        <v>23031</v>
      </c>
      <c r="E26" s="14">
        <v>22117.321219999998</v>
      </c>
      <c r="F26" s="14">
        <v>21136.237690000002</v>
      </c>
      <c r="G26" s="14">
        <v>20835.501110000005</v>
      </c>
      <c r="H26" s="14">
        <v>32111.874990000008</v>
      </c>
      <c r="I26" s="1">
        <v>40626.930500000002</v>
      </c>
      <c r="J26" s="1">
        <v>27354.003400000001</v>
      </c>
      <c r="K26" s="1">
        <v>26409.228599999999</v>
      </c>
      <c r="L26" s="239">
        <f t="shared" si="19"/>
        <v>-3.4538812698985146</v>
      </c>
      <c r="M26" s="239">
        <f t="shared" si="9"/>
        <v>40.360875641468191</v>
      </c>
      <c r="N26" s="14">
        <v>4877</v>
      </c>
      <c r="O26" s="14">
        <v>5228</v>
      </c>
      <c r="P26" s="14">
        <v>5578</v>
      </c>
      <c r="Q26" s="14">
        <v>6032</v>
      </c>
      <c r="R26" s="14">
        <v>6854</v>
      </c>
      <c r="S26" s="14">
        <v>7267</v>
      </c>
      <c r="T26" s="14">
        <v>7207</v>
      </c>
      <c r="U26" s="14">
        <v>7680</v>
      </c>
      <c r="V26" s="14">
        <f>8356638/1000</f>
        <v>8356.6380000000008</v>
      </c>
      <c r="W26" s="14">
        <v>8620</v>
      </c>
      <c r="X26" s="14">
        <v>8297</v>
      </c>
      <c r="Y26" s="14">
        <v>7892</v>
      </c>
      <c r="Z26" s="14">
        <v>8890</v>
      </c>
      <c r="AA26" s="14">
        <v>8683</v>
      </c>
      <c r="AB26" s="14">
        <v>10459</v>
      </c>
      <c r="AC26" s="14">
        <v>11452</v>
      </c>
      <c r="AD26" s="14">
        <v>14522</v>
      </c>
      <c r="AE26" s="14">
        <v>17580.365000000002</v>
      </c>
      <c r="AF26" s="14">
        <v>18815.235000000001</v>
      </c>
      <c r="AG26" s="90">
        <v>14521833.67</v>
      </c>
      <c r="AH26" s="3">
        <f>AG26/1000</f>
        <v>14521.83367</v>
      </c>
      <c r="AJ26" s="120">
        <v>17580365</v>
      </c>
      <c r="AK26" s="3">
        <f>AJ26/1000</f>
        <v>17580.365000000002</v>
      </c>
      <c r="AM26" s="3">
        <v>18815235</v>
      </c>
      <c r="AN26" s="3">
        <f>AM26/1000</f>
        <v>18815.235000000001</v>
      </c>
      <c r="AP26" s="3">
        <v>19675189</v>
      </c>
      <c r="AQ26" s="3">
        <f>AP26/1000</f>
        <v>19675.188999999998</v>
      </c>
      <c r="AS26" s="3">
        <v>21412103</v>
      </c>
      <c r="AT26" s="3">
        <f>AS26/1000</f>
        <v>21412.102999999999</v>
      </c>
      <c r="AV26" s="3">
        <v>23031331</v>
      </c>
      <c r="AW26" s="3">
        <f>AV26/1000</f>
        <v>23031.330999999998</v>
      </c>
      <c r="AY26" s="3">
        <v>22117321.219999999</v>
      </c>
      <c r="AZ26" s="3">
        <f>AY26/1000</f>
        <v>22117.321219999998</v>
      </c>
      <c r="BB26" s="3">
        <v>21136237.690000001</v>
      </c>
      <c r="BC26" s="3">
        <f t="shared" si="20"/>
        <v>21136.237690000002</v>
      </c>
      <c r="BD26" s="3">
        <v>20835501.110000003</v>
      </c>
      <c r="BE26" s="3">
        <f t="shared" si="20"/>
        <v>20835.501110000005</v>
      </c>
      <c r="BG26" s="3">
        <v>32964305.990000006</v>
      </c>
      <c r="BH26" s="3">
        <v>852431</v>
      </c>
      <c r="BI26" s="30">
        <f>BG26-BH26</f>
        <v>32111874.990000006</v>
      </c>
      <c r="BJ26" s="3">
        <f>BI26/1000</f>
        <v>32111.874990000008</v>
      </c>
      <c r="BL26" s="3">
        <v>41604911.5</v>
      </c>
      <c r="BM26" s="3">
        <v>977981</v>
      </c>
      <c r="BN26" s="30">
        <f t="shared" si="21"/>
        <v>40626930.5</v>
      </c>
      <c r="BO26" s="3">
        <f t="shared" si="22"/>
        <v>40626.930500000002</v>
      </c>
      <c r="BP26" s="3">
        <v>28201621.399999999</v>
      </c>
      <c r="BQ26" s="3">
        <v>847618</v>
      </c>
      <c r="BR26" s="3">
        <f t="shared" si="23"/>
        <v>27354003.399999999</v>
      </c>
      <c r="BS26" s="3">
        <f t="shared" si="24"/>
        <v>27354.003399999998</v>
      </c>
      <c r="BT26" s="3">
        <v>27292402.599999998</v>
      </c>
      <c r="BU26" s="3">
        <v>883174</v>
      </c>
      <c r="BV26" s="3">
        <f t="shared" si="12"/>
        <v>26409228.599999998</v>
      </c>
      <c r="BW26" s="3">
        <f t="shared" si="13"/>
        <v>26409.228599999999</v>
      </c>
    </row>
    <row r="27" spans="1:75">
      <c r="A27" s="1" t="s">
        <v>19</v>
      </c>
      <c r="B27" s="14">
        <v>17975</v>
      </c>
      <c r="C27" s="14">
        <v>18545</v>
      </c>
      <c r="D27" s="14">
        <v>17491</v>
      </c>
      <c r="E27" s="14">
        <v>17810.81882</v>
      </c>
      <c r="F27" s="14">
        <v>20014.010170000001</v>
      </c>
      <c r="G27" s="14">
        <v>20159.172500000001</v>
      </c>
      <c r="H27" s="14">
        <v>30143.610089999995</v>
      </c>
      <c r="I27" s="1">
        <v>39164.666829999995</v>
      </c>
      <c r="J27" s="1">
        <v>23191.068210000001</v>
      </c>
      <c r="K27" s="1">
        <v>22108.684050000003</v>
      </c>
      <c r="L27" s="239">
        <f t="shared" si="19"/>
        <v>-4.6672458129085799</v>
      </c>
      <c r="M27" s="239">
        <f t="shared" si="9"/>
        <v>52.749084435475652</v>
      </c>
      <c r="N27" s="14">
        <v>2507</v>
      </c>
      <c r="O27" s="14">
        <v>2733</v>
      </c>
      <c r="P27" s="14">
        <v>2763</v>
      </c>
      <c r="Q27" s="14">
        <v>2744</v>
      </c>
      <c r="R27" s="14">
        <v>2918</v>
      </c>
      <c r="S27" s="14">
        <v>3260</v>
      </c>
      <c r="T27" s="14">
        <v>3385</v>
      </c>
      <c r="U27" s="14">
        <v>4075</v>
      </c>
      <c r="V27" s="14">
        <f>4092302/1000</f>
        <v>4092.3020000000001</v>
      </c>
      <c r="W27" s="14">
        <v>4566</v>
      </c>
      <c r="X27" s="14">
        <v>4694</v>
      </c>
      <c r="Y27" s="14">
        <v>4650</v>
      </c>
      <c r="Z27" s="14">
        <v>5407</v>
      </c>
      <c r="AA27" s="14">
        <v>7342</v>
      </c>
      <c r="AB27" s="14">
        <v>7309</v>
      </c>
      <c r="AC27" s="14">
        <v>9140</v>
      </c>
      <c r="AD27" s="14">
        <v>10152</v>
      </c>
      <c r="AE27" s="14">
        <v>11279.745999999999</v>
      </c>
      <c r="AF27" s="14">
        <v>14473.857</v>
      </c>
      <c r="AG27" s="90">
        <v>10151898.939999999</v>
      </c>
      <c r="AH27" s="3">
        <f>AG27/1000</f>
        <v>10151.898939999999</v>
      </c>
      <c r="AJ27" s="120">
        <v>11279746</v>
      </c>
      <c r="AK27" s="3">
        <f>AJ27/1000</f>
        <v>11279.745999999999</v>
      </c>
      <c r="AM27" s="3">
        <v>14473857</v>
      </c>
      <c r="AN27" s="3">
        <f>AM27/1000</f>
        <v>14473.857</v>
      </c>
      <c r="AP27" s="3">
        <v>17975285</v>
      </c>
      <c r="AQ27" s="3">
        <f>AP27/1000</f>
        <v>17975.285</v>
      </c>
      <c r="AS27" s="3">
        <v>18544975</v>
      </c>
      <c r="AT27" s="3">
        <f>AS27/1000</f>
        <v>18544.974999999999</v>
      </c>
      <c r="AV27" s="3">
        <v>17491257</v>
      </c>
      <c r="AW27" s="3">
        <f>AV27/1000</f>
        <v>17491.257000000001</v>
      </c>
      <c r="AY27" s="3">
        <v>17810818.82</v>
      </c>
      <c r="AZ27" s="3">
        <f>AY27/1000</f>
        <v>17810.81882</v>
      </c>
      <c r="BB27" s="3">
        <v>20014010.170000002</v>
      </c>
      <c r="BC27" s="3">
        <f t="shared" si="20"/>
        <v>20014.010170000001</v>
      </c>
      <c r="BD27" s="3">
        <v>20159172.5</v>
      </c>
      <c r="BE27" s="3">
        <f t="shared" si="20"/>
        <v>20159.172500000001</v>
      </c>
      <c r="BG27" s="3">
        <v>30817762.089999996</v>
      </c>
      <c r="BH27" s="3">
        <v>674152</v>
      </c>
      <c r="BI27" s="30">
        <f>BG27-BH27</f>
        <v>30143610.089999996</v>
      </c>
      <c r="BJ27" s="3">
        <f>BI27/1000</f>
        <v>30143.610089999995</v>
      </c>
      <c r="BL27" s="3">
        <v>39986546.829999998</v>
      </c>
      <c r="BM27" s="3">
        <v>821880</v>
      </c>
      <c r="BN27" s="30">
        <f t="shared" si="21"/>
        <v>39164666.829999998</v>
      </c>
      <c r="BO27" s="3">
        <f t="shared" si="22"/>
        <v>39164.666829999995</v>
      </c>
      <c r="BP27" s="3">
        <v>23860226.210000005</v>
      </c>
      <c r="BQ27" s="3">
        <v>669158</v>
      </c>
      <c r="BR27" s="3">
        <f t="shared" si="23"/>
        <v>23191068.210000005</v>
      </c>
      <c r="BS27" s="3">
        <f t="shared" si="24"/>
        <v>23191.068210000005</v>
      </c>
      <c r="BT27" s="3">
        <v>22844236.050000004</v>
      </c>
      <c r="BU27" s="3">
        <v>735552</v>
      </c>
      <c r="BV27" s="3">
        <f t="shared" si="12"/>
        <v>22108684.050000004</v>
      </c>
      <c r="BW27" s="3">
        <f t="shared" si="13"/>
        <v>22108.684050000003</v>
      </c>
    </row>
    <row r="28" spans="1:75">
      <c r="A28" s="1" t="s">
        <v>20</v>
      </c>
      <c r="B28" s="14">
        <v>2671</v>
      </c>
      <c r="C28" s="14">
        <v>2947</v>
      </c>
      <c r="D28" s="14">
        <v>3208</v>
      </c>
      <c r="E28" s="14">
        <v>3142.31754</v>
      </c>
      <c r="F28" s="14">
        <v>2846.7091700000001</v>
      </c>
      <c r="G28" s="14">
        <v>3150.6447800000005</v>
      </c>
      <c r="H28" s="14">
        <v>4543.5987600000008</v>
      </c>
      <c r="I28" s="1">
        <v>4057.19227</v>
      </c>
      <c r="J28" s="1">
        <v>3402.0217499999999</v>
      </c>
      <c r="K28" s="1">
        <v>3070.0810499999998</v>
      </c>
      <c r="L28" s="239">
        <f t="shared" si="19"/>
        <v>-9.7571598417911378</v>
      </c>
      <c r="M28" s="239">
        <f t="shared" si="9"/>
        <v>-2.2540854524759406</v>
      </c>
      <c r="N28" s="14">
        <v>622</v>
      </c>
      <c r="O28" s="14">
        <v>635</v>
      </c>
      <c r="P28" s="14">
        <v>625</v>
      </c>
      <c r="Q28" s="14">
        <v>694</v>
      </c>
      <c r="R28" s="14">
        <v>736</v>
      </c>
      <c r="S28" s="14">
        <v>893</v>
      </c>
      <c r="T28" s="14">
        <v>965</v>
      </c>
      <c r="U28" s="14">
        <v>944</v>
      </c>
      <c r="V28" s="14">
        <f>1069453/1000</f>
        <v>1069.453</v>
      </c>
      <c r="W28" s="14">
        <v>1116</v>
      </c>
      <c r="X28" s="206">
        <v>1202</v>
      </c>
      <c r="Y28" s="14">
        <v>1394</v>
      </c>
      <c r="Z28" s="14">
        <v>1346</v>
      </c>
      <c r="AA28" s="14">
        <v>1809</v>
      </c>
      <c r="AB28" s="14">
        <v>2242</v>
      </c>
      <c r="AC28" s="14">
        <v>2339</v>
      </c>
      <c r="AD28" s="14">
        <v>2721</v>
      </c>
      <c r="AE28" s="14">
        <v>3290.19751</v>
      </c>
      <c r="AF28" s="14">
        <v>3140.8791499999998</v>
      </c>
      <c r="AG28" s="90">
        <v>2720608.44</v>
      </c>
      <c r="AH28" s="3">
        <f>AG28/1000</f>
        <v>2720.60844</v>
      </c>
      <c r="AJ28" s="120">
        <v>3290197.51</v>
      </c>
      <c r="AK28" s="3">
        <f>AJ28/1000</f>
        <v>3290.19751</v>
      </c>
      <c r="AM28" s="3">
        <v>3140879.15</v>
      </c>
      <c r="AN28" s="3">
        <f>AM28/1000</f>
        <v>3140.8791499999998</v>
      </c>
      <c r="AP28" s="3">
        <v>2671228.4500000002</v>
      </c>
      <c r="AQ28" s="3">
        <f>AP28/1000</f>
        <v>2671.2284500000001</v>
      </c>
      <c r="AS28" s="3">
        <v>2947051.49</v>
      </c>
      <c r="AT28" s="3">
        <f>AS28/1000</f>
        <v>2947.0514900000003</v>
      </c>
      <c r="AV28" s="3">
        <v>3208194.51</v>
      </c>
      <c r="AW28" s="3">
        <f>AV28/1000</f>
        <v>3208.1945099999998</v>
      </c>
      <c r="AY28" s="3">
        <v>3142317.54</v>
      </c>
      <c r="AZ28" s="3">
        <f>AY28/1000</f>
        <v>3142.31754</v>
      </c>
      <c r="BB28" s="3">
        <v>2846709.17</v>
      </c>
      <c r="BC28" s="3">
        <f t="shared" si="20"/>
        <v>2846.7091700000001</v>
      </c>
      <c r="BD28" s="3">
        <v>3150644.7800000007</v>
      </c>
      <c r="BE28" s="3">
        <f t="shared" si="20"/>
        <v>3150.6447800000005</v>
      </c>
      <c r="BG28" s="3">
        <v>4601494.8500000006</v>
      </c>
      <c r="BH28" s="3">
        <v>57896.09</v>
      </c>
      <c r="BI28" s="30">
        <f>BG28-BH28</f>
        <v>4543598.7600000007</v>
      </c>
      <c r="BJ28" s="3">
        <f>BI28/1000</f>
        <v>4543.5987600000008</v>
      </c>
      <c r="BL28" s="3">
        <v>4121683.12</v>
      </c>
      <c r="BM28" s="3">
        <v>64490.85</v>
      </c>
      <c r="BN28" s="30">
        <f t="shared" si="21"/>
        <v>4057192.27</v>
      </c>
      <c r="BO28" s="3">
        <f t="shared" si="22"/>
        <v>4057.19227</v>
      </c>
      <c r="BP28" s="3">
        <v>3478470.75</v>
      </c>
      <c r="BQ28" s="3">
        <v>76449</v>
      </c>
      <c r="BR28" s="3">
        <f t="shared" si="23"/>
        <v>3402021.75</v>
      </c>
      <c r="BS28" s="3">
        <f t="shared" si="24"/>
        <v>3402.0217499999999</v>
      </c>
      <c r="BT28" s="3">
        <v>3130967.05</v>
      </c>
      <c r="BU28" s="3">
        <v>60886</v>
      </c>
      <c r="BV28" s="3">
        <f t="shared" si="12"/>
        <v>3070081.05</v>
      </c>
      <c r="BW28" s="3">
        <f t="shared" si="13"/>
        <v>3070.0810499999998</v>
      </c>
    </row>
    <row r="29" spans="1:75">
      <c r="B29" s="14"/>
      <c r="C29" s="14"/>
      <c r="D29" s="14"/>
      <c r="E29" s="14"/>
      <c r="F29" s="14"/>
      <c r="G29" s="14"/>
      <c r="H29" s="14"/>
      <c r="L29" s="239"/>
      <c r="M29" s="239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206"/>
      <c r="Y29" s="14"/>
      <c r="Z29" s="14"/>
      <c r="AA29" s="14"/>
      <c r="AB29" s="14"/>
      <c r="AC29" s="14"/>
      <c r="AD29" s="14"/>
      <c r="AE29" s="14"/>
      <c r="AF29" s="14"/>
      <c r="AG29" s="30"/>
      <c r="AJ29" s="120"/>
    </row>
    <row r="30" spans="1:75">
      <c r="A30" s="1" t="s">
        <v>21</v>
      </c>
      <c r="B30" s="14">
        <v>74629</v>
      </c>
      <c r="C30" s="14">
        <v>84599</v>
      </c>
      <c r="D30" s="14">
        <v>89107</v>
      </c>
      <c r="E30" s="14">
        <v>90895.474170000001</v>
      </c>
      <c r="F30" s="14">
        <v>93751.898210000014</v>
      </c>
      <c r="G30" s="14">
        <v>89432.063590000005</v>
      </c>
      <c r="H30" s="14">
        <v>142517.51473999996</v>
      </c>
      <c r="I30" s="1">
        <v>162924.74823</v>
      </c>
      <c r="J30" s="1">
        <v>107122.80026</v>
      </c>
      <c r="K30" s="1">
        <v>99954.347849999991</v>
      </c>
      <c r="L30" s="239">
        <f t="shared" ref="L30:L34" si="25">(K30-J30)*100/J30</f>
        <v>-6.6918082729365844</v>
      </c>
      <c r="M30" s="239">
        <f t="shared" si="9"/>
        <v>44.876520640868165</v>
      </c>
      <c r="N30" s="14">
        <v>11648</v>
      </c>
      <c r="O30" s="14">
        <v>12238</v>
      </c>
      <c r="P30" s="14">
        <v>12657</v>
      </c>
      <c r="Q30" s="14">
        <v>13854</v>
      </c>
      <c r="R30" s="14">
        <v>15287</v>
      </c>
      <c r="S30" s="14">
        <v>16399</v>
      </c>
      <c r="T30" s="14">
        <v>17883</v>
      </c>
      <c r="U30" s="14">
        <v>21701</v>
      </c>
      <c r="V30" s="14">
        <f>24332744/1000</f>
        <v>24332.743999999999</v>
      </c>
      <c r="W30" s="14">
        <v>26023</v>
      </c>
      <c r="X30" s="206">
        <v>29313</v>
      </c>
      <c r="Y30" s="14">
        <v>29559</v>
      </c>
      <c r="Z30" s="14">
        <v>30528</v>
      </c>
      <c r="AA30" s="14">
        <v>34007</v>
      </c>
      <c r="AB30" s="14">
        <v>36902</v>
      </c>
      <c r="AC30" s="14">
        <v>44300</v>
      </c>
      <c r="AD30" s="14">
        <v>48939</v>
      </c>
      <c r="AE30" s="14">
        <v>55403.841999999997</v>
      </c>
      <c r="AF30" s="14">
        <v>68992.785999999993</v>
      </c>
      <c r="AG30" s="90">
        <v>48938846.969999999</v>
      </c>
      <c r="AH30" s="3">
        <f>AG30/1000</f>
        <v>48938.846969999999</v>
      </c>
      <c r="AJ30" s="120">
        <v>55403842</v>
      </c>
      <c r="AK30" s="3">
        <f>AJ30/1000</f>
        <v>55403.841999999997</v>
      </c>
      <c r="AM30" s="3">
        <v>68992786</v>
      </c>
      <c r="AN30" s="3">
        <f>AM30/1000</f>
        <v>68992.785999999993</v>
      </c>
      <c r="AP30" s="3">
        <v>74629364</v>
      </c>
      <c r="AQ30" s="3">
        <f>AP30/1000</f>
        <v>74629.364000000001</v>
      </c>
      <c r="AS30" s="3">
        <v>84598931</v>
      </c>
      <c r="AT30" s="3">
        <f>AS30/1000</f>
        <v>84598.930999999997</v>
      </c>
      <c r="AV30" s="3">
        <v>89107499</v>
      </c>
      <c r="AW30" s="3">
        <f>AV30/1000</f>
        <v>89107.498999999996</v>
      </c>
      <c r="AY30" s="3">
        <v>90895474.170000002</v>
      </c>
      <c r="AZ30" s="3">
        <f>AY30/1000</f>
        <v>90895.474170000001</v>
      </c>
      <c r="BB30" s="3">
        <v>93751898.210000008</v>
      </c>
      <c r="BC30" s="3">
        <f t="shared" si="20"/>
        <v>93751.898210000014</v>
      </c>
      <c r="BD30" s="3">
        <v>89432063.590000004</v>
      </c>
      <c r="BE30" s="3">
        <f t="shared" si="20"/>
        <v>89432.063590000005</v>
      </c>
      <c r="BG30" s="3">
        <v>144943897.73999995</v>
      </c>
      <c r="BH30" s="3">
        <v>2426383</v>
      </c>
      <c r="BI30" s="30">
        <f>BG30-BH30</f>
        <v>142517514.73999995</v>
      </c>
      <c r="BJ30" s="3">
        <f>BI30/1000</f>
        <v>142517.51473999996</v>
      </c>
      <c r="BL30" s="3">
        <v>165504981.22999999</v>
      </c>
      <c r="BM30" s="3">
        <v>2580233</v>
      </c>
      <c r="BN30" s="30">
        <f t="shared" ref="BN30:BN34" si="26">BL30-BM30</f>
        <v>162924748.22999999</v>
      </c>
      <c r="BO30" s="3">
        <f t="shared" ref="BO30:BO34" si="27">BN30/1000</f>
        <v>162924.74823</v>
      </c>
      <c r="BP30" s="3">
        <v>109485823.26000001</v>
      </c>
      <c r="BQ30" s="3">
        <v>2363023</v>
      </c>
      <c r="BR30" s="3">
        <f>BP30-BQ30</f>
        <v>107122800.26000001</v>
      </c>
      <c r="BS30" s="3">
        <f>BR30/1000</f>
        <v>107122.80026</v>
      </c>
      <c r="BT30" s="3">
        <v>102490977.84999999</v>
      </c>
      <c r="BU30" s="3">
        <v>2536630</v>
      </c>
      <c r="BV30" s="3">
        <f t="shared" si="12"/>
        <v>99954347.849999994</v>
      </c>
      <c r="BW30" s="3">
        <f t="shared" si="13"/>
        <v>99954.347849999991</v>
      </c>
    </row>
    <row r="31" spans="1:75" ht="15.75">
      <c r="A31" s="1" t="s">
        <v>22</v>
      </c>
      <c r="B31" s="14">
        <v>94808</v>
      </c>
      <c r="C31" s="14">
        <v>102773</v>
      </c>
      <c r="D31" s="14">
        <v>105327</v>
      </c>
      <c r="E31" s="14">
        <v>108969.07320000001</v>
      </c>
      <c r="F31" s="14">
        <v>117771.34997999997</v>
      </c>
      <c r="G31" s="14">
        <v>115316.00235999995</v>
      </c>
      <c r="H31" s="14">
        <v>182349.64572000003</v>
      </c>
      <c r="I31" s="1">
        <v>243978.09656999999</v>
      </c>
      <c r="J31" s="1">
        <v>142290.99205</v>
      </c>
      <c r="K31" s="1">
        <v>134909.54275999998</v>
      </c>
      <c r="L31" s="239">
        <f t="shared" si="25"/>
        <v>-5.1875731440583621</v>
      </c>
      <c r="M31" s="239">
        <f t="shared" si="9"/>
        <v>54.1196633629472</v>
      </c>
      <c r="N31" s="14">
        <v>18674</v>
      </c>
      <c r="O31" s="14">
        <v>19927</v>
      </c>
      <c r="P31" s="14">
        <v>21398</v>
      </c>
      <c r="Q31" s="14">
        <v>25414</v>
      </c>
      <c r="R31" s="14">
        <v>28463</v>
      </c>
      <c r="S31" s="14">
        <v>25831</v>
      </c>
      <c r="T31" s="14">
        <v>29004</v>
      </c>
      <c r="U31" s="14">
        <v>31986</v>
      </c>
      <c r="V31" s="14">
        <f>38162085/1000</f>
        <v>38162.084999999999</v>
      </c>
      <c r="W31" s="14">
        <v>39823</v>
      </c>
      <c r="X31" s="206">
        <v>40610</v>
      </c>
      <c r="Y31" s="14">
        <v>41359</v>
      </c>
      <c r="Z31" s="14">
        <v>42276</v>
      </c>
      <c r="AA31">
        <v>49353</v>
      </c>
      <c r="AB31" s="14">
        <v>51654</v>
      </c>
      <c r="AC31" s="14">
        <v>61040</v>
      </c>
      <c r="AD31" s="14">
        <v>70195</v>
      </c>
      <c r="AE31" s="14">
        <v>83055.270999999993</v>
      </c>
      <c r="AF31" s="14">
        <v>87535.581000000006</v>
      </c>
      <c r="AG31" s="90">
        <v>70194991.769999996</v>
      </c>
      <c r="AH31" s="3">
        <f>AG31/1000</f>
        <v>70194.991769999993</v>
      </c>
      <c r="AJ31" s="120">
        <v>83055271</v>
      </c>
      <c r="AK31" s="3">
        <f>AJ31/1000</f>
        <v>83055.270999999993</v>
      </c>
      <c r="AM31" s="3">
        <v>87535581</v>
      </c>
      <c r="AN31" s="3">
        <f>AM31/1000</f>
        <v>87535.581000000006</v>
      </c>
      <c r="AP31" s="3">
        <v>94808277</v>
      </c>
      <c r="AQ31" s="3">
        <f>AP31/1000</f>
        <v>94808.277000000002</v>
      </c>
      <c r="AS31" s="3">
        <v>102773407</v>
      </c>
      <c r="AT31" s="3">
        <f>AS31/1000</f>
        <v>102773.40700000001</v>
      </c>
      <c r="AV31" s="3">
        <v>105326829</v>
      </c>
      <c r="AW31" s="3">
        <f>AV31/1000</f>
        <v>105326.829</v>
      </c>
      <c r="AY31" s="3">
        <v>108969073.20000002</v>
      </c>
      <c r="AZ31" s="3">
        <f>AY31/1000</f>
        <v>108969.07320000001</v>
      </c>
      <c r="BB31" s="3">
        <v>117771349.97999997</v>
      </c>
      <c r="BC31" s="3">
        <f t="shared" si="20"/>
        <v>117771.34997999997</v>
      </c>
      <c r="BD31" s="3">
        <v>115316002.35999995</v>
      </c>
      <c r="BE31" s="3">
        <f t="shared" si="20"/>
        <v>115316.00235999995</v>
      </c>
      <c r="BG31" s="3">
        <v>184845739.72000003</v>
      </c>
      <c r="BH31" s="3">
        <v>2496094</v>
      </c>
      <c r="BI31" s="30">
        <f>BG31-BH31</f>
        <v>182349645.72000003</v>
      </c>
      <c r="BJ31" s="3">
        <f>BI31/1000</f>
        <v>182349.64572000003</v>
      </c>
      <c r="BL31" s="3">
        <v>246933845.56999999</v>
      </c>
      <c r="BM31" s="3">
        <v>2955749</v>
      </c>
      <c r="BN31" s="30">
        <f t="shared" si="26"/>
        <v>243978096.56999999</v>
      </c>
      <c r="BO31" s="3">
        <f t="shared" si="27"/>
        <v>243978.09656999999</v>
      </c>
      <c r="BP31" s="3">
        <v>145385789.04999998</v>
      </c>
      <c r="BQ31" s="3">
        <v>3094797</v>
      </c>
      <c r="BR31" s="3">
        <f t="shared" ref="BR31:BR34" si="28">BP31-BQ31</f>
        <v>142290992.04999998</v>
      </c>
      <c r="BS31" s="3">
        <f t="shared" ref="BS31:BS34" si="29">BR31/1000</f>
        <v>142290.99204999997</v>
      </c>
      <c r="BT31" s="3">
        <v>137708880.75999999</v>
      </c>
      <c r="BU31" s="3">
        <v>2799338</v>
      </c>
      <c r="BV31" s="3">
        <f t="shared" si="12"/>
        <v>134909542.75999999</v>
      </c>
      <c r="BW31" s="3">
        <f t="shared" si="13"/>
        <v>134909.54275999998</v>
      </c>
    </row>
    <row r="32" spans="1:75" ht="15.75">
      <c r="A32" s="1" t="s">
        <v>23</v>
      </c>
      <c r="B32" s="14">
        <v>4453</v>
      </c>
      <c r="C32" s="14">
        <v>4735</v>
      </c>
      <c r="D32" s="14">
        <v>5529</v>
      </c>
      <c r="E32" s="14">
        <v>5013.7066699999996</v>
      </c>
      <c r="F32" s="14">
        <v>4755.5434699999996</v>
      </c>
      <c r="G32" s="14">
        <v>5429.1514900000002</v>
      </c>
      <c r="H32" s="14">
        <v>7358.6976400000003</v>
      </c>
      <c r="I32" s="1">
        <v>8049.1807099999987</v>
      </c>
      <c r="J32" s="1">
        <v>5533.2151599999997</v>
      </c>
      <c r="K32" s="1">
        <v>5789.6581499999993</v>
      </c>
      <c r="L32" s="239">
        <f t="shared" si="25"/>
        <v>4.6346108471227341</v>
      </c>
      <c r="M32" s="239">
        <f t="shared" si="9"/>
        <v>25.66929961926898</v>
      </c>
      <c r="N32" s="14">
        <v>1253</v>
      </c>
      <c r="O32" s="14">
        <v>1412</v>
      </c>
      <c r="P32" s="14">
        <v>1393</v>
      </c>
      <c r="Q32" s="14">
        <v>1465</v>
      </c>
      <c r="R32" s="14">
        <v>1591</v>
      </c>
      <c r="S32" s="14">
        <v>1624</v>
      </c>
      <c r="T32" s="14">
        <v>1724</v>
      </c>
      <c r="U32" s="14">
        <v>2018</v>
      </c>
      <c r="V32" s="14">
        <f>1744062/1000</f>
        <v>1744.0619999999999</v>
      </c>
      <c r="W32" s="14">
        <v>1808</v>
      </c>
      <c r="X32" s="14">
        <v>1798</v>
      </c>
      <c r="Y32" s="14">
        <v>1687</v>
      </c>
      <c r="Z32" s="14">
        <v>1972</v>
      </c>
      <c r="AA32">
        <v>2261</v>
      </c>
      <c r="AB32" s="14">
        <v>2490</v>
      </c>
      <c r="AC32" s="14">
        <v>2698</v>
      </c>
      <c r="AD32" s="14">
        <v>3443</v>
      </c>
      <c r="AE32" s="14">
        <v>4279.8655499999995</v>
      </c>
      <c r="AF32" s="14">
        <v>4607.0585000000001</v>
      </c>
      <c r="AG32" s="90">
        <v>3443457.22</v>
      </c>
      <c r="AH32" s="3">
        <f>AG32/1000</f>
        <v>3443.4572200000002</v>
      </c>
      <c r="AJ32" s="120">
        <v>4279865.55</v>
      </c>
      <c r="AK32" s="3">
        <f>AJ32/1000</f>
        <v>4279.8655499999995</v>
      </c>
      <c r="AM32" s="3">
        <v>4607058.5</v>
      </c>
      <c r="AN32" s="3">
        <f>AM32/1000</f>
        <v>4607.0585000000001</v>
      </c>
      <c r="AP32" s="3">
        <v>4453155.9000000004</v>
      </c>
      <c r="AQ32" s="3">
        <f>AP32/1000</f>
        <v>4453.1559000000007</v>
      </c>
      <c r="AS32" s="3">
        <v>4735390.99</v>
      </c>
      <c r="AT32" s="3">
        <f>AS32/1000</f>
        <v>4735.3909899999999</v>
      </c>
      <c r="AV32" s="3">
        <v>5529258</v>
      </c>
      <c r="AW32" s="3">
        <f>AV32/1000</f>
        <v>5529.2579999999998</v>
      </c>
      <c r="AY32" s="3">
        <v>5013706.67</v>
      </c>
      <c r="AZ32" s="3">
        <f>AY32/1000</f>
        <v>5013.7066699999996</v>
      </c>
      <c r="BB32" s="3">
        <v>4755543.47</v>
      </c>
      <c r="BC32" s="3">
        <f t="shared" si="20"/>
        <v>4755.5434699999996</v>
      </c>
      <c r="BD32" s="3">
        <v>5429151.4900000002</v>
      </c>
      <c r="BE32" s="3">
        <f t="shared" si="20"/>
        <v>5429.1514900000002</v>
      </c>
      <c r="BG32" s="3">
        <v>7358697.6400000006</v>
      </c>
      <c r="BH32" s="3">
        <v>0</v>
      </c>
      <c r="BI32" s="30">
        <f>BG32-BH32</f>
        <v>7358697.6400000006</v>
      </c>
      <c r="BJ32" s="3">
        <f>BI32/1000</f>
        <v>7358.6976400000003</v>
      </c>
      <c r="BL32" s="3">
        <v>8049180.709999999</v>
      </c>
      <c r="BM32" s="3">
        <v>0</v>
      </c>
      <c r="BN32" s="30">
        <f t="shared" si="26"/>
        <v>8049180.709999999</v>
      </c>
      <c r="BO32" s="3">
        <f t="shared" si="27"/>
        <v>8049.1807099999987</v>
      </c>
      <c r="BP32" s="3">
        <v>5533215.1600000001</v>
      </c>
      <c r="BQ32" s="3">
        <v>0</v>
      </c>
      <c r="BR32" s="3">
        <f t="shared" si="28"/>
        <v>5533215.1600000001</v>
      </c>
      <c r="BS32" s="3">
        <f t="shared" si="29"/>
        <v>5533.2151599999997</v>
      </c>
      <c r="BT32" s="3">
        <v>5789658.1499999994</v>
      </c>
      <c r="BU32" s="3">
        <v>0</v>
      </c>
      <c r="BV32" s="3">
        <f t="shared" si="12"/>
        <v>5789658.1499999994</v>
      </c>
      <c r="BW32" s="3">
        <f t="shared" si="13"/>
        <v>5789.6581499999993</v>
      </c>
    </row>
    <row r="33" spans="1:75" ht="15.75">
      <c r="A33" s="1" t="s">
        <v>24</v>
      </c>
      <c r="B33" s="14">
        <v>13069</v>
      </c>
      <c r="C33" s="14">
        <v>13832</v>
      </c>
      <c r="D33" s="14">
        <v>13006</v>
      </c>
      <c r="E33" s="14">
        <v>12062.05544</v>
      </c>
      <c r="F33" s="14">
        <v>12760.059479999998</v>
      </c>
      <c r="G33" s="14">
        <v>13275.137790000001</v>
      </c>
      <c r="H33" s="14">
        <v>19933.209260000007</v>
      </c>
      <c r="I33" s="1">
        <v>22075.751410000004</v>
      </c>
      <c r="J33" s="1">
        <v>15488.23792</v>
      </c>
      <c r="K33" s="1">
        <v>15638.114509999999</v>
      </c>
      <c r="L33" s="239">
        <f t="shared" si="25"/>
        <v>0.96768006001808538</v>
      </c>
      <c r="M33" s="239">
        <f t="shared" si="9"/>
        <v>29.744733047893678</v>
      </c>
      <c r="N33" s="14">
        <v>3379</v>
      </c>
      <c r="O33" s="14">
        <v>3837</v>
      </c>
      <c r="P33" s="14">
        <v>3886</v>
      </c>
      <c r="Q33" s="14">
        <v>4107</v>
      </c>
      <c r="R33" s="14">
        <v>4041</v>
      </c>
      <c r="S33" s="14">
        <v>4172</v>
      </c>
      <c r="T33" s="14">
        <v>4371</v>
      </c>
      <c r="U33" s="14">
        <v>6033</v>
      </c>
      <c r="V33" s="14">
        <f>5272740/1000</f>
        <v>5272.74</v>
      </c>
      <c r="W33" s="14">
        <v>5264</v>
      </c>
      <c r="X33" s="14">
        <v>5623</v>
      </c>
      <c r="Y33" s="14">
        <v>5315</v>
      </c>
      <c r="Z33" s="14">
        <v>5597</v>
      </c>
      <c r="AA33">
        <v>5662</v>
      </c>
      <c r="AB33" s="14">
        <v>6128</v>
      </c>
      <c r="AC33" s="14">
        <v>7820</v>
      </c>
      <c r="AD33" s="14">
        <v>9269</v>
      </c>
      <c r="AE33" s="14">
        <v>11271.973</v>
      </c>
      <c r="AF33" s="14">
        <v>12052.986000000001</v>
      </c>
      <c r="AG33" s="90">
        <v>9269128.3499999996</v>
      </c>
      <c r="AH33" s="3">
        <f>AG33/1000</f>
        <v>9269.128349999999</v>
      </c>
      <c r="AJ33" s="120">
        <v>11271973</v>
      </c>
      <c r="AK33" s="3">
        <f>AJ33/1000</f>
        <v>11271.973</v>
      </c>
      <c r="AM33" s="3">
        <v>12052986</v>
      </c>
      <c r="AN33" s="3">
        <f>AM33/1000</f>
        <v>12052.986000000001</v>
      </c>
      <c r="AP33" s="3">
        <v>13069164</v>
      </c>
      <c r="AQ33" s="3">
        <f>AP33/1000</f>
        <v>13069.164000000001</v>
      </c>
      <c r="AS33" s="3">
        <v>13832065</v>
      </c>
      <c r="AT33" s="3">
        <f>AS33/1000</f>
        <v>13832.065000000001</v>
      </c>
      <c r="AV33" s="3">
        <v>13005687</v>
      </c>
      <c r="AW33" s="3">
        <f>AV33/1000</f>
        <v>13005.687</v>
      </c>
      <c r="AY33" s="3">
        <v>12062055.439999999</v>
      </c>
      <c r="AZ33" s="3">
        <f>AY33/1000</f>
        <v>12062.05544</v>
      </c>
      <c r="BB33" s="3">
        <v>12760059.479999999</v>
      </c>
      <c r="BC33" s="3">
        <f t="shared" si="20"/>
        <v>12760.059479999998</v>
      </c>
      <c r="BD33" s="3">
        <v>13275137.790000001</v>
      </c>
      <c r="BE33" s="3">
        <f t="shared" si="20"/>
        <v>13275.137790000001</v>
      </c>
      <c r="BG33" s="3">
        <v>20277485.260000005</v>
      </c>
      <c r="BH33" s="3">
        <v>344276</v>
      </c>
      <c r="BI33" s="30">
        <f>BG33-BH33</f>
        <v>19933209.260000005</v>
      </c>
      <c r="BJ33" s="3">
        <f>BI33/1000</f>
        <v>19933.209260000007</v>
      </c>
      <c r="BL33" s="3">
        <v>22500845.410000004</v>
      </c>
      <c r="BM33" s="3">
        <v>425094</v>
      </c>
      <c r="BN33" s="30">
        <f t="shared" si="26"/>
        <v>22075751.410000004</v>
      </c>
      <c r="BO33" s="3">
        <f t="shared" si="27"/>
        <v>22075.751410000004</v>
      </c>
      <c r="BP33" s="3">
        <v>15845580.520000001</v>
      </c>
      <c r="BQ33" s="3">
        <v>357342.6</v>
      </c>
      <c r="BR33" s="3">
        <f t="shared" si="28"/>
        <v>15488237.920000002</v>
      </c>
      <c r="BS33" s="3">
        <f t="shared" si="29"/>
        <v>15488.237920000001</v>
      </c>
      <c r="BT33" s="3">
        <v>16028916.029999999</v>
      </c>
      <c r="BU33" s="3">
        <v>390801.52</v>
      </c>
      <c r="BV33" s="3">
        <f t="shared" si="12"/>
        <v>15638114.51</v>
      </c>
      <c r="BW33" s="3">
        <f t="shared" si="13"/>
        <v>15638.114509999999</v>
      </c>
    </row>
    <row r="34" spans="1:75" ht="15.75">
      <c r="A34" s="1" t="s">
        <v>25</v>
      </c>
      <c r="B34" s="14">
        <v>4212</v>
      </c>
      <c r="C34" s="14">
        <v>4501</v>
      </c>
      <c r="D34" s="14">
        <v>4208</v>
      </c>
      <c r="E34" s="14">
        <v>5619.6387400000003</v>
      </c>
      <c r="F34" s="14">
        <v>5921.2153399999997</v>
      </c>
      <c r="G34" s="14">
        <v>6103.2086799999997</v>
      </c>
      <c r="H34" s="14">
        <v>7271.4705999999996</v>
      </c>
      <c r="I34" s="1">
        <v>6650.4904299999998</v>
      </c>
      <c r="J34" s="1">
        <v>5568.1967100000002</v>
      </c>
      <c r="K34" s="1">
        <v>5372.74467</v>
      </c>
      <c r="L34" s="239">
        <f t="shared" si="25"/>
        <v>-3.5101496979980098</v>
      </c>
      <c r="M34" s="239">
        <f t="shared" si="9"/>
        <v>34.693040167115157</v>
      </c>
      <c r="N34" s="14">
        <v>1608</v>
      </c>
      <c r="O34" s="14">
        <v>1615</v>
      </c>
      <c r="P34" s="14">
        <v>1432</v>
      </c>
      <c r="Q34" s="14">
        <v>1763</v>
      </c>
      <c r="R34" s="14">
        <v>2205</v>
      </c>
      <c r="S34" s="14">
        <v>2002</v>
      </c>
      <c r="T34" s="14">
        <v>2233</v>
      </c>
      <c r="U34" s="14">
        <v>2305</v>
      </c>
      <c r="V34" s="14">
        <f>2453963/1000</f>
        <v>2453.9630000000002</v>
      </c>
      <c r="W34" s="14">
        <v>2364</v>
      </c>
      <c r="X34" s="14">
        <v>2575</v>
      </c>
      <c r="Y34" s="14">
        <v>2473</v>
      </c>
      <c r="Z34" s="14">
        <v>2697</v>
      </c>
      <c r="AA34">
        <v>3062</v>
      </c>
      <c r="AB34" s="14">
        <v>3255</v>
      </c>
      <c r="AC34" s="14">
        <v>3488</v>
      </c>
      <c r="AD34" s="14">
        <v>3796</v>
      </c>
      <c r="AE34" s="14">
        <v>4610.9492099999998</v>
      </c>
      <c r="AF34" s="14">
        <v>3988.88069</v>
      </c>
      <c r="AG34" s="90">
        <v>3796042.4</v>
      </c>
      <c r="AH34" s="3">
        <f>AG34/1000</f>
        <v>3796.0423999999998</v>
      </c>
      <c r="AJ34" s="120">
        <v>4610949.21</v>
      </c>
      <c r="AK34" s="3">
        <f>AJ34/1000</f>
        <v>4610.9492099999998</v>
      </c>
      <c r="AM34" s="3">
        <v>3988880.69</v>
      </c>
      <c r="AN34" s="3">
        <f>AM34/1000</f>
        <v>3988.88069</v>
      </c>
      <c r="AP34" s="3">
        <v>4212302.3099999996</v>
      </c>
      <c r="AQ34" s="3">
        <f>AP34/1000</f>
        <v>4212.30231</v>
      </c>
      <c r="AS34" s="3">
        <v>4500996.32</v>
      </c>
      <c r="AT34" s="3">
        <f>AS34/1000</f>
        <v>4500.9963200000002</v>
      </c>
      <c r="AV34" s="3">
        <v>4208363.3499999996</v>
      </c>
      <c r="AW34" s="3">
        <f>AV34/1000</f>
        <v>4208.3633499999996</v>
      </c>
      <c r="AY34" s="3">
        <v>5619638.7400000002</v>
      </c>
      <c r="AZ34" s="3">
        <f>AY34/1000</f>
        <v>5619.6387400000003</v>
      </c>
      <c r="BB34" s="3">
        <v>5921215.3399999999</v>
      </c>
      <c r="BC34" s="3">
        <f t="shared" si="20"/>
        <v>5921.2153399999997</v>
      </c>
      <c r="BD34" s="3">
        <v>6103208.6799999997</v>
      </c>
      <c r="BE34" s="3">
        <f t="shared" si="20"/>
        <v>6103.2086799999997</v>
      </c>
      <c r="BG34" s="3">
        <v>7309152.5999999996</v>
      </c>
      <c r="BH34" s="3">
        <v>37682</v>
      </c>
      <c r="BI34" s="30">
        <f>BG34-BH34</f>
        <v>7271470.5999999996</v>
      </c>
      <c r="BJ34" s="3">
        <f>BI34/1000</f>
        <v>7271.4705999999996</v>
      </c>
      <c r="BL34" s="3">
        <v>6717631.4299999997</v>
      </c>
      <c r="BM34" s="3">
        <v>67141</v>
      </c>
      <c r="BN34" s="30">
        <f t="shared" si="26"/>
        <v>6650490.4299999997</v>
      </c>
      <c r="BO34" s="3">
        <f t="shared" si="27"/>
        <v>6650.4904299999998</v>
      </c>
      <c r="BP34" s="3">
        <v>5568196.71</v>
      </c>
      <c r="BQ34" s="3">
        <v>0</v>
      </c>
      <c r="BR34" s="3">
        <f t="shared" si="28"/>
        <v>5568196.71</v>
      </c>
      <c r="BS34" s="3">
        <f t="shared" si="29"/>
        <v>5568.1967100000002</v>
      </c>
      <c r="BT34" s="3">
        <v>5440570.6699999999</v>
      </c>
      <c r="BU34" s="3">
        <v>67826</v>
      </c>
      <c r="BV34" s="3">
        <f t="shared" si="12"/>
        <v>5372744.6699999999</v>
      </c>
      <c r="BW34" s="3">
        <f t="shared" si="13"/>
        <v>5372.74467</v>
      </c>
    </row>
    <row r="35" spans="1:75" ht="15.75">
      <c r="B35" s="14"/>
      <c r="C35" s="14"/>
      <c r="D35" s="14"/>
      <c r="E35" s="14"/>
      <c r="F35" s="14"/>
      <c r="G35" s="14"/>
      <c r="H35" s="14"/>
      <c r="L35" s="239"/>
      <c r="M35" s="239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/>
      <c r="AB35" s="14"/>
      <c r="AC35" s="14"/>
      <c r="AD35" s="14"/>
      <c r="AE35" s="14"/>
      <c r="AF35" s="14"/>
      <c r="AG35" s="30"/>
      <c r="AJ35" s="120"/>
    </row>
    <row r="36" spans="1:75" ht="15.75">
      <c r="A36" s="1" t="s">
        <v>26</v>
      </c>
      <c r="B36" s="14">
        <v>3308</v>
      </c>
      <c r="C36" s="14">
        <v>3079</v>
      </c>
      <c r="D36" s="14">
        <v>3204</v>
      </c>
      <c r="E36" s="14">
        <v>2888.0732799999996</v>
      </c>
      <c r="F36" s="14">
        <v>3251.5922099999998</v>
      </c>
      <c r="G36" s="14">
        <v>3100.3542900000002</v>
      </c>
      <c r="H36" s="14">
        <v>4547.9334800000006</v>
      </c>
      <c r="I36" s="1">
        <v>4287.68703</v>
      </c>
      <c r="J36" s="1">
        <v>3739.8555000000001</v>
      </c>
      <c r="K36" s="1">
        <v>3778.4197299999996</v>
      </c>
      <c r="L36" s="239">
        <f t="shared" ref="L36:L39" si="30">(K36-J36)*100/J36</f>
        <v>1.0311689850048884</v>
      </c>
      <c r="M36" s="239">
        <f t="shared" si="9"/>
        <v>-8.615407940294741</v>
      </c>
      <c r="N36" s="14">
        <v>911</v>
      </c>
      <c r="O36" s="14">
        <v>919</v>
      </c>
      <c r="P36" s="14">
        <v>770</v>
      </c>
      <c r="Q36" s="14">
        <v>828</v>
      </c>
      <c r="R36" s="14">
        <v>933</v>
      </c>
      <c r="S36" s="14">
        <v>1399</v>
      </c>
      <c r="T36" s="14">
        <v>1283</v>
      </c>
      <c r="U36" s="14">
        <v>1285</v>
      </c>
      <c r="V36" s="14">
        <f>1472053/1000</f>
        <v>1472.0530000000001</v>
      </c>
      <c r="W36" s="14">
        <v>1392</v>
      </c>
      <c r="X36" s="14">
        <v>1295</v>
      </c>
      <c r="Y36" s="14">
        <v>1391</v>
      </c>
      <c r="Z36" s="14">
        <v>1450</v>
      </c>
      <c r="AA36">
        <v>1675</v>
      </c>
      <c r="AB36" s="14">
        <v>2181</v>
      </c>
      <c r="AC36" s="14">
        <v>2518</v>
      </c>
      <c r="AD36" s="14">
        <v>3121</v>
      </c>
      <c r="AE36" s="14">
        <v>3433.4281599999999</v>
      </c>
      <c r="AF36" s="14">
        <v>4134.63544</v>
      </c>
      <c r="AG36" s="90">
        <v>3121132.02</v>
      </c>
      <c r="AH36" s="3">
        <f>AG36/1000</f>
        <v>3121.13202</v>
      </c>
      <c r="AJ36" s="120">
        <v>3433428.16</v>
      </c>
      <c r="AK36" s="3">
        <f>AJ36/1000</f>
        <v>3433.4281599999999</v>
      </c>
      <c r="AM36" s="3">
        <v>4134635.44</v>
      </c>
      <c r="AN36" s="3">
        <f>AM36/1000</f>
        <v>4134.63544</v>
      </c>
      <c r="AP36" s="3">
        <v>3308308.47</v>
      </c>
      <c r="AQ36" s="3">
        <f>AP36/1000</f>
        <v>3308.3084700000004</v>
      </c>
      <c r="AS36" s="3">
        <v>3078642.35</v>
      </c>
      <c r="AT36" s="3">
        <f>AS36/1000</f>
        <v>3078.6423500000001</v>
      </c>
      <c r="AV36" s="3">
        <v>3204280.57</v>
      </c>
      <c r="AW36" s="3">
        <f>AV36/1000</f>
        <v>3204.2805699999999</v>
      </c>
      <c r="AY36" s="3">
        <v>2888073.28</v>
      </c>
      <c r="AZ36" s="3">
        <f>AY36/1000</f>
        <v>2888.0732799999996</v>
      </c>
      <c r="BB36" s="3">
        <v>3251592.21</v>
      </c>
      <c r="BC36" s="3">
        <f t="shared" si="20"/>
        <v>3251.5922099999998</v>
      </c>
      <c r="BD36" s="3">
        <v>3100354.29</v>
      </c>
      <c r="BE36" s="3">
        <f t="shared" si="20"/>
        <v>3100.3542900000002</v>
      </c>
      <c r="BG36" s="3">
        <v>4607994.91</v>
      </c>
      <c r="BH36" s="3">
        <v>60061.43</v>
      </c>
      <c r="BI36" s="30">
        <f>BG36-BH36</f>
        <v>4547933.4800000004</v>
      </c>
      <c r="BJ36" s="3">
        <f>BI36/1000</f>
        <v>4547.9334800000006</v>
      </c>
      <c r="BL36" s="3">
        <v>4408559.37</v>
      </c>
      <c r="BM36" s="3">
        <v>120872.34</v>
      </c>
      <c r="BN36" s="30">
        <f t="shared" ref="BN36:BN39" si="31">BL36-BM36</f>
        <v>4287687.03</v>
      </c>
      <c r="BO36" s="3">
        <f t="shared" ref="BO36:BO39" si="32">BN36/1000</f>
        <v>4287.68703</v>
      </c>
      <c r="BP36" s="3">
        <v>3811091.3500000006</v>
      </c>
      <c r="BQ36" s="3">
        <v>71235.850000000006</v>
      </c>
      <c r="BR36" s="3">
        <f>BP36-BQ36</f>
        <v>3739855.5000000005</v>
      </c>
      <c r="BS36" s="3">
        <f>BR36/1000</f>
        <v>3739.8555000000006</v>
      </c>
      <c r="BT36" s="3">
        <v>3879469.3299999996</v>
      </c>
      <c r="BU36" s="3">
        <v>101049.60000000001</v>
      </c>
      <c r="BV36" s="3">
        <f t="shared" si="12"/>
        <v>3778419.7299999995</v>
      </c>
      <c r="BW36" s="3">
        <f t="shared" si="13"/>
        <v>3778.4197299999996</v>
      </c>
    </row>
    <row r="37" spans="1:75">
      <c r="A37" s="1" t="s">
        <v>27</v>
      </c>
      <c r="B37" s="14">
        <v>13012</v>
      </c>
      <c r="C37" s="14">
        <v>14252</v>
      </c>
      <c r="D37" s="14">
        <v>15466</v>
      </c>
      <c r="E37" s="14">
        <v>15509.137100000002</v>
      </c>
      <c r="F37" s="14">
        <v>16869.90566</v>
      </c>
      <c r="G37" s="14">
        <v>16964.993950000004</v>
      </c>
      <c r="H37" s="14">
        <v>24133.020170000007</v>
      </c>
      <c r="I37" s="1">
        <v>30865.920129999999</v>
      </c>
      <c r="J37" s="1">
        <v>21234.924859999999</v>
      </c>
      <c r="K37" s="1">
        <v>20031.888629999994</v>
      </c>
      <c r="L37" s="239">
        <f t="shared" si="30"/>
        <v>-5.6653660793787486</v>
      </c>
      <c r="M37" s="239">
        <f t="shared" si="9"/>
        <v>62.531446464081569</v>
      </c>
      <c r="N37" s="14">
        <v>4598</v>
      </c>
      <c r="O37" s="14">
        <v>4515</v>
      </c>
      <c r="P37" s="14">
        <v>4625</v>
      </c>
      <c r="Q37" s="14">
        <v>5045</v>
      </c>
      <c r="R37" s="14">
        <v>5106</v>
      </c>
      <c r="S37" s="14">
        <v>5237</v>
      </c>
      <c r="T37" s="14">
        <v>5515</v>
      </c>
      <c r="U37" s="14">
        <v>6641</v>
      </c>
      <c r="V37" s="14">
        <f>6673421/1000</f>
        <v>6673.4210000000003</v>
      </c>
      <c r="W37" s="14">
        <v>7261</v>
      </c>
      <c r="X37" s="14">
        <v>7633</v>
      </c>
      <c r="Y37" s="14">
        <v>7206</v>
      </c>
      <c r="Z37" s="14">
        <v>6995</v>
      </c>
      <c r="AA37" s="14">
        <v>7222</v>
      </c>
      <c r="AB37" s="14">
        <v>8684</v>
      </c>
      <c r="AC37" s="14">
        <v>9776</v>
      </c>
      <c r="AD37" s="14">
        <v>10092</v>
      </c>
      <c r="AE37" s="14">
        <v>11026.455</v>
      </c>
      <c r="AF37" s="14">
        <v>12324.931</v>
      </c>
      <c r="AG37" s="90">
        <v>10092108.57</v>
      </c>
      <c r="AH37" s="3">
        <f>AG37/1000</f>
        <v>10092.10857</v>
      </c>
      <c r="AJ37" s="120">
        <v>11026455</v>
      </c>
      <c r="AK37" s="3">
        <f>AJ37/1000</f>
        <v>11026.455</v>
      </c>
      <c r="AM37" s="3">
        <v>12324931</v>
      </c>
      <c r="AN37" s="3">
        <f>AM37/1000</f>
        <v>12324.931</v>
      </c>
      <c r="AP37" s="3">
        <v>13012358</v>
      </c>
      <c r="AQ37" s="3">
        <f>AP37/1000</f>
        <v>13012.358</v>
      </c>
      <c r="AS37" s="3">
        <v>14251701</v>
      </c>
      <c r="AT37" s="3">
        <f>AS37/1000</f>
        <v>14251.700999999999</v>
      </c>
      <c r="AV37" s="3">
        <v>15466229</v>
      </c>
      <c r="AW37" s="3">
        <f>AV37/1000</f>
        <v>15466.228999999999</v>
      </c>
      <c r="AY37" s="3">
        <v>15509137.100000001</v>
      </c>
      <c r="AZ37" s="3">
        <f>AY37/1000</f>
        <v>15509.137100000002</v>
      </c>
      <c r="BB37" s="3">
        <v>16869905.66</v>
      </c>
      <c r="BC37" s="3">
        <f t="shared" si="20"/>
        <v>16869.90566</v>
      </c>
      <c r="BD37" s="3">
        <v>16964993.950000003</v>
      </c>
      <c r="BE37" s="3">
        <f t="shared" si="20"/>
        <v>16964.993950000004</v>
      </c>
      <c r="BG37" s="3">
        <v>24668830.170000006</v>
      </c>
      <c r="BH37" s="3">
        <v>535810</v>
      </c>
      <c r="BI37" s="30">
        <f>BG37-BH37</f>
        <v>24133020.170000006</v>
      </c>
      <c r="BJ37" s="3">
        <f>BI37/1000</f>
        <v>24133.020170000007</v>
      </c>
      <c r="BL37" s="3">
        <v>31478526.129999999</v>
      </c>
      <c r="BM37" s="3">
        <v>612606</v>
      </c>
      <c r="BN37" s="30">
        <f t="shared" si="31"/>
        <v>30865920.129999999</v>
      </c>
      <c r="BO37" s="3">
        <f t="shared" si="32"/>
        <v>30865.920129999999</v>
      </c>
      <c r="BP37" s="3">
        <v>21793814.910000004</v>
      </c>
      <c r="BQ37" s="3">
        <v>558890.05000000005</v>
      </c>
      <c r="BR37" s="3">
        <f t="shared" ref="BR37:BR39" si="33">BP37-BQ37</f>
        <v>21234924.860000003</v>
      </c>
      <c r="BS37" s="3">
        <f t="shared" ref="BS37:BS39" si="34">BR37/1000</f>
        <v>21234.924860000003</v>
      </c>
      <c r="BT37" s="3">
        <v>20563174.799999997</v>
      </c>
      <c r="BU37" s="3">
        <v>531286.17000000004</v>
      </c>
      <c r="BV37" s="3">
        <f t="shared" si="12"/>
        <v>20031888.629999995</v>
      </c>
      <c r="BW37" s="3">
        <f t="shared" si="13"/>
        <v>20031.888629999994</v>
      </c>
    </row>
    <row r="38" spans="1:75">
      <c r="A38" s="1" t="s">
        <v>28</v>
      </c>
      <c r="B38" s="14">
        <v>12652</v>
      </c>
      <c r="C38" s="14">
        <v>13443</v>
      </c>
      <c r="D38" s="14">
        <v>13981</v>
      </c>
      <c r="E38" s="14">
        <v>14342.41785</v>
      </c>
      <c r="F38" s="14">
        <v>14123.244850000001</v>
      </c>
      <c r="G38" s="14">
        <v>14943.278989999999</v>
      </c>
      <c r="H38" s="14">
        <v>17671.864870000001</v>
      </c>
      <c r="I38" s="1">
        <v>21403.44254</v>
      </c>
      <c r="J38" s="1">
        <v>16122.32415</v>
      </c>
      <c r="K38" s="1">
        <v>19892.423990000003</v>
      </c>
      <c r="L38" s="239">
        <f t="shared" si="30"/>
        <v>23.384344620065232</v>
      </c>
      <c r="M38" s="239">
        <f t="shared" si="9"/>
        <v>68.632125990232751</v>
      </c>
      <c r="N38" s="14">
        <v>2263</v>
      </c>
      <c r="O38" s="14">
        <v>2319</v>
      </c>
      <c r="P38" s="14">
        <v>2328</v>
      </c>
      <c r="Q38" s="14">
        <v>2519</v>
      </c>
      <c r="R38" s="14">
        <v>2670</v>
      </c>
      <c r="S38" s="14">
        <v>2985</v>
      </c>
      <c r="T38" s="14">
        <v>3668</v>
      </c>
      <c r="U38" s="14">
        <v>4203</v>
      </c>
      <c r="V38" s="14">
        <f>4554038/1000</f>
        <v>4554.0379999999996</v>
      </c>
      <c r="W38" s="14">
        <v>4213</v>
      </c>
      <c r="X38" s="14">
        <v>4479</v>
      </c>
      <c r="Y38" s="14">
        <v>4720</v>
      </c>
      <c r="Z38" s="14">
        <v>5375</v>
      </c>
      <c r="AA38" s="14">
        <v>6382</v>
      </c>
      <c r="AB38" s="14">
        <v>7733</v>
      </c>
      <c r="AC38" s="14">
        <v>8579</v>
      </c>
      <c r="AD38" s="14">
        <v>9419</v>
      </c>
      <c r="AE38" s="14">
        <v>10270.028</v>
      </c>
      <c r="AF38" s="14">
        <v>11796.343000000001</v>
      </c>
      <c r="AG38" s="90">
        <v>9418669.0500000007</v>
      </c>
      <c r="AH38" s="3">
        <f>AG38/1000</f>
        <v>9418.6690500000004</v>
      </c>
      <c r="AJ38" s="120">
        <v>10270028</v>
      </c>
      <c r="AK38" s="3">
        <f>AJ38/1000</f>
        <v>10270.028</v>
      </c>
      <c r="AM38" s="3">
        <v>11796343</v>
      </c>
      <c r="AN38" s="3">
        <f>AM38/1000</f>
        <v>11796.343000000001</v>
      </c>
      <c r="AP38" s="3">
        <v>12651976</v>
      </c>
      <c r="AQ38" s="3">
        <f>AP38/1000</f>
        <v>12651.976000000001</v>
      </c>
      <c r="AS38" s="3">
        <v>13442515</v>
      </c>
      <c r="AT38" s="3">
        <f>AS38/1000</f>
        <v>13442.514999999999</v>
      </c>
      <c r="AV38" s="3">
        <v>13980766</v>
      </c>
      <c r="AW38" s="3">
        <f>AV38/1000</f>
        <v>13980.766</v>
      </c>
      <c r="AY38" s="3">
        <v>14342417.85</v>
      </c>
      <c r="AZ38" s="3">
        <f>AY38/1000</f>
        <v>14342.41785</v>
      </c>
      <c r="BB38" s="3">
        <v>14123244.850000001</v>
      </c>
      <c r="BC38" s="3">
        <f t="shared" si="20"/>
        <v>14123.244850000001</v>
      </c>
      <c r="BD38" s="3">
        <v>14943278.989999998</v>
      </c>
      <c r="BE38" s="3">
        <f t="shared" si="20"/>
        <v>14943.278989999999</v>
      </c>
      <c r="BG38" s="3">
        <v>17907558.170000002</v>
      </c>
      <c r="BH38" s="3">
        <v>235693.3</v>
      </c>
      <c r="BI38" s="30">
        <f>BG38-BH38</f>
        <v>17671864.870000001</v>
      </c>
      <c r="BJ38" s="3">
        <f>BI38/1000</f>
        <v>17671.864870000001</v>
      </c>
      <c r="BL38" s="3">
        <v>21732758.539999999</v>
      </c>
      <c r="BM38" s="3">
        <v>329316</v>
      </c>
      <c r="BN38" s="30">
        <f t="shared" si="31"/>
        <v>21403442.539999999</v>
      </c>
      <c r="BO38" s="3">
        <f t="shared" si="32"/>
        <v>21403.44254</v>
      </c>
      <c r="BP38" s="3">
        <v>16415246.549999999</v>
      </c>
      <c r="BQ38" s="3">
        <v>292922.40000000002</v>
      </c>
      <c r="BR38" s="3">
        <f t="shared" si="33"/>
        <v>16122324.149999999</v>
      </c>
      <c r="BS38" s="3">
        <f t="shared" si="34"/>
        <v>16122.324149999999</v>
      </c>
      <c r="BT38" s="3">
        <v>20217272.740000002</v>
      </c>
      <c r="BU38" s="3">
        <v>324848.75</v>
      </c>
      <c r="BV38" s="3">
        <f t="shared" si="12"/>
        <v>19892423.990000002</v>
      </c>
      <c r="BW38" s="3">
        <f t="shared" si="13"/>
        <v>19892.423990000003</v>
      </c>
    </row>
    <row r="39" spans="1:75">
      <c r="A39" s="17" t="s">
        <v>29</v>
      </c>
      <c r="B39" s="14">
        <v>6769</v>
      </c>
      <c r="C39" s="14">
        <v>7368</v>
      </c>
      <c r="D39" s="14">
        <v>7341</v>
      </c>
      <c r="E39" s="14">
        <v>7771.5540300000011</v>
      </c>
      <c r="F39" s="14">
        <v>7913.0599499999989</v>
      </c>
      <c r="G39" s="14">
        <v>7795.14228</v>
      </c>
      <c r="H39" s="14">
        <v>9023.415930000001</v>
      </c>
      <c r="I39" s="1">
        <v>10946.725469999999</v>
      </c>
      <c r="J39" s="1">
        <v>9471.8237300000001</v>
      </c>
      <c r="K39" s="1">
        <v>7493.4272999999985</v>
      </c>
      <c r="L39" s="239">
        <f t="shared" si="30"/>
        <v>-20.887175335979375</v>
      </c>
      <c r="M39" s="239">
        <f t="shared" si="9"/>
        <v>6.965116058312554</v>
      </c>
      <c r="N39" s="24">
        <v>1383</v>
      </c>
      <c r="O39" s="24">
        <v>1482</v>
      </c>
      <c r="P39" s="24">
        <v>1582</v>
      </c>
      <c r="Q39" s="24">
        <v>1694</v>
      </c>
      <c r="R39" s="24">
        <v>1848</v>
      </c>
      <c r="S39" s="24">
        <v>2060</v>
      </c>
      <c r="T39" s="24">
        <v>2258</v>
      </c>
      <c r="U39" s="24">
        <v>2299</v>
      </c>
      <c r="V39" s="24">
        <v>2299</v>
      </c>
      <c r="W39" s="24">
        <v>2433</v>
      </c>
      <c r="X39" s="14">
        <v>2444</v>
      </c>
      <c r="Y39" s="14">
        <v>2592</v>
      </c>
      <c r="Z39" s="14">
        <v>2929</v>
      </c>
      <c r="AA39" s="14">
        <v>3642</v>
      </c>
      <c r="AB39" s="14">
        <v>4154</v>
      </c>
      <c r="AC39" s="14">
        <v>4266</v>
      </c>
      <c r="AD39" s="14">
        <v>4911</v>
      </c>
      <c r="AE39" s="14">
        <v>6052.7950000000001</v>
      </c>
      <c r="AF39" s="14">
        <v>7005.4870000000001</v>
      </c>
      <c r="AG39" s="91">
        <v>4910668.03</v>
      </c>
      <c r="AH39" s="3">
        <f>AG39/1000</f>
        <v>4910.6680299999998</v>
      </c>
      <c r="AJ39" s="122">
        <v>6052795</v>
      </c>
      <c r="AK39" s="3">
        <f>AJ39/1000</f>
        <v>6052.7950000000001</v>
      </c>
      <c r="AM39" s="3">
        <v>7005487</v>
      </c>
      <c r="AN39" s="3">
        <f>AM39/1000</f>
        <v>7005.4870000000001</v>
      </c>
      <c r="AP39" s="3">
        <v>6769035</v>
      </c>
      <c r="AQ39" s="3">
        <f>AP39/1000</f>
        <v>6769.0349999999999</v>
      </c>
      <c r="AS39" s="3">
        <v>7368409</v>
      </c>
      <c r="AT39" s="3">
        <f>AS39/1000</f>
        <v>7368.4089999999997</v>
      </c>
      <c r="AV39" s="3">
        <v>7341488</v>
      </c>
      <c r="AW39" s="3">
        <f>AV39/1000</f>
        <v>7341.4880000000003</v>
      </c>
      <c r="AY39" s="3">
        <v>7771554.0300000012</v>
      </c>
      <c r="AZ39" s="3">
        <f>AY39/1000</f>
        <v>7771.5540300000011</v>
      </c>
      <c r="BB39" s="3">
        <v>7913059.9499999993</v>
      </c>
      <c r="BC39" s="3">
        <f t="shared" si="20"/>
        <v>7913.0599499999989</v>
      </c>
      <c r="BD39" s="3">
        <v>7795142.2800000003</v>
      </c>
      <c r="BE39" s="3">
        <f t="shared" si="20"/>
        <v>7795.14228</v>
      </c>
      <c r="BG39" s="3">
        <v>9023415.9300000016</v>
      </c>
      <c r="BH39" s="3">
        <v>0</v>
      </c>
      <c r="BI39" s="30">
        <f>BG39-BH39</f>
        <v>9023415.9300000016</v>
      </c>
      <c r="BJ39" s="3">
        <f>BI39/1000</f>
        <v>9023.415930000001</v>
      </c>
      <c r="BL39" s="3">
        <v>10946725.469999999</v>
      </c>
      <c r="BM39" s="3">
        <v>0</v>
      </c>
      <c r="BN39" s="30">
        <f t="shared" si="31"/>
        <v>10946725.469999999</v>
      </c>
      <c r="BO39" s="3">
        <f t="shared" si="32"/>
        <v>10946.725469999999</v>
      </c>
      <c r="BP39" s="3">
        <v>9471823.7299999986</v>
      </c>
      <c r="BQ39" s="3">
        <v>0</v>
      </c>
      <c r="BR39" s="3">
        <f t="shared" si="33"/>
        <v>9471823.7299999986</v>
      </c>
      <c r="BS39" s="3">
        <f t="shared" si="34"/>
        <v>9471.8237299999982</v>
      </c>
      <c r="BT39" s="3">
        <v>7493427.2999999989</v>
      </c>
      <c r="BU39" s="3">
        <v>0</v>
      </c>
      <c r="BV39" s="3">
        <f t="shared" si="12"/>
        <v>7493427.2999999989</v>
      </c>
      <c r="BW39" s="3">
        <f t="shared" si="13"/>
        <v>7493.4272999999985</v>
      </c>
    </row>
    <row r="40" spans="1:75">
      <c r="A40" s="1" t="s">
        <v>299</v>
      </c>
      <c r="B40" s="19"/>
      <c r="C40" s="19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25"/>
      <c r="Q40" s="19"/>
      <c r="R40" s="19"/>
      <c r="S40" s="19"/>
      <c r="W40" s="19"/>
      <c r="X40" s="19"/>
      <c r="Y40" s="19"/>
      <c r="AA40" s="19"/>
      <c r="AB40" s="206"/>
      <c r="AD40" s="19"/>
    </row>
    <row r="41" spans="1:75">
      <c r="B41" s="14"/>
      <c r="C41" s="14"/>
      <c r="O41" s="15"/>
      <c r="Q41" s="14"/>
      <c r="R41" s="14"/>
      <c r="S41" s="14"/>
      <c r="W41" s="14"/>
      <c r="X41" s="14"/>
      <c r="Y41" s="14"/>
      <c r="AA41" s="14"/>
      <c r="AB41" s="14"/>
      <c r="AD41" s="14"/>
    </row>
    <row r="42" spans="1:75">
      <c r="B42" s="14"/>
      <c r="C42" s="14"/>
      <c r="O42" s="15"/>
      <c r="Q42" s="14"/>
      <c r="R42" s="14"/>
      <c r="S42" s="14"/>
      <c r="W42" s="14"/>
      <c r="X42" s="14"/>
      <c r="Y42" s="14"/>
      <c r="AA42" s="14"/>
      <c r="AB42" s="14"/>
      <c r="AD42" s="14"/>
    </row>
    <row r="43" spans="1:75">
      <c r="B43" s="14"/>
      <c r="C43" s="14"/>
      <c r="O43" s="15"/>
      <c r="Q43" s="14"/>
      <c r="R43" s="14"/>
      <c r="S43" s="14"/>
      <c r="W43" s="14"/>
      <c r="X43" s="14"/>
      <c r="Y43" s="14"/>
      <c r="AA43" s="14"/>
      <c r="AB43" s="14"/>
      <c r="AD43" s="14"/>
    </row>
    <row r="44" spans="1:75">
      <c r="B44" s="14"/>
      <c r="C44" s="14"/>
      <c r="O44" s="15"/>
      <c r="Q44" s="14"/>
      <c r="R44" s="14"/>
      <c r="S44" s="14"/>
      <c r="W44" s="14"/>
      <c r="X44" s="14"/>
      <c r="Y44" s="14"/>
      <c r="AA44" s="14"/>
      <c r="AB44" s="14"/>
      <c r="AD44" s="14"/>
    </row>
    <row r="45" spans="1:75">
      <c r="B45" s="14"/>
      <c r="C45" s="14"/>
      <c r="O45" s="15"/>
      <c r="Q45" s="14"/>
      <c r="R45" s="14"/>
      <c r="S45" s="14"/>
      <c r="W45" s="14"/>
      <c r="X45" s="14"/>
      <c r="Y45" s="14"/>
      <c r="AA45" s="14"/>
      <c r="AB45" s="14"/>
      <c r="AD45" s="14"/>
    </row>
    <row r="46" spans="1:75">
      <c r="B46" s="14"/>
      <c r="C46" s="14"/>
      <c r="O46" s="15"/>
      <c r="Y46" s="14"/>
      <c r="AA46" s="14"/>
      <c r="AB46" s="14"/>
      <c r="AD46" s="14"/>
    </row>
    <row r="47" spans="1:75">
      <c r="B47" s="14"/>
      <c r="C47" s="14"/>
      <c r="O47" s="15"/>
      <c r="Y47" s="14"/>
      <c r="AA47" s="14"/>
      <c r="AB47" s="14"/>
      <c r="AD47" s="14"/>
    </row>
    <row r="48" spans="1:75">
      <c r="B48" s="14"/>
      <c r="C48" s="14"/>
      <c r="O48" s="15"/>
      <c r="Y48" s="14"/>
      <c r="AA48" s="14"/>
      <c r="AB48" s="14"/>
      <c r="AD48" s="14"/>
    </row>
    <row r="49" spans="2:30">
      <c r="B49" s="14"/>
      <c r="C49" s="14"/>
      <c r="O49" s="15"/>
      <c r="Y49" s="14"/>
      <c r="AA49" s="14"/>
      <c r="AB49" s="14"/>
      <c r="AD49" s="14"/>
    </row>
    <row r="50" spans="2:30">
      <c r="B50" s="14"/>
      <c r="C50" s="14"/>
      <c r="O50" s="15"/>
      <c r="Y50" s="14"/>
      <c r="AA50" s="14"/>
      <c r="AB50" s="14"/>
      <c r="AD50" s="14"/>
    </row>
    <row r="51" spans="2:30">
      <c r="B51" s="14"/>
      <c r="C51" s="14"/>
      <c r="O51" s="15"/>
      <c r="Y51" s="14"/>
      <c r="AA51" s="14"/>
      <c r="AB51" s="14"/>
      <c r="AD51" s="14"/>
    </row>
    <row r="52" spans="2:30">
      <c r="B52" s="14"/>
      <c r="C52" s="14"/>
      <c r="O52" s="15"/>
      <c r="Y52" s="14"/>
      <c r="AA52" s="14"/>
      <c r="AB52" s="14"/>
      <c r="AD52" s="14"/>
    </row>
    <row r="53" spans="2:30">
      <c r="O53" s="16"/>
    </row>
    <row r="54" spans="2:30">
      <c r="O54" s="16"/>
    </row>
    <row r="55" spans="2:30">
      <c r="O55" s="16"/>
    </row>
    <row r="56" spans="2:30">
      <c r="O56" s="16"/>
    </row>
    <row r="57" spans="2:30">
      <c r="O57" s="16"/>
    </row>
    <row r="58" spans="2:30">
      <c r="O58" s="16"/>
    </row>
  </sheetData>
  <sheetProtection password="CAF5" sheet="1" objects="1" scenarios="1"/>
  <mergeCells count="9">
    <mergeCell ref="BT8:BV8"/>
    <mergeCell ref="A4:M4"/>
    <mergeCell ref="BG8:BI8"/>
    <mergeCell ref="BL8:BN8"/>
    <mergeCell ref="AM9:AN9"/>
    <mergeCell ref="AP9:AQ9"/>
    <mergeCell ref="AS9:AT9"/>
    <mergeCell ref="AV9:AW9"/>
    <mergeCell ref="BP8:BR8"/>
  </mergeCells>
  <phoneticPr fontId="2" type="noConversion"/>
  <pageMargins left="0.54" right="0.45" top="1" bottom="0.87" header="0.5" footer="0.5"/>
  <pageSetup scale="76" orientation="landscape" horizontalDpi="4294967292" verticalDpi="4294967292" r:id="rId1"/>
  <headerFooter scaleWithDoc="0" alignWithMargins="0">
    <oddFooter>&amp;L&amp;"Arial,Italic"&amp;10MSDE - LFRO   12/ 2014&amp;C&amp;"Arial,Regular"&amp;10- 5 -&amp;R&amp;"Arial,Italic"&amp;10Selected Financial Data - Part 4</oddFooter>
  </headerFooter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52"/>
  <sheetViews>
    <sheetView zoomScaleNormal="100" workbookViewId="0"/>
  </sheetViews>
  <sheetFormatPr defaultColWidth="12.875" defaultRowHeight="12.75"/>
  <cols>
    <col min="1" max="1" width="12.875" style="1" customWidth="1"/>
    <col min="2" max="11" width="12.625" style="1" customWidth="1"/>
    <col min="12" max="12" width="7.875" style="1" customWidth="1"/>
    <col min="13" max="13" width="8.375" style="1" customWidth="1"/>
    <col min="14" max="15" width="9.375" style="1" bestFit="1" customWidth="1"/>
    <col min="16" max="22" width="10.125" style="1" customWidth="1"/>
    <col min="23" max="23" width="12.5" style="3" bestFit="1" customWidth="1"/>
    <col min="24" max="24" width="10.125" style="1" customWidth="1"/>
    <col min="25" max="25" width="12.625" style="1" customWidth="1"/>
    <col min="26" max="26" width="10.875" style="3" bestFit="1" customWidth="1"/>
    <col min="27" max="28" width="12.625" style="1" customWidth="1"/>
    <col min="29" max="29" width="9.375" style="3" bestFit="1" customWidth="1"/>
    <col min="30" max="30" width="12.625" style="1" customWidth="1"/>
    <col min="31" max="32" width="11.125" style="1" customWidth="1"/>
    <col min="33" max="33" width="12.5" style="3" bestFit="1" customWidth="1"/>
    <col min="34" max="34" width="12.875" style="3" customWidth="1"/>
    <col min="35" max="35" width="3.125" style="3" customWidth="1"/>
    <col min="36" max="37" width="12.875" style="3" customWidth="1"/>
    <col min="38" max="38" width="5.625" style="3" customWidth="1"/>
    <col min="39" max="42" width="12.875" style="3" customWidth="1"/>
    <col min="43" max="43" width="3.375" style="3" customWidth="1"/>
    <col min="44" max="45" width="12.875" style="3" customWidth="1"/>
    <col min="46" max="46" width="2.625" style="3" customWidth="1"/>
    <col min="47" max="47" width="13.375" style="3" customWidth="1"/>
    <col min="48" max="48" width="12.875" style="3" customWidth="1"/>
    <col min="49" max="49" width="4.25" style="3" customWidth="1"/>
    <col min="50" max="51" width="12.875" style="3" customWidth="1"/>
    <col min="52" max="52" width="3.625" style="3" customWidth="1"/>
    <col min="53" max="53" width="12.875" style="3"/>
    <col min="54" max="54" width="14.25" style="3" customWidth="1"/>
    <col min="55" max="16384" width="12.875" style="3"/>
  </cols>
  <sheetData>
    <row r="1" spans="1:64" s="126" customFormat="1" ht="15.75" customHeight="1">
      <c r="A1" s="115" t="s">
        <v>93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99"/>
      <c r="O1" s="115"/>
      <c r="P1" s="94"/>
      <c r="Q1" s="2"/>
      <c r="R1" s="2"/>
      <c r="S1" s="2"/>
      <c r="T1" s="94"/>
      <c r="U1" s="94"/>
      <c r="V1" s="94"/>
      <c r="X1" s="10"/>
      <c r="Y1" s="115"/>
      <c r="AA1" s="199"/>
      <c r="AB1" s="199"/>
      <c r="AD1" s="115"/>
      <c r="AE1" s="115"/>
      <c r="AF1" s="115"/>
    </row>
    <row r="2" spans="1:64" s="126" customForma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99"/>
      <c r="O2" s="115"/>
      <c r="P2" s="94"/>
      <c r="Q2" s="2"/>
      <c r="R2" s="2"/>
      <c r="S2" s="2"/>
      <c r="T2" s="94"/>
      <c r="U2" s="94"/>
      <c r="V2" s="94"/>
      <c r="X2" s="2"/>
      <c r="Y2" s="115"/>
      <c r="AA2" s="199"/>
      <c r="AB2" s="199"/>
      <c r="AD2" s="115"/>
      <c r="AE2" s="115"/>
      <c r="AF2" s="115"/>
    </row>
    <row r="3" spans="1:64" s="208" customFormat="1">
      <c r="A3" s="207" t="s">
        <v>187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54"/>
      <c r="O3" s="111"/>
      <c r="P3" s="111"/>
      <c r="Q3" s="111"/>
      <c r="R3" s="111"/>
      <c r="S3" s="111"/>
      <c r="T3" s="111"/>
      <c r="U3" s="111"/>
      <c r="V3" s="111"/>
      <c r="X3" s="111"/>
      <c r="Y3" s="111"/>
      <c r="AA3" s="254"/>
      <c r="AB3" s="254"/>
      <c r="AD3" s="207"/>
      <c r="AE3" s="207"/>
      <c r="AF3" s="207"/>
    </row>
    <row r="4" spans="1:64">
      <c r="A4" s="405" t="s">
        <v>367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115"/>
      <c r="O4" s="199"/>
      <c r="P4" s="199"/>
      <c r="Q4" s="10"/>
      <c r="W4" s="1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1"/>
    </row>
    <row r="5" spans="1:64" ht="13.5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Z5" s="1"/>
      <c r="AA5" s="68"/>
      <c r="AB5" s="68"/>
      <c r="AC5" s="1"/>
      <c r="AD5" s="68"/>
      <c r="AE5" s="68"/>
      <c r="AF5" s="68"/>
    </row>
    <row r="6" spans="1:64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7"/>
      <c r="BA6" s="409" t="s">
        <v>270</v>
      </c>
      <c r="BB6" s="409"/>
    </row>
    <row r="7" spans="1:64">
      <c r="L7" s="6" t="s">
        <v>34</v>
      </c>
      <c r="M7" s="6"/>
      <c r="W7" s="1"/>
      <c r="Z7" s="1"/>
      <c r="AC7" s="1"/>
      <c r="BA7" s="409"/>
      <c r="BB7" s="409"/>
      <c r="BG7" s="407" t="s">
        <v>310</v>
      </c>
      <c r="BH7" s="407"/>
      <c r="BI7" s="407" t="s">
        <v>310</v>
      </c>
      <c r="BJ7" s="407"/>
      <c r="BK7" s="407" t="s">
        <v>310</v>
      </c>
      <c r="BL7" s="407"/>
    </row>
    <row r="8" spans="1:64">
      <c r="B8" s="7"/>
      <c r="C8" s="7"/>
      <c r="D8" s="7"/>
      <c r="E8" s="7"/>
      <c r="F8" s="7"/>
      <c r="G8" s="7"/>
      <c r="H8" s="7"/>
      <c r="I8" s="7"/>
      <c r="J8" s="7"/>
      <c r="K8" s="7"/>
      <c r="L8" s="26" t="s">
        <v>85</v>
      </c>
      <c r="M8" s="26" t="s">
        <v>86</v>
      </c>
      <c r="W8" s="1"/>
      <c r="Z8" s="1"/>
      <c r="AA8" s="7"/>
      <c r="AB8" s="7"/>
      <c r="AC8" s="1"/>
      <c r="AD8" s="7"/>
      <c r="AE8" s="7"/>
      <c r="AF8" s="7"/>
      <c r="AV8" s="3" t="s">
        <v>210</v>
      </c>
      <c r="AY8" s="3" t="s">
        <v>210</v>
      </c>
      <c r="BB8" s="187" t="s">
        <v>209</v>
      </c>
      <c r="BD8" s="187" t="s">
        <v>209</v>
      </c>
      <c r="BF8" s="187" t="s">
        <v>209</v>
      </c>
      <c r="BG8" s="305" t="s">
        <v>309</v>
      </c>
      <c r="BH8" s="305" t="s">
        <v>209</v>
      </c>
      <c r="BI8" s="390" t="s">
        <v>309</v>
      </c>
      <c r="BJ8" s="390" t="s">
        <v>209</v>
      </c>
      <c r="BK8" s="390" t="s">
        <v>309</v>
      </c>
      <c r="BL8" s="390" t="s">
        <v>209</v>
      </c>
    </row>
    <row r="9" spans="1:64" ht="13.5" thickBot="1">
      <c r="A9" s="8" t="s">
        <v>1</v>
      </c>
      <c r="B9" s="332" t="s">
        <v>184</v>
      </c>
      <c r="C9" s="332" t="s">
        <v>194</v>
      </c>
      <c r="D9" s="332" t="s">
        <v>208</v>
      </c>
      <c r="E9" s="332" t="s">
        <v>243</v>
      </c>
      <c r="F9" s="332" t="s">
        <v>256</v>
      </c>
      <c r="G9" s="332" t="s">
        <v>269</v>
      </c>
      <c r="H9" s="332" t="s">
        <v>283</v>
      </c>
      <c r="I9" s="332" t="s">
        <v>303</v>
      </c>
      <c r="J9" s="332" t="s">
        <v>330</v>
      </c>
      <c r="K9" s="397" t="s">
        <v>360</v>
      </c>
      <c r="L9" s="9" t="s">
        <v>84</v>
      </c>
      <c r="M9" s="9" t="s">
        <v>84</v>
      </c>
      <c r="N9" s="10" t="s">
        <v>2</v>
      </c>
      <c r="O9" s="9" t="s">
        <v>35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8" t="s">
        <v>65</v>
      </c>
      <c r="V9" s="8" t="s">
        <v>66</v>
      </c>
      <c r="W9" s="34" t="s">
        <v>178</v>
      </c>
      <c r="X9" s="34" t="s">
        <v>179</v>
      </c>
      <c r="Y9" s="34" t="s">
        <v>180</v>
      </c>
      <c r="Z9" s="8" t="s">
        <v>181</v>
      </c>
      <c r="AA9" s="34" t="s">
        <v>182</v>
      </c>
      <c r="AB9" s="40" t="s">
        <v>183</v>
      </c>
      <c r="AC9" s="40" t="s">
        <v>104</v>
      </c>
      <c r="AD9" s="303" t="s">
        <v>105</v>
      </c>
      <c r="AE9" s="332" t="s">
        <v>161</v>
      </c>
      <c r="AF9" s="387" t="s">
        <v>168</v>
      </c>
      <c r="AG9" s="408" t="s">
        <v>105</v>
      </c>
      <c r="AH9" s="408"/>
      <c r="AJ9" s="408" t="s">
        <v>161</v>
      </c>
      <c r="AK9" s="408"/>
      <c r="AM9" s="408" t="s">
        <v>168</v>
      </c>
      <c r="AN9" s="408"/>
      <c r="AO9" s="408" t="s">
        <v>184</v>
      </c>
      <c r="AP9" s="408"/>
      <c r="AR9" s="408" t="s">
        <v>194</v>
      </c>
      <c r="AS9" s="408"/>
      <c r="AU9" s="20" t="s">
        <v>211</v>
      </c>
      <c r="AV9" s="20" t="s">
        <v>211</v>
      </c>
      <c r="AX9" s="20" t="s">
        <v>244</v>
      </c>
      <c r="AY9" s="20" t="s">
        <v>245</v>
      </c>
      <c r="BA9" s="20" t="s">
        <v>256</v>
      </c>
      <c r="BB9" s="20" t="s">
        <v>256</v>
      </c>
      <c r="BC9" s="20" t="s">
        <v>269</v>
      </c>
      <c r="BD9" s="20" t="s">
        <v>269</v>
      </c>
      <c r="BE9" s="20" t="s">
        <v>283</v>
      </c>
      <c r="BF9" s="20" t="s">
        <v>283</v>
      </c>
      <c r="BG9" s="302" t="s">
        <v>303</v>
      </c>
      <c r="BH9" s="302" t="s">
        <v>303</v>
      </c>
      <c r="BI9" s="385" t="s">
        <v>330</v>
      </c>
      <c r="BJ9" s="385" t="s">
        <v>330</v>
      </c>
      <c r="BK9" s="385" t="s">
        <v>360</v>
      </c>
      <c r="BL9" s="385" t="s">
        <v>360</v>
      </c>
    </row>
    <row r="10" spans="1:64" ht="13.5" thickTop="1">
      <c r="A10" s="7" t="s">
        <v>5</v>
      </c>
      <c r="B10" s="12">
        <f t="shared" ref="B10:E10" si="0">SUM(B12:B39)</f>
        <v>8819712</v>
      </c>
      <c r="C10" s="12">
        <f t="shared" si="0"/>
        <v>9585235</v>
      </c>
      <c r="D10" s="12">
        <f t="shared" si="0"/>
        <v>10433445.607500002</v>
      </c>
      <c r="E10" s="12">
        <f t="shared" si="0"/>
        <v>11130529.823869999</v>
      </c>
      <c r="F10" s="12">
        <f t="shared" ref="F10:K10" si="1">SUM(F12:F39)</f>
        <v>12761108.192230001</v>
      </c>
      <c r="G10" s="12">
        <f t="shared" si="1"/>
        <v>12711520.025019994</v>
      </c>
      <c r="H10" s="12">
        <f t="shared" si="1"/>
        <v>13054101.115778999</v>
      </c>
      <c r="I10" s="12">
        <f t="shared" si="1"/>
        <v>13196339.50395</v>
      </c>
      <c r="J10" s="12">
        <f t="shared" si="1"/>
        <v>13329914.586039998</v>
      </c>
      <c r="K10" s="12">
        <f t="shared" si="1"/>
        <v>13460804.936470002</v>
      </c>
      <c r="L10" s="239">
        <f>(K10-J10)*100/J10</f>
        <v>0.98192940086114033</v>
      </c>
      <c r="M10" s="239">
        <f>(K10-AF10)*100/AF10</f>
        <v>56.319651648273386</v>
      </c>
      <c r="N10" s="13">
        <v>2652857</v>
      </c>
      <c r="O10" s="11">
        <v>2879791</v>
      </c>
      <c r="P10" s="11">
        <v>3125899</v>
      </c>
      <c r="Q10" s="11">
        <v>3471375</v>
      </c>
      <c r="R10" s="11">
        <f t="shared" ref="R10:W10" si="2">SUM(R12:R39)</f>
        <v>3811804</v>
      </c>
      <c r="S10" s="11">
        <f t="shared" si="2"/>
        <v>4272192</v>
      </c>
      <c r="T10" s="11">
        <f t="shared" si="2"/>
        <v>4588943</v>
      </c>
      <c r="U10" s="11">
        <f t="shared" si="2"/>
        <v>4666881</v>
      </c>
      <c r="V10" s="11">
        <f t="shared" si="2"/>
        <v>5073317.2500000009</v>
      </c>
      <c r="W10" s="11">
        <f t="shared" si="2"/>
        <v>5279159</v>
      </c>
      <c r="X10" s="12">
        <f>SUM(X12:X39)</f>
        <v>5547321</v>
      </c>
      <c r="Y10" s="12">
        <f>SUM(Y12:Y39)</f>
        <v>5738451</v>
      </c>
      <c r="Z10" s="11">
        <v>6121487</v>
      </c>
      <c r="AA10" s="12">
        <f>SUM(AA12:AA39)</f>
        <v>6416894</v>
      </c>
      <c r="AB10" s="12">
        <f>SUM(AB12:AB39)</f>
        <v>6762380</v>
      </c>
      <c r="AC10" s="12">
        <f>SUM(AC12:AC39)</f>
        <v>7264200</v>
      </c>
      <c r="AD10" s="12">
        <f t="shared" ref="AD10:AF10" si="3">SUM(AD12:AD39)</f>
        <v>7837675</v>
      </c>
      <c r="AE10" s="12">
        <f t="shared" si="3"/>
        <v>8400371.6890000012</v>
      </c>
      <c r="AF10" s="12">
        <f t="shared" si="3"/>
        <v>8611076.5950000007</v>
      </c>
      <c r="AG10" s="11">
        <f>SUM(AG12:AG39)</f>
        <v>7837675131</v>
      </c>
      <c r="AH10" s="11">
        <f>SUM(AH12:AH39)</f>
        <v>7837675.1310000001</v>
      </c>
      <c r="AJ10" s="11">
        <f>SUM(AJ12:AJ39)</f>
        <v>8400371689</v>
      </c>
      <c r="AK10" s="11">
        <f>SUM(AK12:AK39)</f>
        <v>8400371.6890000012</v>
      </c>
      <c r="AM10" s="11">
        <f>SUM(AM12:AM39)</f>
        <v>8611076595</v>
      </c>
      <c r="AN10" s="11">
        <f>SUM(AN12:AN39)</f>
        <v>8611076.5950000007</v>
      </c>
      <c r="AO10" s="11">
        <f>SUM(AO12:AO39)</f>
        <v>8819713939</v>
      </c>
      <c r="AP10" s="11">
        <f>SUM(AP12:AP39)</f>
        <v>8819713.9389999993</v>
      </c>
      <c r="AR10" s="220">
        <v>9585238198</v>
      </c>
      <c r="AS10" s="63">
        <f>SUM(AS12:AS39)</f>
        <v>9585238.199000001</v>
      </c>
      <c r="AU10" s="63">
        <f>SUM(AU12:AU39)</f>
        <v>10433445607.5</v>
      </c>
      <c r="AV10" s="63">
        <f>SUM(AV12:AV39)</f>
        <v>10433445.607500002</v>
      </c>
      <c r="AX10" s="63">
        <f>SUM(AX12:AX39)</f>
        <v>11130529823.870001</v>
      </c>
      <c r="AY10" s="63">
        <f>SUM(AY12:AY39)</f>
        <v>11130529.823869999</v>
      </c>
      <c r="BA10" s="63">
        <f t="shared" ref="BA10:BG10" si="4">SUM(BA12:BA39)</f>
        <v>12761108192.230001</v>
      </c>
      <c r="BB10" s="63">
        <f t="shared" si="4"/>
        <v>12761108.192230001</v>
      </c>
      <c r="BC10" s="63">
        <f t="shared" si="4"/>
        <v>12711520025.019999</v>
      </c>
      <c r="BD10" s="63">
        <f t="shared" si="4"/>
        <v>12711520.025019994</v>
      </c>
      <c r="BE10" s="63">
        <f t="shared" si="4"/>
        <v>13054101115.779001</v>
      </c>
      <c r="BF10" s="63">
        <f t="shared" si="4"/>
        <v>13054101.115778999</v>
      </c>
      <c r="BG10" s="63">
        <f t="shared" si="4"/>
        <v>13196339503.949999</v>
      </c>
      <c r="BH10" s="3">
        <f>BG10/1000</f>
        <v>13196339.503949998</v>
      </c>
      <c r="BI10" s="3">
        <f>SUM(BI12:BI39)</f>
        <v>13329914586.039999</v>
      </c>
      <c r="BJ10" s="3">
        <f>SUM(BJ12:BJ39)</f>
        <v>13329914.586039998</v>
      </c>
      <c r="BK10" s="3">
        <f t="shared" ref="BK10:BL10" si="5">SUM(BK12:BK39)</f>
        <v>13460804936.470001</v>
      </c>
      <c r="BL10" s="3">
        <f t="shared" si="5"/>
        <v>13460804.936470002</v>
      </c>
    </row>
    <row r="11" spans="1:64">
      <c r="B11" s="14"/>
      <c r="C11" s="14"/>
      <c r="D11" s="14"/>
      <c r="E11" s="14"/>
      <c r="F11" s="14"/>
      <c r="G11" s="14"/>
      <c r="H11" s="14"/>
      <c r="I11" s="14"/>
      <c r="J11" s="14"/>
      <c r="K11" s="14"/>
      <c r="M11" s="14"/>
      <c r="P11" s="14"/>
      <c r="V11" s="89"/>
      <c r="W11" s="89"/>
      <c r="X11" s="89"/>
      <c r="Y11" s="89"/>
      <c r="Z11" s="1"/>
      <c r="AA11" s="89"/>
      <c r="AB11" s="89"/>
      <c r="AC11" s="89"/>
      <c r="AD11" s="14"/>
      <c r="AE11" s="14"/>
      <c r="AF11" s="14"/>
      <c r="AU11" s="217"/>
    </row>
    <row r="12" spans="1:64">
      <c r="A12" s="1" t="s">
        <v>6</v>
      </c>
      <c r="B12" s="14">
        <v>95889</v>
      </c>
      <c r="C12" s="14">
        <v>99718</v>
      </c>
      <c r="D12" s="14">
        <v>119301.969</v>
      </c>
      <c r="E12" s="14">
        <v>137500.42151000001</v>
      </c>
      <c r="F12" s="14">
        <v>134873.43864999997</v>
      </c>
      <c r="G12" s="14">
        <v>137215.55651999998</v>
      </c>
      <c r="H12" s="14">
        <v>135795.34440000003</v>
      </c>
      <c r="I12" s="14">
        <v>137736.88040999998</v>
      </c>
      <c r="J12" s="14">
        <v>130573.59671999999</v>
      </c>
      <c r="K12" s="14">
        <v>132501.28327999997</v>
      </c>
      <c r="L12" s="239">
        <f>(K12-J12)*100/J12</f>
        <v>1.4763218663063167</v>
      </c>
      <c r="M12" s="239">
        <f>(K12-AF12)*100/AF12</f>
        <v>42.998566369616356</v>
      </c>
      <c r="N12" s="14">
        <v>39947</v>
      </c>
      <c r="O12" s="14">
        <v>44482</v>
      </c>
      <c r="P12" s="14">
        <v>44210</v>
      </c>
      <c r="Q12" s="14">
        <v>46611</v>
      </c>
      <c r="R12" s="14">
        <v>50341</v>
      </c>
      <c r="S12" s="14">
        <v>52581</v>
      </c>
      <c r="T12" s="14">
        <v>55879</v>
      </c>
      <c r="U12" s="14">
        <v>68200</v>
      </c>
      <c r="V12" s="14">
        <f>61349939/1000</f>
        <v>61349.938999999998</v>
      </c>
      <c r="W12" s="14">
        <v>66569</v>
      </c>
      <c r="X12" s="14">
        <v>69015</v>
      </c>
      <c r="Y12" s="14">
        <v>74490</v>
      </c>
      <c r="Z12" s="14">
        <v>77377</v>
      </c>
      <c r="AA12" s="14">
        <v>77932</v>
      </c>
      <c r="AB12" s="14">
        <v>84129</v>
      </c>
      <c r="AC12" s="14">
        <v>87910</v>
      </c>
      <c r="AD12" s="14">
        <v>83612</v>
      </c>
      <c r="AE12" s="14">
        <v>88497.64</v>
      </c>
      <c r="AF12" s="14">
        <v>92659.168999999994</v>
      </c>
      <c r="AG12" s="3">
        <v>83612137</v>
      </c>
      <c r="AH12" s="3">
        <f>AG12/1000</f>
        <v>83612.137000000002</v>
      </c>
      <c r="AJ12" s="3">
        <v>88497640</v>
      </c>
      <c r="AK12" s="3">
        <f>AJ12/1000</f>
        <v>88497.64</v>
      </c>
      <c r="AM12" s="3">
        <v>92659169</v>
      </c>
      <c r="AN12" s="3">
        <f>AM12/1000</f>
        <v>92659.168999999994</v>
      </c>
      <c r="AO12" s="3">
        <v>95889217</v>
      </c>
      <c r="AP12" s="3">
        <f>AO12/1000</f>
        <v>95889.217000000004</v>
      </c>
      <c r="AR12" s="3">
        <v>99718433</v>
      </c>
      <c r="AS12" s="3">
        <f>AR12/1000</f>
        <v>99718.433000000005</v>
      </c>
      <c r="AU12" s="217">
        <v>119301969</v>
      </c>
      <c r="AV12" s="3">
        <f>AU12/1000</f>
        <v>119301.969</v>
      </c>
      <c r="AX12" s="3">
        <v>137500421.51000002</v>
      </c>
      <c r="AY12" s="3">
        <f>AX12/1000</f>
        <v>137500.42151000001</v>
      </c>
      <c r="BA12" s="3">
        <v>134873438.64999998</v>
      </c>
      <c r="BB12" s="3">
        <f>BA12/1000</f>
        <v>134873.43864999997</v>
      </c>
      <c r="BC12" s="3">
        <v>137215556.51999998</v>
      </c>
      <c r="BD12" s="3">
        <f>BC12/1000</f>
        <v>137215.55651999998</v>
      </c>
      <c r="BE12" s="3">
        <v>135795344.40000004</v>
      </c>
      <c r="BF12" s="3">
        <f>BE12/1000</f>
        <v>135795.34440000003</v>
      </c>
      <c r="BG12" s="3">
        <v>137736880.41</v>
      </c>
      <c r="BH12" s="3">
        <f t="shared" ref="BH12:BH16" si="6">BG12/1000</f>
        <v>137736.88040999998</v>
      </c>
      <c r="BI12" s="3">
        <v>130573596.71999998</v>
      </c>
      <c r="BJ12" s="3">
        <f>BI12/1000</f>
        <v>130573.59671999999</v>
      </c>
      <c r="BK12" s="3">
        <v>132501283.27999999</v>
      </c>
      <c r="BL12" s="3">
        <f>BK12/1000</f>
        <v>132501.28327999997</v>
      </c>
    </row>
    <row r="13" spans="1:64">
      <c r="A13" s="1" t="s">
        <v>7</v>
      </c>
      <c r="B13" s="14">
        <v>721240</v>
      </c>
      <c r="C13" s="14">
        <v>710658</v>
      </c>
      <c r="D13" s="14">
        <v>840121.58600000001</v>
      </c>
      <c r="E13" s="14">
        <v>925021.39574000018</v>
      </c>
      <c r="F13" s="14">
        <v>1003678.49385</v>
      </c>
      <c r="G13" s="14">
        <v>1069770.6511499998</v>
      </c>
      <c r="H13" s="14">
        <v>1079491.1736589998</v>
      </c>
      <c r="I13" s="14">
        <v>1130954.38588</v>
      </c>
      <c r="J13" s="14">
        <v>1128314.7877799999</v>
      </c>
      <c r="K13" s="14">
        <v>1157155.2487300001</v>
      </c>
      <c r="L13" s="239">
        <f>(K13-J13)*100/J13</f>
        <v>2.556065139121757</v>
      </c>
      <c r="M13" s="239">
        <f t="shared" ref="M13:M39" si="7">(K13-AF13)*100/AF13</f>
        <v>66.013290260888098</v>
      </c>
      <c r="N13" s="14">
        <v>240771</v>
      </c>
      <c r="O13" s="14">
        <v>255201</v>
      </c>
      <c r="P13" s="14">
        <v>280444</v>
      </c>
      <c r="Q13" s="14">
        <v>314069</v>
      </c>
      <c r="R13" s="14">
        <v>347406</v>
      </c>
      <c r="S13" s="14">
        <v>369668</v>
      </c>
      <c r="T13" s="14">
        <v>401420</v>
      </c>
      <c r="U13" s="14">
        <v>402470</v>
      </c>
      <c r="V13" s="14">
        <f>430188126/1000</f>
        <v>430188.12599999999</v>
      </c>
      <c r="W13" s="14">
        <v>449722</v>
      </c>
      <c r="X13" s="14">
        <v>487550</v>
      </c>
      <c r="Y13" s="14">
        <v>495770</v>
      </c>
      <c r="Z13" s="14">
        <v>528511</v>
      </c>
      <c r="AA13" s="14">
        <v>541341</v>
      </c>
      <c r="AB13" s="14">
        <v>552841</v>
      </c>
      <c r="AC13" s="14">
        <v>602766</v>
      </c>
      <c r="AD13" s="14">
        <v>679587</v>
      </c>
      <c r="AE13" s="14">
        <v>702504.147</v>
      </c>
      <c r="AF13" s="14">
        <v>697025.67</v>
      </c>
      <c r="AG13" s="3">
        <v>679586781</v>
      </c>
      <c r="AH13" s="3">
        <f t="shared" ref="AH13:AH39" si="8">AG13/1000</f>
        <v>679586.78099999996</v>
      </c>
      <c r="AJ13" s="3">
        <v>702504147</v>
      </c>
      <c r="AK13" s="3">
        <f t="shared" ref="AK13:AK39" si="9">AJ13/1000</f>
        <v>702504.147</v>
      </c>
      <c r="AM13" s="3">
        <v>697025670</v>
      </c>
      <c r="AN13" s="3">
        <f>AM13/1000</f>
        <v>697025.67</v>
      </c>
      <c r="AO13" s="3">
        <v>721240245</v>
      </c>
      <c r="AP13" s="3">
        <f>AO13/1000</f>
        <v>721240.245</v>
      </c>
      <c r="AR13" s="3">
        <v>710658181</v>
      </c>
      <c r="AS13" s="3">
        <f>AR13/1000</f>
        <v>710658.18099999998</v>
      </c>
      <c r="AU13" s="217">
        <v>840121586</v>
      </c>
      <c r="AV13" s="3">
        <f>AU13/1000</f>
        <v>840121.58600000001</v>
      </c>
      <c r="AX13" s="3">
        <v>925021395.74000013</v>
      </c>
      <c r="AY13" s="3">
        <f>AX13/1000</f>
        <v>925021.39574000018</v>
      </c>
      <c r="BA13" s="3">
        <v>1003678493.85</v>
      </c>
      <c r="BB13" s="3">
        <f>BA13/1000</f>
        <v>1003678.49385</v>
      </c>
      <c r="BC13" s="3">
        <v>1069770651.1499999</v>
      </c>
      <c r="BD13" s="3">
        <f>BC13/1000</f>
        <v>1069770.6511499998</v>
      </c>
      <c r="BE13" s="3">
        <v>1079491173.6589999</v>
      </c>
      <c r="BF13" s="3">
        <f>BE13/1000</f>
        <v>1079491.1736589998</v>
      </c>
      <c r="BG13" s="3">
        <v>1130954385.8799999</v>
      </c>
      <c r="BH13" s="3">
        <f t="shared" si="6"/>
        <v>1130954.38588</v>
      </c>
      <c r="BI13" s="3">
        <v>1128314787.78</v>
      </c>
      <c r="BJ13" s="3">
        <f t="shared" ref="BJ13:BJ39" si="10">BI13/1000</f>
        <v>1128314.7877799999</v>
      </c>
      <c r="BK13" s="3">
        <v>1157155248.73</v>
      </c>
      <c r="BL13" s="3">
        <f t="shared" ref="BL13:BL39" si="11">BK13/1000</f>
        <v>1157155.2487300001</v>
      </c>
    </row>
    <row r="14" spans="1:64">
      <c r="A14" s="1" t="s">
        <v>8</v>
      </c>
      <c r="B14" s="14">
        <v>975457</v>
      </c>
      <c r="C14" s="14">
        <v>964583</v>
      </c>
      <c r="D14" s="14">
        <v>1068652.6939999999</v>
      </c>
      <c r="E14" s="14">
        <v>1246573.4550900001</v>
      </c>
      <c r="F14" s="14">
        <v>1367506.2356899998</v>
      </c>
      <c r="G14" s="14">
        <v>1357270.3777499995</v>
      </c>
      <c r="H14" s="14">
        <v>1358247.1824599998</v>
      </c>
      <c r="I14" s="14">
        <v>1444665.1965799998</v>
      </c>
      <c r="J14" s="14">
        <v>1476653.8136899997</v>
      </c>
      <c r="K14" s="14">
        <v>1426977.2701099999</v>
      </c>
      <c r="L14" s="239">
        <f>(K14-J14)*100/J14</f>
        <v>-3.3641292982451629</v>
      </c>
      <c r="M14" s="239">
        <f t="shared" si="7"/>
        <v>34.292446451777373</v>
      </c>
      <c r="N14" s="14">
        <v>387361</v>
      </c>
      <c r="O14" s="14">
        <v>414827</v>
      </c>
      <c r="P14" s="14">
        <v>435488</v>
      </c>
      <c r="Q14" s="14">
        <v>458529</v>
      </c>
      <c r="R14" s="14">
        <v>510962</v>
      </c>
      <c r="S14" s="14">
        <v>553922</v>
      </c>
      <c r="T14" s="14">
        <v>593452</v>
      </c>
      <c r="U14" s="14">
        <v>614636</v>
      </c>
      <c r="V14" s="14">
        <f>652603813/1000</f>
        <v>652603.81299999997</v>
      </c>
      <c r="W14" s="14">
        <v>680866</v>
      </c>
      <c r="X14" s="14">
        <v>696617</v>
      </c>
      <c r="Y14" s="14">
        <v>720627</v>
      </c>
      <c r="Z14" s="14">
        <v>766520</v>
      </c>
      <c r="AA14" s="14">
        <v>834709</v>
      </c>
      <c r="AB14" s="14">
        <v>859391</v>
      </c>
      <c r="AC14" s="14">
        <v>914471</v>
      </c>
      <c r="AD14" s="14">
        <v>979019</v>
      </c>
      <c r="AE14" s="14">
        <v>1016082.531</v>
      </c>
      <c r="AF14" s="14">
        <v>1062589.3770000001</v>
      </c>
      <c r="AG14" s="3">
        <v>979019191</v>
      </c>
      <c r="AH14" s="3">
        <f t="shared" si="8"/>
        <v>979019.19099999999</v>
      </c>
      <c r="AJ14" s="3">
        <v>1016082531</v>
      </c>
      <c r="AK14" s="3">
        <f t="shared" si="9"/>
        <v>1016082.531</v>
      </c>
      <c r="AM14" s="3">
        <v>1062589377</v>
      </c>
      <c r="AN14" s="3">
        <f>AM14/1000</f>
        <v>1062589.3770000001</v>
      </c>
      <c r="AO14" s="3">
        <v>975456841</v>
      </c>
      <c r="AP14" s="3">
        <f>AO14/1000</f>
        <v>975456.84100000001</v>
      </c>
      <c r="AR14" s="3">
        <v>964583221</v>
      </c>
      <c r="AS14" s="3">
        <f>AR14/1000</f>
        <v>964583.22100000002</v>
      </c>
      <c r="AU14" s="217">
        <v>1068652694</v>
      </c>
      <c r="AV14" s="3">
        <f>AU14/1000</f>
        <v>1068652.6939999999</v>
      </c>
      <c r="AX14" s="3">
        <v>1246573455.0900002</v>
      </c>
      <c r="AY14" s="3">
        <f>AX14/1000</f>
        <v>1246573.4550900001</v>
      </c>
      <c r="BA14" s="3">
        <v>1367506235.6899998</v>
      </c>
      <c r="BB14" s="3">
        <f>BA14/1000</f>
        <v>1367506.2356899998</v>
      </c>
      <c r="BC14" s="3">
        <v>1357270377.7499995</v>
      </c>
      <c r="BD14" s="3">
        <f>BC14/1000</f>
        <v>1357270.3777499995</v>
      </c>
      <c r="BE14" s="3">
        <v>1358247182.4599998</v>
      </c>
      <c r="BF14" s="3">
        <f>BE14/1000</f>
        <v>1358247.1824599998</v>
      </c>
      <c r="BG14" s="3">
        <v>1444665196.5799997</v>
      </c>
      <c r="BH14" s="3">
        <f t="shared" si="6"/>
        <v>1444665.1965799998</v>
      </c>
      <c r="BI14" s="3">
        <v>1476653813.6899998</v>
      </c>
      <c r="BJ14" s="3">
        <f t="shared" si="10"/>
        <v>1476653.8136899997</v>
      </c>
      <c r="BK14" s="3">
        <v>1426977270.1099999</v>
      </c>
      <c r="BL14" s="3">
        <f t="shared" si="11"/>
        <v>1426977.2701099999</v>
      </c>
    </row>
    <row r="15" spans="1:64">
      <c r="A15" s="1" t="s">
        <v>9</v>
      </c>
      <c r="B15" s="14">
        <v>1067202</v>
      </c>
      <c r="C15" s="14">
        <v>1136202</v>
      </c>
      <c r="D15" s="14">
        <v>1216816.7549999999</v>
      </c>
      <c r="E15" s="14">
        <v>1240716.3597800003</v>
      </c>
      <c r="F15" s="14">
        <v>1479360.5409500005</v>
      </c>
      <c r="G15" s="14">
        <v>1447401.8663599999</v>
      </c>
      <c r="H15" s="14">
        <v>1517154.30436</v>
      </c>
      <c r="I15" s="14">
        <v>1520186.6361500004</v>
      </c>
      <c r="J15" s="14">
        <v>1561677.09256</v>
      </c>
      <c r="K15" s="14">
        <v>1562071.6755200003</v>
      </c>
      <c r="L15" s="239">
        <f>(K15-J15)*100/J15</f>
        <v>2.5266616375440091E-2</v>
      </c>
      <c r="M15" s="239">
        <f t="shared" si="7"/>
        <v>59.08361357099102</v>
      </c>
      <c r="N15" s="14">
        <v>364778</v>
      </c>
      <c r="O15" s="14">
        <v>390774</v>
      </c>
      <c r="P15" s="14">
        <v>413653</v>
      </c>
      <c r="Q15" s="14">
        <v>437691</v>
      </c>
      <c r="R15" s="14">
        <v>486218</v>
      </c>
      <c r="S15" s="14">
        <v>536742</v>
      </c>
      <c r="T15" s="14">
        <v>557131</v>
      </c>
      <c r="U15" s="14">
        <v>583666</v>
      </c>
      <c r="V15" s="14">
        <f>607021644/1000</f>
        <v>607021.64399999997</v>
      </c>
      <c r="W15" s="14">
        <v>635208</v>
      </c>
      <c r="X15" s="14">
        <v>693762</v>
      </c>
      <c r="Y15" s="14">
        <v>701708</v>
      </c>
      <c r="Z15" s="14">
        <v>755038</v>
      </c>
      <c r="AA15" s="14">
        <v>814182</v>
      </c>
      <c r="AB15" s="14">
        <v>842137</v>
      </c>
      <c r="AC15" s="14">
        <v>887067</v>
      </c>
      <c r="AD15" s="14">
        <v>1007333</v>
      </c>
      <c r="AE15" s="14">
        <v>1107094.426</v>
      </c>
      <c r="AF15" s="14">
        <v>981918.65300000005</v>
      </c>
      <c r="AG15" s="3">
        <v>1007333051</v>
      </c>
      <c r="AH15" s="3">
        <f t="shared" si="8"/>
        <v>1007333.051</v>
      </c>
      <c r="AJ15" s="3">
        <v>1107094426</v>
      </c>
      <c r="AK15" s="3">
        <f t="shared" si="9"/>
        <v>1107094.426</v>
      </c>
      <c r="AM15" s="3">
        <v>981918653</v>
      </c>
      <c r="AN15" s="3">
        <f>AM15/1000</f>
        <v>981918.65300000005</v>
      </c>
      <c r="AO15" s="3">
        <v>1067201659</v>
      </c>
      <c r="AP15" s="3">
        <f>AO15/1000</f>
        <v>1067201.659</v>
      </c>
      <c r="AR15" s="3">
        <v>1136201804</v>
      </c>
      <c r="AS15" s="3">
        <f>AR15/1000</f>
        <v>1136201.804</v>
      </c>
      <c r="AU15" s="217">
        <v>1216816755</v>
      </c>
      <c r="AV15" s="3">
        <f>AU15/1000</f>
        <v>1216816.7549999999</v>
      </c>
      <c r="AX15" s="3">
        <v>1240716359.7800002</v>
      </c>
      <c r="AY15" s="3">
        <f>AX15/1000</f>
        <v>1240716.3597800003</v>
      </c>
      <c r="BA15" s="3">
        <v>1479360540.9500005</v>
      </c>
      <c r="BB15" s="3">
        <f>BA15/1000</f>
        <v>1479360.5409500005</v>
      </c>
      <c r="BC15" s="3">
        <v>1447401866.3599999</v>
      </c>
      <c r="BD15" s="3">
        <f>BC15/1000</f>
        <v>1447401.8663599999</v>
      </c>
      <c r="BE15" s="3">
        <v>1517154304.3599999</v>
      </c>
      <c r="BF15" s="3">
        <f>BE15/1000</f>
        <v>1517154.30436</v>
      </c>
      <c r="BG15" s="3">
        <v>1520186636.1500003</v>
      </c>
      <c r="BH15" s="3">
        <f t="shared" si="6"/>
        <v>1520186.6361500004</v>
      </c>
      <c r="BI15" s="3">
        <v>1561677092.5599999</v>
      </c>
      <c r="BJ15" s="3">
        <f t="shared" si="10"/>
        <v>1561677.09256</v>
      </c>
      <c r="BK15" s="3">
        <v>1562071675.5200002</v>
      </c>
      <c r="BL15" s="3">
        <f t="shared" si="11"/>
        <v>1562071.6755200003</v>
      </c>
    </row>
    <row r="16" spans="1:64">
      <c r="A16" s="1" t="s">
        <v>10</v>
      </c>
      <c r="B16" s="14">
        <v>157222</v>
      </c>
      <c r="C16" s="14">
        <v>173449</v>
      </c>
      <c r="D16" s="14">
        <v>187252.09350000002</v>
      </c>
      <c r="E16" s="14">
        <v>187648.35800000001</v>
      </c>
      <c r="F16" s="14">
        <v>229128.47235000008</v>
      </c>
      <c r="G16" s="14">
        <v>232929.23352000004</v>
      </c>
      <c r="H16" s="14">
        <v>233605.70125999997</v>
      </c>
      <c r="I16" s="14">
        <v>248228.14488000001</v>
      </c>
      <c r="J16" s="14">
        <v>247029.61510000002</v>
      </c>
      <c r="K16" s="14">
        <v>235147.79907000001</v>
      </c>
      <c r="L16" s="239">
        <f>(K16-J16)*100/J16</f>
        <v>-4.8098751338741872</v>
      </c>
      <c r="M16" s="239">
        <f t="shared" si="7"/>
        <v>29.596104418721808</v>
      </c>
      <c r="N16" s="14">
        <v>29819</v>
      </c>
      <c r="O16" s="14">
        <v>35914</v>
      </c>
      <c r="P16" s="14">
        <v>35146</v>
      </c>
      <c r="Q16" s="14">
        <v>43777</v>
      </c>
      <c r="R16" s="14">
        <v>48350</v>
      </c>
      <c r="S16" s="14">
        <v>54245</v>
      </c>
      <c r="T16" s="14">
        <v>69943</v>
      </c>
      <c r="U16" s="14">
        <v>67644</v>
      </c>
      <c r="V16" s="14">
        <f>69798782/1000</f>
        <v>69798.782000000007</v>
      </c>
      <c r="W16" s="14">
        <v>91485</v>
      </c>
      <c r="X16" s="14">
        <v>83181</v>
      </c>
      <c r="Y16" s="14">
        <v>94248</v>
      </c>
      <c r="Z16" s="14">
        <v>99389</v>
      </c>
      <c r="AA16" s="14">
        <v>96406</v>
      </c>
      <c r="AB16" s="14">
        <v>119213</v>
      </c>
      <c r="AC16" s="14">
        <v>124208</v>
      </c>
      <c r="AD16" s="14">
        <v>122464</v>
      </c>
      <c r="AE16" s="14">
        <v>133731.454</v>
      </c>
      <c r="AF16" s="14">
        <v>181446.65700000001</v>
      </c>
      <c r="AG16" s="3">
        <v>122464449</v>
      </c>
      <c r="AH16" s="3">
        <f t="shared" si="8"/>
        <v>122464.44899999999</v>
      </c>
      <c r="AJ16" s="3">
        <v>133731454</v>
      </c>
      <c r="AK16" s="3">
        <f t="shared" si="9"/>
        <v>133731.454</v>
      </c>
      <c r="AM16" s="3">
        <v>181446657</v>
      </c>
      <c r="AN16" s="3">
        <f>AM16/1000</f>
        <v>181446.65700000001</v>
      </c>
      <c r="AO16" s="3">
        <v>157222190</v>
      </c>
      <c r="AP16" s="3">
        <f>AO16/1000</f>
        <v>157222.19</v>
      </c>
      <c r="AR16" s="3">
        <v>173449465</v>
      </c>
      <c r="AS16" s="3">
        <f>AR16/1000</f>
        <v>173449.465</v>
      </c>
      <c r="AU16" s="217">
        <v>187252093.50000003</v>
      </c>
      <c r="AV16" s="3">
        <f>AU16/1000</f>
        <v>187252.09350000002</v>
      </c>
      <c r="AX16" s="3">
        <v>187648358</v>
      </c>
      <c r="AY16" s="3">
        <f>AX16/1000</f>
        <v>187648.35800000001</v>
      </c>
      <c r="BA16" s="3">
        <v>229128472.35000008</v>
      </c>
      <c r="BB16" s="3">
        <f>BA16/1000</f>
        <v>229128.47235000008</v>
      </c>
      <c r="BC16" s="3">
        <v>232929233.52000004</v>
      </c>
      <c r="BD16" s="3">
        <f>BC16/1000</f>
        <v>232929.23352000004</v>
      </c>
      <c r="BE16" s="3">
        <v>233605701.25999996</v>
      </c>
      <c r="BF16" s="3">
        <f>BE16/1000</f>
        <v>233605.70125999997</v>
      </c>
      <c r="BG16" s="3">
        <v>248228144.88</v>
      </c>
      <c r="BH16" s="3">
        <f t="shared" si="6"/>
        <v>248228.14488000001</v>
      </c>
      <c r="BI16" s="3">
        <v>247029615.10000002</v>
      </c>
      <c r="BJ16" s="3">
        <f t="shared" si="10"/>
        <v>247029.61510000002</v>
      </c>
      <c r="BK16" s="3">
        <v>235147799.07000002</v>
      </c>
      <c r="BL16" s="3">
        <f t="shared" si="11"/>
        <v>235147.79907000001</v>
      </c>
    </row>
    <row r="17" spans="1:64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239"/>
      <c r="M17" s="239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U17" s="217"/>
    </row>
    <row r="18" spans="1:64">
      <c r="A18" s="1" t="s">
        <v>11</v>
      </c>
      <c r="B18" s="14">
        <v>49553</v>
      </c>
      <c r="C18" s="14">
        <v>51130</v>
      </c>
      <c r="D18" s="14">
        <v>63231.483999999997</v>
      </c>
      <c r="E18" s="14">
        <v>57740.707560000003</v>
      </c>
      <c r="F18" s="14">
        <v>65580.790069999988</v>
      </c>
      <c r="G18" s="14">
        <v>91353.427770000009</v>
      </c>
      <c r="H18" s="14">
        <v>66786.271789999999</v>
      </c>
      <c r="I18" s="14">
        <v>74916.294450000001</v>
      </c>
      <c r="J18" s="14">
        <v>69913.17949000001</v>
      </c>
      <c r="K18" s="14">
        <v>71009.700580000019</v>
      </c>
      <c r="L18" s="239">
        <f>(K18-J18)*100/J18</f>
        <v>1.5684039804781722</v>
      </c>
      <c r="M18" s="239">
        <f t="shared" si="7"/>
        <v>50.675954747115753</v>
      </c>
      <c r="N18" s="14">
        <v>13828</v>
      </c>
      <c r="O18" s="14">
        <v>14869</v>
      </c>
      <c r="P18" s="14">
        <v>16543</v>
      </c>
      <c r="Q18" s="14">
        <v>18599</v>
      </c>
      <c r="R18" s="14">
        <v>21267</v>
      </c>
      <c r="S18" s="14">
        <v>22287</v>
      </c>
      <c r="T18" s="14">
        <v>24090</v>
      </c>
      <c r="U18" s="14">
        <v>25206</v>
      </c>
      <c r="V18" s="14">
        <f>26929578/1000</f>
        <v>26929.578000000001</v>
      </c>
      <c r="W18" s="14">
        <v>28267</v>
      </c>
      <c r="X18" s="14">
        <v>31246</v>
      </c>
      <c r="Y18" s="14">
        <v>32641</v>
      </c>
      <c r="Z18" s="14">
        <v>34303</v>
      </c>
      <c r="AA18" s="14">
        <v>36615</v>
      </c>
      <c r="AB18" s="14">
        <v>40663</v>
      </c>
      <c r="AC18" s="14">
        <v>41160</v>
      </c>
      <c r="AD18" s="14">
        <v>45441</v>
      </c>
      <c r="AE18" s="14">
        <v>48226.02</v>
      </c>
      <c r="AF18" s="14">
        <v>47127.427000000003</v>
      </c>
      <c r="AG18" s="3">
        <v>45440709</v>
      </c>
      <c r="AH18" s="3">
        <f t="shared" si="8"/>
        <v>45440.709000000003</v>
      </c>
      <c r="AJ18" s="3">
        <v>48226020</v>
      </c>
      <c r="AK18" s="3">
        <f t="shared" si="9"/>
        <v>48226.02</v>
      </c>
      <c r="AM18" s="3">
        <v>47127427</v>
      </c>
      <c r="AN18" s="3">
        <f>AM18/1000</f>
        <v>47127.427000000003</v>
      </c>
      <c r="AO18" s="3">
        <v>49553281</v>
      </c>
      <c r="AP18" s="3">
        <f>AO18/1000</f>
        <v>49553.281000000003</v>
      </c>
      <c r="AR18" s="3">
        <v>51130171</v>
      </c>
      <c r="AS18" s="3">
        <f>AR18/1000</f>
        <v>51130.171000000002</v>
      </c>
      <c r="AU18" s="217">
        <v>63231484</v>
      </c>
      <c r="AV18" s="3">
        <f>AU18/1000</f>
        <v>63231.483999999997</v>
      </c>
      <c r="AX18" s="3">
        <v>57740707.560000002</v>
      </c>
      <c r="AY18" s="3">
        <f>AX18/1000</f>
        <v>57740.707560000003</v>
      </c>
      <c r="BA18" s="3">
        <v>65580790.069999985</v>
      </c>
      <c r="BB18" s="3">
        <f>BA18/1000</f>
        <v>65580.790069999988</v>
      </c>
      <c r="BC18" s="3">
        <v>91353427.770000011</v>
      </c>
      <c r="BD18" s="3">
        <f>BC18/1000</f>
        <v>91353.427770000009</v>
      </c>
      <c r="BE18" s="3">
        <v>66786271.789999999</v>
      </c>
      <c r="BF18" s="3">
        <f>BE18/1000</f>
        <v>66786.271789999999</v>
      </c>
      <c r="BG18" s="3">
        <v>74916294.450000003</v>
      </c>
      <c r="BH18" s="3">
        <f t="shared" ref="BH18:BH39" si="12">BG18/1000</f>
        <v>74916.294450000001</v>
      </c>
      <c r="BI18" s="3">
        <v>69913179.49000001</v>
      </c>
      <c r="BJ18" s="3">
        <f t="shared" si="10"/>
        <v>69913.17949000001</v>
      </c>
      <c r="BK18" s="3">
        <v>71009700.580000013</v>
      </c>
      <c r="BL18" s="3">
        <f t="shared" si="11"/>
        <v>71009.700580000019</v>
      </c>
    </row>
    <row r="19" spans="1:64">
      <c r="A19" s="1" t="s">
        <v>12</v>
      </c>
      <c r="B19" s="14">
        <v>262253</v>
      </c>
      <c r="C19" s="14">
        <v>285174</v>
      </c>
      <c r="D19" s="14">
        <v>300409.35499999998</v>
      </c>
      <c r="E19" s="14">
        <v>337690.40409000008</v>
      </c>
      <c r="F19" s="14">
        <v>393326.86509000009</v>
      </c>
      <c r="G19" s="14">
        <v>408638.60116999998</v>
      </c>
      <c r="H19" s="14">
        <v>370378.50623</v>
      </c>
      <c r="I19" s="14">
        <v>359927.17812</v>
      </c>
      <c r="J19" s="14">
        <v>386195.50062000006</v>
      </c>
      <c r="K19" s="14">
        <v>367829.13487999991</v>
      </c>
      <c r="L19" s="239">
        <f>(K19-J19)*100/J19</f>
        <v>-4.7557171718766025</v>
      </c>
      <c r="M19" s="239">
        <f t="shared" si="7"/>
        <v>54.21887358518007</v>
      </c>
      <c r="N19" s="14">
        <v>64832</v>
      </c>
      <c r="O19" s="14">
        <v>68750</v>
      </c>
      <c r="P19" s="14">
        <v>76226</v>
      </c>
      <c r="Q19" s="14">
        <v>86421</v>
      </c>
      <c r="R19" s="14">
        <v>96860</v>
      </c>
      <c r="S19" s="14">
        <v>107577</v>
      </c>
      <c r="T19" s="14">
        <v>125662</v>
      </c>
      <c r="U19" s="14">
        <v>135579</v>
      </c>
      <c r="V19" s="14">
        <f>136266614/1000</f>
        <v>136266.614</v>
      </c>
      <c r="W19" s="14">
        <v>145259</v>
      </c>
      <c r="X19" s="14">
        <v>163157</v>
      </c>
      <c r="Y19" s="14">
        <v>165152</v>
      </c>
      <c r="Z19" s="14">
        <v>182880</v>
      </c>
      <c r="AA19" s="14">
        <v>192782</v>
      </c>
      <c r="AB19" s="14">
        <v>203761</v>
      </c>
      <c r="AC19" s="14">
        <v>222617</v>
      </c>
      <c r="AD19" s="14">
        <v>235922</v>
      </c>
      <c r="AE19" s="14">
        <v>225347.74299999999</v>
      </c>
      <c r="AF19" s="14">
        <v>238511.10200000001</v>
      </c>
      <c r="AG19" s="3">
        <v>235921972</v>
      </c>
      <c r="AH19" s="3">
        <f t="shared" si="8"/>
        <v>235921.97200000001</v>
      </c>
      <c r="AJ19" s="3">
        <v>225347743</v>
      </c>
      <c r="AK19" s="3">
        <f t="shared" si="9"/>
        <v>225347.74299999999</v>
      </c>
      <c r="AM19" s="3">
        <v>238511102</v>
      </c>
      <c r="AN19" s="3">
        <f>AM19/1000</f>
        <v>238511.10200000001</v>
      </c>
      <c r="AO19" s="3">
        <v>262252899</v>
      </c>
      <c r="AP19" s="3">
        <f>AO19/1000</f>
        <v>262252.89899999998</v>
      </c>
      <c r="AR19" s="3">
        <v>285174198</v>
      </c>
      <c r="AS19" s="3">
        <f>AR19/1000</f>
        <v>285174.19799999997</v>
      </c>
      <c r="AU19" s="217">
        <v>300409355</v>
      </c>
      <c r="AV19" s="3">
        <f>AU19/1000</f>
        <v>300409.35499999998</v>
      </c>
      <c r="AX19" s="3">
        <v>337690404.09000009</v>
      </c>
      <c r="AY19" s="3">
        <f>AX19/1000</f>
        <v>337690.40409000008</v>
      </c>
      <c r="BA19" s="3">
        <v>393326865.09000009</v>
      </c>
      <c r="BB19" s="3">
        <f>BA19/1000</f>
        <v>393326.86509000009</v>
      </c>
      <c r="BC19" s="3">
        <v>408638601.16999996</v>
      </c>
      <c r="BD19" s="3">
        <f>BC19/1000</f>
        <v>408638.60116999998</v>
      </c>
      <c r="BE19" s="3">
        <v>370378506.23000002</v>
      </c>
      <c r="BF19" s="3">
        <f>BE19/1000</f>
        <v>370378.50623</v>
      </c>
      <c r="BG19" s="3">
        <v>359927178.12</v>
      </c>
      <c r="BH19" s="3">
        <f t="shared" si="12"/>
        <v>359927.17812</v>
      </c>
      <c r="BI19" s="3">
        <v>386195500.62000006</v>
      </c>
      <c r="BJ19" s="3">
        <f t="shared" si="10"/>
        <v>386195.50062000006</v>
      </c>
      <c r="BK19" s="3">
        <v>367829134.87999994</v>
      </c>
      <c r="BL19" s="3">
        <f t="shared" si="11"/>
        <v>367829.13487999991</v>
      </c>
    </row>
    <row r="20" spans="1:64">
      <c r="A20" s="1" t="s">
        <v>13</v>
      </c>
      <c r="B20" s="14">
        <v>138988</v>
      </c>
      <c r="C20" s="14">
        <v>150554</v>
      </c>
      <c r="D20" s="14">
        <v>184066.08900000001</v>
      </c>
      <c r="E20" s="14">
        <v>211822.77969999996</v>
      </c>
      <c r="F20" s="14">
        <v>209996.75357999999</v>
      </c>
      <c r="G20" s="14">
        <v>212887.25370999999</v>
      </c>
      <c r="H20" s="14">
        <v>214487.40289999996</v>
      </c>
      <c r="I20" s="14">
        <v>211286.85676999998</v>
      </c>
      <c r="J20" s="14">
        <v>201295.90674999999</v>
      </c>
      <c r="K20" s="14">
        <v>208503.53912999999</v>
      </c>
      <c r="L20" s="239">
        <f>(K20-J20)*100/J20</f>
        <v>3.5806154712085299</v>
      </c>
      <c r="M20" s="239">
        <f t="shared" si="7"/>
        <v>50.555733392836373</v>
      </c>
      <c r="N20" s="14">
        <v>38536</v>
      </c>
      <c r="O20" s="14">
        <v>41722</v>
      </c>
      <c r="P20" s="14">
        <v>44919</v>
      </c>
      <c r="Q20" s="14">
        <v>49123</v>
      </c>
      <c r="R20" s="14">
        <v>54923</v>
      </c>
      <c r="S20" s="14">
        <v>69490</v>
      </c>
      <c r="T20" s="14">
        <v>78817</v>
      </c>
      <c r="U20" s="14">
        <v>75114</v>
      </c>
      <c r="V20" s="14">
        <f>72614769/1000</f>
        <v>72614.769</v>
      </c>
      <c r="W20" s="14">
        <v>80029</v>
      </c>
      <c r="X20" s="14">
        <v>91219</v>
      </c>
      <c r="Y20" s="14">
        <v>97374</v>
      </c>
      <c r="Z20" s="14">
        <v>99974</v>
      </c>
      <c r="AA20" s="14">
        <v>104385</v>
      </c>
      <c r="AB20" s="14">
        <v>122282</v>
      </c>
      <c r="AC20" s="14">
        <v>118925</v>
      </c>
      <c r="AD20" s="14">
        <v>129914</v>
      </c>
      <c r="AE20" s="14">
        <v>131765.68599999999</v>
      </c>
      <c r="AF20" s="14">
        <v>138489.272</v>
      </c>
      <c r="AG20" s="3">
        <v>129913700</v>
      </c>
      <c r="AH20" s="3">
        <f t="shared" si="8"/>
        <v>129913.7</v>
      </c>
      <c r="AJ20" s="3">
        <v>131765686</v>
      </c>
      <c r="AK20" s="3">
        <f t="shared" si="9"/>
        <v>131765.68599999999</v>
      </c>
      <c r="AM20" s="3">
        <v>138489272</v>
      </c>
      <c r="AN20" s="3">
        <f>AM20/1000</f>
        <v>138489.272</v>
      </c>
      <c r="AO20" s="3">
        <v>138988326</v>
      </c>
      <c r="AP20" s="3">
        <f>AO20/1000</f>
        <v>138988.326</v>
      </c>
      <c r="AR20" s="3">
        <v>150553820</v>
      </c>
      <c r="AS20" s="3">
        <f>AR20/1000</f>
        <v>150553.82</v>
      </c>
      <c r="AU20" s="218">
        <v>184066089</v>
      </c>
      <c r="AV20" s="3">
        <f>AU20/1000</f>
        <v>184066.08900000001</v>
      </c>
      <c r="AX20" s="3">
        <v>211822779.69999996</v>
      </c>
      <c r="AY20" s="3">
        <f>AX20/1000</f>
        <v>211822.77969999996</v>
      </c>
      <c r="BA20" s="3">
        <v>209996753.57999998</v>
      </c>
      <c r="BB20" s="3">
        <f>BA20/1000</f>
        <v>209996.75357999999</v>
      </c>
      <c r="BC20" s="3">
        <v>212887253.70999998</v>
      </c>
      <c r="BD20" s="3">
        <f>BC20/1000</f>
        <v>212887.25370999999</v>
      </c>
      <c r="BE20" s="3">
        <v>214487402.89999995</v>
      </c>
      <c r="BF20" s="3">
        <f>BE20/1000</f>
        <v>214487.40289999996</v>
      </c>
      <c r="BG20" s="3">
        <v>211286856.76999998</v>
      </c>
      <c r="BH20" s="3">
        <f t="shared" si="12"/>
        <v>211286.85676999998</v>
      </c>
      <c r="BI20" s="3">
        <v>201295906.75</v>
      </c>
      <c r="BJ20" s="3">
        <f t="shared" si="10"/>
        <v>201295.90674999999</v>
      </c>
      <c r="BK20" s="3">
        <v>208503539.13</v>
      </c>
      <c r="BL20" s="3">
        <f t="shared" si="11"/>
        <v>208503.53912999999</v>
      </c>
    </row>
    <row r="21" spans="1:64">
      <c r="A21" s="1" t="s">
        <v>14</v>
      </c>
      <c r="B21" s="14">
        <v>235249</v>
      </c>
      <c r="C21" s="14">
        <v>268895</v>
      </c>
      <c r="D21" s="14">
        <v>293864.89399999997</v>
      </c>
      <c r="E21" s="14">
        <v>314359.82516000001</v>
      </c>
      <c r="F21" s="14">
        <v>359922.33060999995</v>
      </c>
      <c r="G21" s="14">
        <v>344098.89250999998</v>
      </c>
      <c r="H21" s="14">
        <v>360033.98957999999</v>
      </c>
      <c r="I21" s="14">
        <v>356568.80753000005</v>
      </c>
      <c r="J21" s="14">
        <v>358937.99392000004</v>
      </c>
      <c r="K21" s="14">
        <v>393997.48215999996</v>
      </c>
      <c r="L21" s="239">
        <f>(K21-J21)*100/J21</f>
        <v>9.7675612038479169</v>
      </c>
      <c r="M21" s="239">
        <f t="shared" si="7"/>
        <v>75.397605947163598</v>
      </c>
      <c r="N21" s="14">
        <v>57780</v>
      </c>
      <c r="O21" s="14">
        <v>61950</v>
      </c>
      <c r="P21" s="14">
        <v>73169</v>
      </c>
      <c r="Q21" s="14">
        <v>79400</v>
      </c>
      <c r="R21" s="14">
        <v>90388</v>
      </c>
      <c r="S21" s="14">
        <v>98807</v>
      </c>
      <c r="T21" s="14">
        <v>111774</v>
      </c>
      <c r="U21" s="14">
        <v>129491</v>
      </c>
      <c r="V21" s="14">
        <f>116368157/1000</f>
        <v>116368.15700000001</v>
      </c>
      <c r="W21" s="14">
        <v>127331</v>
      </c>
      <c r="X21" s="14">
        <v>144735</v>
      </c>
      <c r="Y21" s="14">
        <v>139496</v>
      </c>
      <c r="Z21" s="14">
        <v>151268</v>
      </c>
      <c r="AA21" s="14">
        <v>154376</v>
      </c>
      <c r="AB21" s="14">
        <v>162922</v>
      </c>
      <c r="AC21" s="14">
        <v>174773</v>
      </c>
      <c r="AD21" s="14">
        <v>193026</v>
      </c>
      <c r="AE21" s="14">
        <v>190735.19899999999</v>
      </c>
      <c r="AF21" s="14">
        <v>224631.049</v>
      </c>
      <c r="AG21" s="3">
        <v>193026278</v>
      </c>
      <c r="AH21" s="3">
        <f t="shared" si="8"/>
        <v>193026.27799999999</v>
      </c>
      <c r="AJ21" s="3">
        <v>190735199</v>
      </c>
      <c r="AK21" s="3">
        <f t="shared" si="9"/>
        <v>190735.19899999999</v>
      </c>
      <c r="AM21" s="3">
        <v>224631049</v>
      </c>
      <c r="AN21" s="3">
        <f>AM21/1000</f>
        <v>224631.049</v>
      </c>
      <c r="AO21" s="3">
        <v>235248920</v>
      </c>
      <c r="AP21" s="3">
        <f>AO21/1000</f>
        <v>235248.92</v>
      </c>
      <c r="AR21" s="3">
        <v>268895283</v>
      </c>
      <c r="AS21" s="3">
        <f>AR21/1000</f>
        <v>268895.283</v>
      </c>
      <c r="AU21" s="218">
        <v>293864894</v>
      </c>
      <c r="AV21" s="3">
        <f>AU21/1000</f>
        <v>293864.89399999997</v>
      </c>
      <c r="AX21" s="3">
        <v>314359825.16000003</v>
      </c>
      <c r="AY21" s="3">
        <f>AX21/1000</f>
        <v>314359.82516000001</v>
      </c>
      <c r="BA21" s="3">
        <v>359922330.60999995</v>
      </c>
      <c r="BB21" s="3">
        <f>BA21/1000</f>
        <v>359922.33060999995</v>
      </c>
      <c r="BC21" s="3">
        <v>344098892.50999999</v>
      </c>
      <c r="BD21" s="3">
        <f>BC21/1000</f>
        <v>344098.89250999998</v>
      </c>
      <c r="BE21" s="3">
        <v>360033989.57999998</v>
      </c>
      <c r="BF21" s="3">
        <f>BE21/1000</f>
        <v>360033.98957999999</v>
      </c>
      <c r="BG21" s="3">
        <v>356568807.53000003</v>
      </c>
      <c r="BH21" s="3">
        <f t="shared" si="12"/>
        <v>356568.80753000005</v>
      </c>
      <c r="BI21" s="3">
        <v>358937993.92000002</v>
      </c>
      <c r="BJ21" s="3">
        <f t="shared" si="10"/>
        <v>358937.99392000004</v>
      </c>
      <c r="BK21" s="3">
        <v>393997482.15999997</v>
      </c>
      <c r="BL21" s="3">
        <f t="shared" si="11"/>
        <v>393997.48215999996</v>
      </c>
    </row>
    <row r="22" spans="1:64">
      <c r="A22" s="1" t="s">
        <v>15</v>
      </c>
      <c r="B22" s="14">
        <v>51085</v>
      </c>
      <c r="C22" s="14">
        <v>48913</v>
      </c>
      <c r="D22" s="14">
        <v>52471.853000000003</v>
      </c>
      <c r="E22" s="14">
        <v>56137.886289999995</v>
      </c>
      <c r="F22" s="14">
        <v>68548.460520000022</v>
      </c>
      <c r="G22" s="14">
        <v>76310.530659999989</v>
      </c>
      <c r="H22" s="14">
        <v>78185.990659999996</v>
      </c>
      <c r="I22" s="14">
        <v>71720.691759999987</v>
      </c>
      <c r="J22" s="14">
        <v>63487.889149999995</v>
      </c>
      <c r="K22" s="14">
        <v>65664.774340000004</v>
      </c>
      <c r="L22" s="239">
        <f>(K22-J22)*100/J22</f>
        <v>3.4288196050380235</v>
      </c>
      <c r="M22" s="239">
        <f t="shared" si="7"/>
        <v>28.471896888744904</v>
      </c>
      <c r="N22" s="14">
        <v>18775</v>
      </c>
      <c r="O22" s="14">
        <v>19142</v>
      </c>
      <c r="P22" s="14">
        <v>19905</v>
      </c>
      <c r="Q22" s="14">
        <v>21627</v>
      </c>
      <c r="R22" s="14">
        <v>23616</v>
      </c>
      <c r="S22" s="14">
        <v>25813</v>
      </c>
      <c r="T22" s="14">
        <v>27149</v>
      </c>
      <c r="U22" s="14">
        <v>27058</v>
      </c>
      <c r="V22" s="14">
        <f>27640157/1000</f>
        <v>27640.156999999999</v>
      </c>
      <c r="W22" s="14">
        <v>29909</v>
      </c>
      <c r="X22" s="14">
        <v>32010</v>
      </c>
      <c r="Y22" s="14">
        <v>33622</v>
      </c>
      <c r="Z22" s="14">
        <v>39220</v>
      </c>
      <c r="AA22" s="14">
        <v>38249</v>
      </c>
      <c r="AB22" s="14">
        <v>37334</v>
      </c>
      <c r="AC22" s="14">
        <v>39858</v>
      </c>
      <c r="AD22" s="14">
        <v>43245</v>
      </c>
      <c r="AE22" s="14">
        <v>44401.023999999998</v>
      </c>
      <c r="AF22" s="14">
        <v>51112.17</v>
      </c>
      <c r="AG22" s="3">
        <v>43244842</v>
      </c>
      <c r="AH22" s="3">
        <f t="shared" si="8"/>
        <v>43244.841999999997</v>
      </c>
      <c r="AJ22" s="3">
        <v>44401024</v>
      </c>
      <c r="AK22" s="3">
        <f t="shared" si="9"/>
        <v>44401.023999999998</v>
      </c>
      <c r="AM22" s="3">
        <v>51112170</v>
      </c>
      <c r="AN22" s="3">
        <f>AM22/1000</f>
        <v>51112.17</v>
      </c>
      <c r="AO22" s="3">
        <v>51085251</v>
      </c>
      <c r="AP22" s="3">
        <f>AO22/1000</f>
        <v>51085.250999999997</v>
      </c>
      <c r="AR22" s="3">
        <v>48912847</v>
      </c>
      <c r="AS22" s="3">
        <f>AR22/1000</f>
        <v>48912.847000000002</v>
      </c>
      <c r="AU22" s="218">
        <v>52471853</v>
      </c>
      <c r="AV22" s="3">
        <f>AU22/1000</f>
        <v>52471.853000000003</v>
      </c>
      <c r="AX22" s="3">
        <v>56137886.289999992</v>
      </c>
      <c r="AY22" s="3">
        <f>AX22/1000</f>
        <v>56137.886289999995</v>
      </c>
      <c r="BA22" s="3">
        <v>68548460.520000026</v>
      </c>
      <c r="BB22" s="3">
        <f>BA22/1000</f>
        <v>68548.460520000022</v>
      </c>
      <c r="BC22" s="3">
        <v>76310530.659999996</v>
      </c>
      <c r="BD22" s="3">
        <f>BC22/1000</f>
        <v>76310.530659999989</v>
      </c>
      <c r="BE22" s="3">
        <v>78185990.659999996</v>
      </c>
      <c r="BF22" s="3">
        <f>BE22/1000</f>
        <v>78185.990659999996</v>
      </c>
      <c r="BG22" s="3">
        <v>71720691.75999999</v>
      </c>
      <c r="BH22" s="3">
        <f t="shared" si="12"/>
        <v>71720.691759999987</v>
      </c>
      <c r="BI22" s="3">
        <v>63487889.149999999</v>
      </c>
      <c r="BJ22" s="3">
        <f t="shared" si="10"/>
        <v>63487.889149999995</v>
      </c>
      <c r="BK22" s="3">
        <v>65664774.340000004</v>
      </c>
      <c r="BL22" s="3">
        <f t="shared" si="11"/>
        <v>65664.774340000004</v>
      </c>
    </row>
    <row r="23" spans="1:64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239"/>
      <c r="M23" s="239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U23" s="218"/>
      <c r="BH23" s="3">
        <f t="shared" si="12"/>
        <v>0</v>
      </c>
    </row>
    <row r="24" spans="1:64">
      <c r="A24" s="1" t="s">
        <v>16</v>
      </c>
      <c r="B24" s="14">
        <v>377518</v>
      </c>
      <c r="C24" s="14">
        <v>396166</v>
      </c>
      <c r="D24" s="14">
        <v>440368.36599999998</v>
      </c>
      <c r="E24" s="14">
        <v>468038.61020999996</v>
      </c>
      <c r="F24" s="14">
        <v>550535.60615000001</v>
      </c>
      <c r="G24" s="14">
        <v>583297.13118000003</v>
      </c>
      <c r="H24" s="14">
        <v>591177.75145999994</v>
      </c>
      <c r="I24" s="14">
        <v>531359.66370999999</v>
      </c>
      <c r="J24" s="14">
        <v>558688.51147999999</v>
      </c>
      <c r="K24" s="14">
        <v>562546.97921999975</v>
      </c>
      <c r="L24" s="239">
        <f>(K24-J24)*100/J24</f>
        <v>0.69062951192220567</v>
      </c>
      <c r="M24" s="239">
        <f t="shared" si="7"/>
        <v>60.499918151877509</v>
      </c>
      <c r="N24" s="14">
        <v>86150</v>
      </c>
      <c r="O24" s="14">
        <v>91678</v>
      </c>
      <c r="P24" s="14">
        <v>97977</v>
      </c>
      <c r="Q24" s="14">
        <v>112541</v>
      </c>
      <c r="R24" s="14">
        <v>125361</v>
      </c>
      <c r="S24" s="14">
        <v>148929</v>
      </c>
      <c r="T24" s="14">
        <v>161159</v>
      </c>
      <c r="U24" s="14">
        <v>165576</v>
      </c>
      <c r="V24" s="14">
        <f>173442674/1000</f>
        <v>173442.674</v>
      </c>
      <c r="W24" s="14">
        <v>182278</v>
      </c>
      <c r="X24" s="14">
        <v>220537</v>
      </c>
      <c r="Y24" s="14">
        <v>218587</v>
      </c>
      <c r="Z24" s="206">
        <v>219254</v>
      </c>
      <c r="AA24" s="36">
        <v>240691</v>
      </c>
      <c r="AB24" s="14">
        <v>252220</v>
      </c>
      <c r="AC24" s="14">
        <v>290723</v>
      </c>
      <c r="AD24" s="14">
        <v>338378</v>
      </c>
      <c r="AE24" s="14">
        <v>359464.60600000003</v>
      </c>
      <c r="AF24" s="14">
        <v>350496.739</v>
      </c>
      <c r="AG24" s="3">
        <v>338377780</v>
      </c>
      <c r="AH24" s="3">
        <f t="shared" si="8"/>
        <v>338377.78</v>
      </c>
      <c r="AJ24" s="3">
        <v>359464606</v>
      </c>
      <c r="AK24" s="3">
        <f t="shared" si="9"/>
        <v>359464.60600000003</v>
      </c>
      <c r="AM24" s="3">
        <v>350496739</v>
      </c>
      <c r="AN24" s="3">
        <f>AM24/1000</f>
        <v>350496.739</v>
      </c>
      <c r="AO24" s="3">
        <v>377518408</v>
      </c>
      <c r="AP24" s="3">
        <f>AO24/1000</f>
        <v>377518.408</v>
      </c>
      <c r="AR24" s="3">
        <v>396166408</v>
      </c>
      <c r="AS24" s="3">
        <f>AR24/1000</f>
        <v>396166.408</v>
      </c>
      <c r="AU24" s="218">
        <v>440368366</v>
      </c>
      <c r="AV24" s="3">
        <f>AU24/1000</f>
        <v>440368.36599999998</v>
      </c>
      <c r="AX24" s="3">
        <v>468038610.20999998</v>
      </c>
      <c r="AY24" s="3">
        <f>AX24/1000</f>
        <v>468038.61020999996</v>
      </c>
      <c r="BA24" s="3">
        <v>550535606.14999998</v>
      </c>
      <c r="BB24" s="3">
        <f>BA24/1000</f>
        <v>550535.60615000001</v>
      </c>
      <c r="BC24" s="3">
        <v>583297131.18000007</v>
      </c>
      <c r="BD24" s="3">
        <f>BC24/1000</f>
        <v>583297.13118000003</v>
      </c>
      <c r="BE24" s="3">
        <v>591177751.45999992</v>
      </c>
      <c r="BF24" s="3">
        <f>BE24/1000</f>
        <v>591177.75145999994</v>
      </c>
      <c r="BG24" s="3">
        <v>531359663.71000004</v>
      </c>
      <c r="BH24" s="3">
        <f t="shared" si="12"/>
        <v>531359.66370999999</v>
      </c>
      <c r="BI24" s="3">
        <v>558688511.48000002</v>
      </c>
      <c r="BJ24" s="3">
        <f t="shared" si="10"/>
        <v>558688.51147999999</v>
      </c>
      <c r="BK24" s="3">
        <v>562546979.21999979</v>
      </c>
      <c r="BL24" s="3">
        <f t="shared" si="11"/>
        <v>562546.97921999975</v>
      </c>
    </row>
    <row r="25" spans="1:64">
      <c r="A25" s="1" t="s">
        <v>17</v>
      </c>
      <c r="B25" s="14">
        <v>46409</v>
      </c>
      <c r="C25" s="14">
        <v>48299</v>
      </c>
      <c r="D25" s="14">
        <v>49938.798999999999</v>
      </c>
      <c r="E25" s="14">
        <v>53821.355470000002</v>
      </c>
      <c r="F25" s="14">
        <v>59214.695950000001</v>
      </c>
      <c r="G25" s="14">
        <v>67436.536370000016</v>
      </c>
      <c r="H25" s="14">
        <v>60498.963330000006</v>
      </c>
      <c r="I25" s="14">
        <v>59464.379010000004</v>
      </c>
      <c r="J25" s="14">
        <v>59517.231230000005</v>
      </c>
      <c r="K25" s="14">
        <v>59744.771609999996</v>
      </c>
      <c r="L25" s="239">
        <f>(K25-J25)*100/J25</f>
        <v>0.38231008952798567</v>
      </c>
      <c r="M25" s="239">
        <f t="shared" si="7"/>
        <v>34.754087364558586</v>
      </c>
      <c r="N25" s="14">
        <v>16848</v>
      </c>
      <c r="O25" s="14">
        <v>21350</v>
      </c>
      <c r="P25" s="14">
        <v>22084</v>
      </c>
      <c r="Q25" s="14">
        <v>21373</v>
      </c>
      <c r="R25" s="14">
        <v>23169</v>
      </c>
      <c r="S25" s="14">
        <v>25651</v>
      </c>
      <c r="T25" s="14">
        <v>34256</v>
      </c>
      <c r="U25" s="14">
        <v>28253</v>
      </c>
      <c r="V25" s="14">
        <f>28510910/1000</f>
        <v>28510.91</v>
      </c>
      <c r="W25" s="14">
        <v>30212</v>
      </c>
      <c r="X25" s="14">
        <v>31674</v>
      </c>
      <c r="Y25" s="14">
        <v>32945</v>
      </c>
      <c r="Z25" s="206">
        <v>34181</v>
      </c>
      <c r="AA25" s="36">
        <v>35463</v>
      </c>
      <c r="AB25" s="14">
        <v>37240</v>
      </c>
      <c r="AC25" s="14">
        <v>38426</v>
      </c>
      <c r="AD25" s="14">
        <v>40972</v>
      </c>
      <c r="AE25" s="14">
        <v>41719.661</v>
      </c>
      <c r="AF25" s="14">
        <v>44336.148000000001</v>
      </c>
      <c r="AG25" s="3">
        <v>40972486</v>
      </c>
      <c r="AH25" s="3">
        <f t="shared" si="8"/>
        <v>40972.485999999997</v>
      </c>
      <c r="AJ25" s="3">
        <v>41719661</v>
      </c>
      <c r="AK25" s="3">
        <f t="shared" si="9"/>
        <v>41719.661</v>
      </c>
      <c r="AM25" s="3">
        <v>44336148</v>
      </c>
      <c r="AN25" s="3">
        <f>AM25/1000</f>
        <v>44336.148000000001</v>
      </c>
      <c r="AO25" s="3">
        <v>46409099</v>
      </c>
      <c r="AP25" s="3">
        <f>AO25/1000</f>
        <v>46409.099000000002</v>
      </c>
      <c r="AR25" s="3">
        <v>48299481</v>
      </c>
      <c r="AS25" s="3">
        <f>AR25/1000</f>
        <v>48299.481</v>
      </c>
      <c r="AU25" s="217">
        <v>49938799</v>
      </c>
      <c r="AV25" s="3">
        <f>AU25/1000</f>
        <v>49938.798999999999</v>
      </c>
      <c r="AX25" s="3">
        <v>53821355.469999999</v>
      </c>
      <c r="AY25" s="3">
        <f>AX25/1000</f>
        <v>53821.355470000002</v>
      </c>
      <c r="BA25" s="3">
        <v>59214695.950000003</v>
      </c>
      <c r="BB25" s="3">
        <f>BA25/1000</f>
        <v>59214.695950000001</v>
      </c>
      <c r="BC25" s="3">
        <v>67436536.37000002</v>
      </c>
      <c r="BD25" s="3">
        <f>BC25/1000</f>
        <v>67436.536370000016</v>
      </c>
      <c r="BE25" s="3">
        <v>60498963.330000006</v>
      </c>
      <c r="BF25" s="3">
        <f>BE25/1000</f>
        <v>60498.963330000006</v>
      </c>
      <c r="BG25" s="3">
        <v>59464379.010000005</v>
      </c>
      <c r="BH25" s="3">
        <f t="shared" si="12"/>
        <v>59464.379010000004</v>
      </c>
      <c r="BI25" s="3">
        <v>59517231.230000004</v>
      </c>
      <c r="BJ25" s="3">
        <f t="shared" si="10"/>
        <v>59517.231230000005</v>
      </c>
      <c r="BK25" s="3">
        <v>59744771.609999999</v>
      </c>
      <c r="BL25" s="3">
        <f t="shared" si="11"/>
        <v>59744.771609999996</v>
      </c>
    </row>
    <row r="26" spans="1:64">
      <c r="A26" s="1" t="s">
        <v>18</v>
      </c>
      <c r="B26" s="14">
        <v>348590</v>
      </c>
      <c r="C26" s="14">
        <v>387571</v>
      </c>
      <c r="D26" s="14">
        <v>456305.25199999998</v>
      </c>
      <c r="E26" s="14">
        <v>478472.66623999999</v>
      </c>
      <c r="F26" s="14">
        <v>563174.36319000018</v>
      </c>
      <c r="G26" s="14">
        <v>591071.37676999997</v>
      </c>
      <c r="H26" s="14">
        <v>577613.41568000009</v>
      </c>
      <c r="I26" s="14">
        <v>557016.56393000006</v>
      </c>
      <c r="J26" s="14">
        <v>544368.55392999982</v>
      </c>
      <c r="K26" s="14">
        <v>550763.80455000012</v>
      </c>
      <c r="L26" s="239">
        <f>(K26-J26)*100/J26</f>
        <v>1.1748016254485303</v>
      </c>
      <c r="M26" s="239">
        <f t="shared" si="7"/>
        <v>60.674051448009202</v>
      </c>
      <c r="N26" s="14">
        <v>90384</v>
      </c>
      <c r="O26" s="14">
        <v>98640</v>
      </c>
      <c r="P26" s="14">
        <v>108161</v>
      </c>
      <c r="Q26" s="14">
        <v>117074</v>
      </c>
      <c r="R26" s="14">
        <v>129310</v>
      </c>
      <c r="S26" s="14">
        <v>146332</v>
      </c>
      <c r="T26" s="14">
        <v>163371</v>
      </c>
      <c r="U26" s="14">
        <v>171092</v>
      </c>
      <c r="V26" s="14">
        <f>190435504/1000</f>
        <v>190435.50399999999</v>
      </c>
      <c r="W26" s="14">
        <v>206446</v>
      </c>
      <c r="X26" s="14">
        <v>218888</v>
      </c>
      <c r="Y26" s="14">
        <v>230455</v>
      </c>
      <c r="Z26" s="206">
        <v>245819</v>
      </c>
      <c r="AA26" s="36">
        <v>255607</v>
      </c>
      <c r="AB26" s="14">
        <v>264957</v>
      </c>
      <c r="AC26" s="14">
        <v>281629</v>
      </c>
      <c r="AD26" s="14">
        <v>299817</v>
      </c>
      <c r="AE26" s="14">
        <v>319096.85499999998</v>
      </c>
      <c r="AF26" s="14">
        <v>342783.29300000001</v>
      </c>
      <c r="AG26" s="3">
        <v>299816598</v>
      </c>
      <c r="AH26" s="3">
        <f t="shared" si="8"/>
        <v>299816.598</v>
      </c>
      <c r="AJ26" s="3">
        <v>319096855</v>
      </c>
      <c r="AK26" s="3">
        <f t="shared" si="9"/>
        <v>319096.85499999998</v>
      </c>
      <c r="AM26" s="3">
        <v>342783293</v>
      </c>
      <c r="AN26" s="3">
        <f>AM26/1000</f>
        <v>342783.29300000001</v>
      </c>
      <c r="AO26" s="3">
        <v>348590314</v>
      </c>
      <c r="AP26" s="3">
        <f>AO26/1000</f>
        <v>348590.31400000001</v>
      </c>
      <c r="AR26" s="3">
        <v>387571428</v>
      </c>
      <c r="AS26" s="3">
        <f>AR26/1000</f>
        <v>387571.42800000001</v>
      </c>
      <c r="AU26" s="217">
        <v>456305252</v>
      </c>
      <c r="AV26" s="3">
        <f>AU26/1000</f>
        <v>456305.25199999998</v>
      </c>
      <c r="AX26" s="3">
        <v>478472666.24000001</v>
      </c>
      <c r="AY26" s="3">
        <f>AX26/1000</f>
        <v>478472.66623999999</v>
      </c>
      <c r="BA26" s="3">
        <v>563174363.19000018</v>
      </c>
      <c r="BB26" s="3">
        <f>BA26/1000</f>
        <v>563174.36319000018</v>
      </c>
      <c r="BC26" s="3">
        <v>591071376.76999998</v>
      </c>
      <c r="BD26" s="3">
        <f>BC26/1000</f>
        <v>591071.37676999997</v>
      </c>
      <c r="BE26" s="3">
        <v>577613415.68000007</v>
      </c>
      <c r="BF26" s="3">
        <f>BE26/1000</f>
        <v>577613.41568000009</v>
      </c>
      <c r="BG26" s="3">
        <v>557016563.93000007</v>
      </c>
      <c r="BH26" s="3">
        <f t="shared" si="12"/>
        <v>557016.56393000006</v>
      </c>
      <c r="BI26" s="3">
        <v>544368553.92999983</v>
      </c>
      <c r="BJ26" s="3">
        <f t="shared" si="10"/>
        <v>544368.55392999982</v>
      </c>
      <c r="BK26" s="3">
        <v>550763804.55000007</v>
      </c>
      <c r="BL26" s="3">
        <f t="shared" si="11"/>
        <v>550763.80455000012</v>
      </c>
    </row>
    <row r="27" spans="1:64">
      <c r="A27" s="1" t="s">
        <v>19</v>
      </c>
      <c r="B27" s="14">
        <v>539622</v>
      </c>
      <c r="C27" s="14">
        <v>613508</v>
      </c>
      <c r="D27" s="14">
        <v>674917.56799999997</v>
      </c>
      <c r="E27" s="14">
        <v>708544.79595000006</v>
      </c>
      <c r="F27" s="14">
        <v>771765.47826</v>
      </c>
      <c r="G27" s="14">
        <v>802979.2680299998</v>
      </c>
      <c r="H27" s="14">
        <v>814535.03865999985</v>
      </c>
      <c r="I27" s="14">
        <v>850684.70307999989</v>
      </c>
      <c r="J27" s="14">
        <v>857501.07415</v>
      </c>
      <c r="K27" s="14">
        <v>901452.28768999979</v>
      </c>
      <c r="L27" s="239">
        <f>(K27-J27)*100/J27</f>
        <v>5.1254995317138867</v>
      </c>
      <c r="M27" s="239">
        <f t="shared" si="7"/>
        <v>75.879921666994562</v>
      </c>
      <c r="N27" s="14">
        <v>104868</v>
      </c>
      <c r="O27" s="14">
        <v>122907</v>
      </c>
      <c r="P27" s="14">
        <v>140188</v>
      </c>
      <c r="Q27" s="14">
        <v>156347</v>
      </c>
      <c r="R27" s="14">
        <v>181399</v>
      </c>
      <c r="S27" s="14">
        <v>206180</v>
      </c>
      <c r="T27" s="14">
        <v>236698</v>
      </c>
      <c r="U27" s="14">
        <v>240813</v>
      </c>
      <c r="V27" s="14">
        <f>252892130/1000</f>
        <v>252892.13</v>
      </c>
      <c r="W27" s="14">
        <v>275142</v>
      </c>
      <c r="X27" s="14">
        <v>296185</v>
      </c>
      <c r="Y27" s="14">
        <v>324292</v>
      </c>
      <c r="Z27" s="206">
        <v>330228</v>
      </c>
      <c r="AA27" s="36">
        <v>328174</v>
      </c>
      <c r="AB27" s="14">
        <v>351613</v>
      </c>
      <c r="AC27" s="14">
        <v>383699</v>
      </c>
      <c r="AD27" s="14">
        <v>434396</v>
      </c>
      <c r="AE27" s="14">
        <v>483101.821</v>
      </c>
      <c r="AF27" s="14">
        <v>512538.48599999998</v>
      </c>
      <c r="AG27" s="3">
        <v>434395821</v>
      </c>
      <c r="AH27" s="3">
        <f t="shared" si="8"/>
        <v>434395.821</v>
      </c>
      <c r="AJ27" s="3">
        <v>483101821</v>
      </c>
      <c r="AK27" s="3">
        <f t="shared" si="9"/>
        <v>483101.821</v>
      </c>
      <c r="AM27" s="3">
        <v>512538486</v>
      </c>
      <c r="AN27" s="3">
        <f>AM27/1000</f>
        <v>512538.48599999998</v>
      </c>
      <c r="AO27" s="3">
        <v>539622391</v>
      </c>
      <c r="AP27" s="3">
        <f>AO27/1000</f>
        <v>539622.39099999995</v>
      </c>
      <c r="AR27" s="3">
        <v>613508175</v>
      </c>
      <c r="AS27" s="3">
        <f>AR27/1000</f>
        <v>613508.17500000005</v>
      </c>
      <c r="AU27" s="217">
        <v>674917568</v>
      </c>
      <c r="AV27" s="3">
        <f>AU27/1000</f>
        <v>674917.56799999997</v>
      </c>
      <c r="AX27" s="3">
        <v>708544795.95000005</v>
      </c>
      <c r="AY27" s="3">
        <f>AX27/1000</f>
        <v>708544.79595000006</v>
      </c>
      <c r="BA27" s="3">
        <v>771765478.25999999</v>
      </c>
      <c r="BB27" s="3">
        <f>BA27/1000</f>
        <v>771765.47826</v>
      </c>
      <c r="BC27" s="3">
        <v>802979268.02999985</v>
      </c>
      <c r="BD27" s="3">
        <f>BC27/1000</f>
        <v>802979.2680299998</v>
      </c>
      <c r="BE27" s="3">
        <v>814535038.65999985</v>
      </c>
      <c r="BF27" s="3">
        <f>BE27/1000</f>
        <v>814535.03865999985</v>
      </c>
      <c r="BG27" s="3">
        <v>850684703.07999992</v>
      </c>
      <c r="BH27" s="3">
        <f t="shared" si="12"/>
        <v>850684.70307999989</v>
      </c>
      <c r="BI27" s="3">
        <v>857501074.14999998</v>
      </c>
      <c r="BJ27" s="3">
        <f t="shared" si="10"/>
        <v>857501.07415</v>
      </c>
      <c r="BK27" s="3">
        <v>901452287.68999982</v>
      </c>
      <c r="BL27" s="3">
        <f t="shared" si="11"/>
        <v>901452.28768999979</v>
      </c>
    </row>
    <row r="28" spans="1:64">
      <c r="A28" s="1" t="s">
        <v>20</v>
      </c>
      <c r="B28" s="14">
        <v>27525</v>
      </c>
      <c r="C28" s="14">
        <v>29174</v>
      </c>
      <c r="D28" s="14">
        <v>35978.317999999999</v>
      </c>
      <c r="E28" s="14">
        <v>34500.417670000003</v>
      </c>
      <c r="F28" s="14">
        <v>32742.656500000001</v>
      </c>
      <c r="G28" s="14">
        <v>35046.940459999998</v>
      </c>
      <c r="H28" s="14">
        <v>35061.130119999994</v>
      </c>
      <c r="I28" s="14">
        <v>32895.057010000004</v>
      </c>
      <c r="J28" s="14">
        <v>31959.248139999996</v>
      </c>
      <c r="K28" s="14">
        <v>32941.07355999999</v>
      </c>
      <c r="L28" s="239">
        <f>(K28-J28)*100/J28</f>
        <v>3.0721167647593912</v>
      </c>
      <c r="M28" s="239">
        <f t="shared" si="7"/>
        <v>17.877773821609537</v>
      </c>
      <c r="N28" s="14">
        <v>8860</v>
      </c>
      <c r="O28" s="14">
        <v>9950</v>
      </c>
      <c r="P28" s="14">
        <v>10603</v>
      </c>
      <c r="Q28" s="14">
        <v>11388</v>
      </c>
      <c r="R28" s="14">
        <v>13108</v>
      </c>
      <c r="S28" s="14">
        <v>14566</v>
      </c>
      <c r="T28" s="14">
        <v>15449</v>
      </c>
      <c r="U28" s="14">
        <v>16213</v>
      </c>
      <c r="V28" s="14">
        <f>16456918/1000</f>
        <v>16456.918000000001</v>
      </c>
      <c r="W28" s="14">
        <v>18958</v>
      </c>
      <c r="X28" s="14">
        <v>19559</v>
      </c>
      <c r="Y28" s="14">
        <v>20359</v>
      </c>
      <c r="Z28" s="206">
        <v>20672</v>
      </c>
      <c r="AA28" s="36">
        <v>23544</v>
      </c>
      <c r="AB28" s="14">
        <v>22938</v>
      </c>
      <c r="AC28" s="14">
        <v>23761</v>
      </c>
      <c r="AD28" s="14">
        <v>25456</v>
      </c>
      <c r="AE28" s="14">
        <v>27932.071</v>
      </c>
      <c r="AF28" s="14">
        <v>27945.11</v>
      </c>
      <c r="AG28" s="3">
        <v>25456174</v>
      </c>
      <c r="AH28" s="3">
        <f t="shared" si="8"/>
        <v>25456.173999999999</v>
      </c>
      <c r="AJ28" s="3">
        <v>27932071</v>
      </c>
      <c r="AK28" s="3">
        <f t="shared" si="9"/>
        <v>27932.071</v>
      </c>
      <c r="AM28" s="3">
        <v>27945110</v>
      </c>
      <c r="AN28" s="3">
        <f>AM28/1000</f>
        <v>27945.11</v>
      </c>
      <c r="AO28" s="3">
        <v>27525186</v>
      </c>
      <c r="AP28" s="3">
        <f>AO28/1000</f>
        <v>27525.186000000002</v>
      </c>
      <c r="AR28" s="3">
        <v>29174233</v>
      </c>
      <c r="AS28" s="3">
        <f>AR28/1000</f>
        <v>29174.233</v>
      </c>
      <c r="AU28" s="217">
        <v>35978318</v>
      </c>
      <c r="AV28" s="3">
        <f>AU28/1000</f>
        <v>35978.317999999999</v>
      </c>
      <c r="AX28" s="3">
        <v>34500417.670000002</v>
      </c>
      <c r="AY28" s="3">
        <f>AX28/1000</f>
        <v>34500.417670000003</v>
      </c>
      <c r="BA28" s="3">
        <v>32742656.5</v>
      </c>
      <c r="BB28" s="3">
        <f>BA28/1000</f>
        <v>32742.656500000001</v>
      </c>
      <c r="BC28" s="3">
        <v>35046940.460000001</v>
      </c>
      <c r="BD28" s="3">
        <f>BC28/1000</f>
        <v>35046.940459999998</v>
      </c>
      <c r="BE28" s="3">
        <v>35061130.119999997</v>
      </c>
      <c r="BF28" s="3">
        <f>BE28/1000</f>
        <v>35061.130119999994</v>
      </c>
      <c r="BG28" s="3">
        <v>32895057.010000002</v>
      </c>
      <c r="BH28" s="3">
        <f t="shared" si="12"/>
        <v>32895.057010000004</v>
      </c>
      <c r="BI28" s="3">
        <v>31959248.139999997</v>
      </c>
      <c r="BJ28" s="3">
        <f t="shared" si="10"/>
        <v>31959.248139999996</v>
      </c>
      <c r="BK28" s="3">
        <v>32941073.559999991</v>
      </c>
      <c r="BL28" s="3">
        <f t="shared" si="11"/>
        <v>32941.07355999999</v>
      </c>
    </row>
    <row r="29" spans="1:64" ht="1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239"/>
      <c r="M29" s="239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206"/>
      <c r="AA29" s="255"/>
      <c r="AB29" s="14"/>
      <c r="AC29" s="14"/>
      <c r="AD29" s="14"/>
      <c r="AE29" s="14"/>
      <c r="AF29" s="14"/>
      <c r="AU29" s="217"/>
    </row>
    <row r="30" spans="1:64">
      <c r="A30" s="1" t="s">
        <v>21</v>
      </c>
      <c r="B30" s="14">
        <v>1688225</v>
      </c>
      <c r="C30" s="14">
        <v>1969194</v>
      </c>
      <c r="D30" s="14">
        <v>2064855.344</v>
      </c>
      <c r="E30" s="14">
        <v>2144973.2949299999</v>
      </c>
      <c r="F30" s="14">
        <v>2447011.9773600013</v>
      </c>
      <c r="G30" s="14">
        <v>2218450.7233399996</v>
      </c>
      <c r="H30" s="14">
        <v>2548548.73226</v>
      </c>
      <c r="I30" s="14">
        <v>2572931.8503900003</v>
      </c>
      <c r="J30" s="14">
        <v>2771638.6962199998</v>
      </c>
      <c r="K30" s="14">
        <v>2684252.1363499998</v>
      </c>
      <c r="L30" s="239">
        <f>(K30-J30)*100/J30</f>
        <v>-3.1528842481950852</v>
      </c>
      <c r="M30" s="239">
        <f t="shared" si="7"/>
        <v>63.054463564991416</v>
      </c>
      <c r="N30" s="14">
        <v>492113</v>
      </c>
      <c r="O30" s="14">
        <v>534596</v>
      </c>
      <c r="P30" s="14">
        <v>600543</v>
      </c>
      <c r="Q30" s="14">
        <v>706791</v>
      </c>
      <c r="R30" s="14">
        <v>741761</v>
      </c>
      <c r="S30" s="14">
        <v>881319</v>
      </c>
      <c r="T30" s="14">
        <v>905501</v>
      </c>
      <c r="U30" s="14">
        <v>886390</v>
      </c>
      <c r="V30" s="14">
        <f>1114941556/1000</f>
        <v>1114941.5560000001</v>
      </c>
      <c r="W30" s="14">
        <v>1067738</v>
      </c>
      <c r="X30" s="14">
        <v>1015499</v>
      </c>
      <c r="Y30" s="14">
        <v>1102242</v>
      </c>
      <c r="Z30" s="206">
        <v>1179936</v>
      </c>
      <c r="AA30" s="30">
        <v>1183321</v>
      </c>
      <c r="AB30" s="14">
        <v>1237973</v>
      </c>
      <c r="AC30" s="14">
        <v>1378930</v>
      </c>
      <c r="AD30" s="14">
        <v>1428000</v>
      </c>
      <c r="AE30" s="14">
        <v>1576992.223</v>
      </c>
      <c r="AF30" s="14">
        <v>1646230.3929999999</v>
      </c>
      <c r="AG30" s="3">
        <v>1427999712</v>
      </c>
      <c r="AH30" s="3">
        <f t="shared" si="8"/>
        <v>1427999.7120000001</v>
      </c>
      <c r="AJ30" s="3">
        <v>1576992223</v>
      </c>
      <c r="AK30" s="3">
        <f t="shared" si="9"/>
        <v>1576992.223</v>
      </c>
      <c r="AM30" s="3">
        <v>1646230393</v>
      </c>
      <c r="AN30" s="3">
        <f>AM30/1000</f>
        <v>1646230.3929999999</v>
      </c>
      <c r="AO30" s="3">
        <v>1688224640</v>
      </c>
      <c r="AP30" s="3">
        <f>AO30/1000</f>
        <v>1688224.64</v>
      </c>
      <c r="AR30" s="3">
        <v>1969194495</v>
      </c>
      <c r="AS30" s="3">
        <f>AR30/1000</f>
        <v>1969194.4950000001</v>
      </c>
      <c r="AU30" s="217">
        <v>2064855344</v>
      </c>
      <c r="AV30" s="3">
        <f>AU30/1000</f>
        <v>2064855.344</v>
      </c>
      <c r="AX30" s="3">
        <v>2144973294.9299998</v>
      </c>
      <c r="AY30" s="3">
        <f>AX30/1000</f>
        <v>2144973.2949299999</v>
      </c>
      <c r="BA30" s="3">
        <v>2447011977.3600011</v>
      </c>
      <c r="BB30" s="3">
        <f>BA30/1000</f>
        <v>2447011.9773600013</v>
      </c>
      <c r="BC30" s="3">
        <v>2218450723.3399997</v>
      </c>
      <c r="BD30" s="3">
        <f>BC30/1000</f>
        <v>2218450.7233399996</v>
      </c>
      <c r="BE30" s="3">
        <v>2548548732.2599998</v>
      </c>
      <c r="BF30" s="3">
        <f>BE30/1000</f>
        <v>2548548.73226</v>
      </c>
      <c r="BG30" s="3">
        <v>2572931850.3900003</v>
      </c>
      <c r="BH30" s="3">
        <f t="shared" si="12"/>
        <v>2572931.8503900003</v>
      </c>
      <c r="BI30" s="3">
        <v>2771638696.2199998</v>
      </c>
      <c r="BJ30" s="3">
        <f t="shared" si="10"/>
        <v>2771638.6962199998</v>
      </c>
      <c r="BK30" s="3">
        <v>2684252136.3499999</v>
      </c>
      <c r="BL30" s="3">
        <f t="shared" si="11"/>
        <v>2684252.1363499998</v>
      </c>
    </row>
    <row r="31" spans="1:64">
      <c r="A31" s="1" t="s">
        <v>22</v>
      </c>
      <c r="B31" s="14">
        <v>1339181</v>
      </c>
      <c r="C31" s="14">
        <v>1497806</v>
      </c>
      <c r="D31" s="14">
        <v>1564106.889</v>
      </c>
      <c r="E31" s="14">
        <v>1663485.82703</v>
      </c>
      <c r="F31" s="14">
        <v>1973061.2135599996</v>
      </c>
      <c r="G31" s="14">
        <v>1944031.0657799996</v>
      </c>
      <c r="H31" s="14">
        <v>1934744.9437800003</v>
      </c>
      <c r="I31" s="14">
        <v>1961246.7911799999</v>
      </c>
      <c r="J31" s="14">
        <v>1844986.3964</v>
      </c>
      <c r="K31" s="14">
        <v>2004034.5841900001</v>
      </c>
      <c r="L31" s="239">
        <f>(K31-J31)*100/J31</f>
        <v>8.6205615445371482</v>
      </c>
      <c r="M31" s="239">
        <f t="shared" si="7"/>
        <v>55.661777779672001</v>
      </c>
      <c r="N31" s="14">
        <v>395902</v>
      </c>
      <c r="O31" s="14">
        <v>432442</v>
      </c>
      <c r="P31" s="14">
        <v>468527</v>
      </c>
      <c r="Q31" s="14">
        <v>531025</v>
      </c>
      <c r="R31" s="14">
        <v>580693</v>
      </c>
      <c r="S31" s="14">
        <v>640323</v>
      </c>
      <c r="T31" s="14">
        <v>675182</v>
      </c>
      <c r="U31" s="14">
        <v>664194</v>
      </c>
      <c r="V31" s="14">
        <f>711133024/1000</f>
        <v>711133.02399999998</v>
      </c>
      <c r="W31" s="14">
        <v>763950</v>
      </c>
      <c r="X31" s="14">
        <v>826347</v>
      </c>
      <c r="Y31" s="14">
        <v>821745</v>
      </c>
      <c r="Z31" s="206">
        <v>859239</v>
      </c>
      <c r="AA31" s="30">
        <v>945164</v>
      </c>
      <c r="AB31" s="14">
        <v>1024886</v>
      </c>
      <c r="AC31" s="14">
        <v>1083849</v>
      </c>
      <c r="AD31" s="14">
        <v>1146780</v>
      </c>
      <c r="AE31" s="14">
        <v>1252257.452</v>
      </c>
      <c r="AF31" s="14">
        <v>1287428.817</v>
      </c>
      <c r="AG31" s="3">
        <v>1146780049</v>
      </c>
      <c r="AH31" s="3">
        <f t="shared" si="8"/>
        <v>1146780.0490000001</v>
      </c>
      <c r="AJ31" s="3">
        <v>1252257452</v>
      </c>
      <c r="AK31" s="3">
        <f t="shared" si="9"/>
        <v>1252257.452</v>
      </c>
      <c r="AM31" s="3">
        <v>1287428817</v>
      </c>
      <c r="AN31" s="3">
        <f>AM31/1000</f>
        <v>1287428.817</v>
      </c>
      <c r="AO31" s="3">
        <v>1339181147</v>
      </c>
      <c r="AP31" s="3">
        <f>AO31/1000</f>
        <v>1339181.1470000001</v>
      </c>
      <c r="AR31" s="3">
        <v>1497805561</v>
      </c>
      <c r="AS31" s="3">
        <f>AR31/1000</f>
        <v>1497805.561</v>
      </c>
      <c r="AU31" s="217">
        <v>1564106889</v>
      </c>
      <c r="AV31" s="3">
        <f>AU31/1000</f>
        <v>1564106.889</v>
      </c>
      <c r="AX31" s="3">
        <v>1663485827.03</v>
      </c>
      <c r="AY31" s="3">
        <f>AX31/1000</f>
        <v>1663485.82703</v>
      </c>
      <c r="BA31" s="3">
        <v>1973061213.5599997</v>
      </c>
      <c r="BB31" s="3">
        <f>BA31/1000</f>
        <v>1973061.2135599996</v>
      </c>
      <c r="BC31" s="3">
        <v>1944031065.7799995</v>
      </c>
      <c r="BD31" s="3">
        <f>BC31/1000</f>
        <v>1944031.0657799996</v>
      </c>
      <c r="BE31" s="3">
        <v>1934744943.7800002</v>
      </c>
      <c r="BF31" s="3">
        <f>BE31/1000</f>
        <v>1934744.9437800003</v>
      </c>
      <c r="BG31" s="3">
        <v>1961246791.1799998</v>
      </c>
      <c r="BH31" s="3">
        <f t="shared" si="12"/>
        <v>1961246.7911799999</v>
      </c>
      <c r="BI31" s="3">
        <v>1844986396.3999999</v>
      </c>
      <c r="BJ31" s="3">
        <f t="shared" si="10"/>
        <v>1844986.3964</v>
      </c>
      <c r="BK31" s="3">
        <v>2004034584.1900001</v>
      </c>
      <c r="BL31" s="3">
        <f t="shared" si="11"/>
        <v>2004034.5841900001</v>
      </c>
    </row>
    <row r="32" spans="1:64">
      <c r="A32" s="1" t="s">
        <v>23</v>
      </c>
      <c r="B32" s="14">
        <v>78182</v>
      </c>
      <c r="C32" s="14">
        <v>72774</v>
      </c>
      <c r="D32" s="14">
        <v>82685.971000000005</v>
      </c>
      <c r="E32" s="14">
        <v>96872.83103999999</v>
      </c>
      <c r="F32" s="14">
        <v>109666.66805999998</v>
      </c>
      <c r="G32" s="14">
        <v>102707.59561999996</v>
      </c>
      <c r="H32" s="14">
        <v>99158.520359999995</v>
      </c>
      <c r="I32" s="14">
        <v>110985.48738999998</v>
      </c>
      <c r="J32" s="14">
        <v>108235.05923</v>
      </c>
      <c r="K32" s="14">
        <v>101253.98652999999</v>
      </c>
      <c r="L32" s="239">
        <f>(K32-J32)*100/J32</f>
        <v>-6.4499181223388931</v>
      </c>
      <c r="M32" s="239">
        <f t="shared" si="7"/>
        <v>28.276639503790495</v>
      </c>
      <c r="N32" s="14">
        <v>16469</v>
      </c>
      <c r="O32" s="14">
        <v>18756</v>
      </c>
      <c r="P32" s="14">
        <v>21273</v>
      </c>
      <c r="Q32" s="14">
        <v>22874</v>
      </c>
      <c r="R32" s="14">
        <v>25813</v>
      </c>
      <c r="S32" s="14">
        <v>29112</v>
      </c>
      <c r="T32" s="14">
        <v>36028</v>
      </c>
      <c r="U32" s="14">
        <v>34293</v>
      </c>
      <c r="V32" s="14">
        <f>34947367/1000</f>
        <v>34947.366999999998</v>
      </c>
      <c r="W32" s="14">
        <v>37589</v>
      </c>
      <c r="X32" s="14">
        <v>44283</v>
      </c>
      <c r="Y32" s="14">
        <v>41631</v>
      </c>
      <c r="Z32" s="206">
        <v>50019</v>
      </c>
      <c r="AA32" s="36">
        <v>60237</v>
      </c>
      <c r="AB32" s="14">
        <v>57468</v>
      </c>
      <c r="AC32" s="14">
        <v>54876</v>
      </c>
      <c r="AD32" s="14">
        <v>67339</v>
      </c>
      <c r="AE32" s="14">
        <v>66048.986999999994</v>
      </c>
      <c r="AF32" s="14">
        <v>78934.081000000006</v>
      </c>
      <c r="AG32" s="3">
        <v>67339094</v>
      </c>
      <c r="AH32" s="3">
        <f t="shared" si="8"/>
        <v>67339.093999999997</v>
      </c>
      <c r="AJ32" s="3">
        <v>66048987</v>
      </c>
      <c r="AK32" s="3">
        <f t="shared" si="9"/>
        <v>66048.986999999994</v>
      </c>
      <c r="AM32" s="3">
        <v>78934081</v>
      </c>
      <c r="AN32" s="3">
        <f>AM32/1000</f>
        <v>78934.081000000006</v>
      </c>
      <c r="AO32" s="3">
        <v>78182479</v>
      </c>
      <c r="AP32" s="3">
        <f>AO32/1000</f>
        <v>78182.479000000007</v>
      </c>
      <c r="AR32" s="3">
        <v>72774055</v>
      </c>
      <c r="AS32" s="3">
        <f>AR32/1000</f>
        <v>72774.054999999993</v>
      </c>
      <c r="AU32" s="217">
        <v>82685971</v>
      </c>
      <c r="AV32" s="3">
        <f>AU32/1000</f>
        <v>82685.971000000005</v>
      </c>
      <c r="AX32" s="3">
        <v>96872831.039999992</v>
      </c>
      <c r="AY32" s="3">
        <f>AX32/1000</f>
        <v>96872.83103999999</v>
      </c>
      <c r="BA32" s="3">
        <v>109666668.05999999</v>
      </c>
      <c r="BB32" s="3">
        <f>BA32/1000</f>
        <v>109666.66805999998</v>
      </c>
      <c r="BC32" s="3">
        <v>102707595.61999996</v>
      </c>
      <c r="BD32" s="3">
        <f>BC32/1000</f>
        <v>102707.59561999996</v>
      </c>
      <c r="BE32" s="3">
        <v>99158520.359999999</v>
      </c>
      <c r="BF32" s="3">
        <f>BE32/1000</f>
        <v>99158.520359999995</v>
      </c>
      <c r="BG32" s="3">
        <v>110985487.38999999</v>
      </c>
      <c r="BH32" s="3">
        <f t="shared" si="12"/>
        <v>110985.48738999998</v>
      </c>
      <c r="BI32" s="3">
        <v>108235059.23</v>
      </c>
      <c r="BJ32" s="3">
        <f t="shared" si="10"/>
        <v>108235.05923</v>
      </c>
      <c r="BK32" s="3">
        <v>101253986.53</v>
      </c>
      <c r="BL32" s="3">
        <f t="shared" si="11"/>
        <v>101253.98652999999</v>
      </c>
    </row>
    <row r="33" spans="1:64">
      <c r="A33" s="1" t="s">
        <v>24</v>
      </c>
      <c r="B33" s="14">
        <v>153351</v>
      </c>
      <c r="C33" s="14">
        <v>164853</v>
      </c>
      <c r="D33" s="14">
        <v>178967.58600000001</v>
      </c>
      <c r="E33" s="14">
        <v>183901.83767000004</v>
      </c>
      <c r="F33" s="14">
        <v>205448.63781000001</v>
      </c>
      <c r="G33" s="14">
        <v>223163.80486</v>
      </c>
      <c r="H33" s="14">
        <v>223815.1801</v>
      </c>
      <c r="I33" s="14">
        <v>223792.93255999999</v>
      </c>
      <c r="J33" s="14">
        <v>220874.97082000002</v>
      </c>
      <c r="K33" s="14">
        <v>224882.65705000007</v>
      </c>
      <c r="L33" s="239">
        <f>(K33-J33)*100/J33</f>
        <v>1.8144592006606655</v>
      </c>
      <c r="M33" s="239">
        <f t="shared" si="7"/>
        <v>51.522343294998961</v>
      </c>
      <c r="N33" s="14">
        <v>39904</v>
      </c>
      <c r="O33" s="14">
        <v>42081</v>
      </c>
      <c r="P33" s="14">
        <v>46974</v>
      </c>
      <c r="Q33" s="14">
        <v>51579</v>
      </c>
      <c r="R33" s="14">
        <v>58136</v>
      </c>
      <c r="S33" s="14">
        <v>62134</v>
      </c>
      <c r="T33" s="14">
        <v>71488</v>
      </c>
      <c r="U33" s="14">
        <v>79262</v>
      </c>
      <c r="V33" s="14">
        <f>82513977/1000</f>
        <v>82513.976999999999</v>
      </c>
      <c r="W33" s="14">
        <v>83070</v>
      </c>
      <c r="X33" s="14">
        <v>84343</v>
      </c>
      <c r="Y33" s="14">
        <v>90840</v>
      </c>
      <c r="Z33" s="206">
        <v>106212</v>
      </c>
      <c r="AA33" s="36">
        <v>111050</v>
      </c>
      <c r="AB33" s="14">
        <v>117312</v>
      </c>
      <c r="AC33" s="14">
        <v>125397</v>
      </c>
      <c r="AD33" s="14">
        <v>131234</v>
      </c>
      <c r="AE33" s="14">
        <v>151607.57999999999</v>
      </c>
      <c r="AF33" s="14">
        <v>148415.50899999999</v>
      </c>
      <c r="AG33" s="3">
        <v>131233743</v>
      </c>
      <c r="AH33" s="3">
        <f t="shared" si="8"/>
        <v>131233.74299999999</v>
      </c>
      <c r="AJ33" s="3">
        <v>151607580</v>
      </c>
      <c r="AK33" s="3">
        <f t="shared" si="9"/>
        <v>151607.57999999999</v>
      </c>
      <c r="AM33" s="3">
        <v>148415509</v>
      </c>
      <c r="AN33" s="3">
        <f>AM33/1000</f>
        <v>148415.50899999999</v>
      </c>
      <c r="AO33" s="3">
        <v>153350968</v>
      </c>
      <c r="AP33" s="3">
        <f>AO33/1000</f>
        <v>153350.96799999999</v>
      </c>
      <c r="AR33" s="3">
        <v>164853300</v>
      </c>
      <c r="AS33" s="3">
        <f>AR33/1000</f>
        <v>164853.29999999999</v>
      </c>
      <c r="AU33" s="217">
        <v>178967586</v>
      </c>
      <c r="AV33" s="3">
        <f>AU33/1000</f>
        <v>178967.58600000001</v>
      </c>
      <c r="AX33" s="3">
        <v>183901837.67000005</v>
      </c>
      <c r="AY33" s="3">
        <f>AX33/1000</f>
        <v>183901.83767000004</v>
      </c>
      <c r="BA33" s="3">
        <v>205448637.81</v>
      </c>
      <c r="BB33" s="3">
        <f>BA33/1000</f>
        <v>205448.63781000001</v>
      </c>
      <c r="BC33" s="3">
        <v>223163804.86000001</v>
      </c>
      <c r="BD33" s="3">
        <f>BC33/1000</f>
        <v>223163.80486</v>
      </c>
      <c r="BE33" s="3">
        <v>223815180.09999999</v>
      </c>
      <c r="BF33" s="3">
        <f>BE33/1000</f>
        <v>223815.1801</v>
      </c>
      <c r="BG33" s="3">
        <v>223792932.55999997</v>
      </c>
      <c r="BH33" s="3">
        <f t="shared" si="12"/>
        <v>223792.93255999999</v>
      </c>
      <c r="BI33" s="3">
        <v>220874970.82000002</v>
      </c>
      <c r="BJ33" s="3">
        <f t="shared" si="10"/>
        <v>220874.97082000002</v>
      </c>
      <c r="BK33" s="3">
        <v>224882657.05000007</v>
      </c>
      <c r="BL33" s="3">
        <f t="shared" si="11"/>
        <v>224882.65705000007</v>
      </c>
    </row>
    <row r="34" spans="1:64">
      <c r="A34" s="1" t="s">
        <v>25</v>
      </c>
      <c r="B34" s="14">
        <v>30398</v>
      </c>
      <c r="C34" s="14">
        <v>32610</v>
      </c>
      <c r="D34" s="14">
        <v>36621.817000000003</v>
      </c>
      <c r="E34" s="14">
        <v>37620.780450000006</v>
      </c>
      <c r="F34" s="14">
        <v>49011.552759999999</v>
      </c>
      <c r="G34" s="14">
        <v>47038.863130000005</v>
      </c>
      <c r="H34" s="14">
        <v>53884.076460000011</v>
      </c>
      <c r="I34" s="14">
        <v>50054.807710000008</v>
      </c>
      <c r="J34" s="14">
        <v>45464.352960000004</v>
      </c>
      <c r="K34" s="14">
        <v>42023.987950000002</v>
      </c>
      <c r="L34" s="239">
        <f>(K34-J34)*100/J34</f>
        <v>-7.5671702905941922</v>
      </c>
      <c r="M34" s="239">
        <f t="shared" si="7"/>
        <v>18.310610345424625</v>
      </c>
      <c r="N34" s="14">
        <v>10709</v>
      </c>
      <c r="O34" s="14">
        <v>11891</v>
      </c>
      <c r="P34" s="14">
        <v>12405</v>
      </c>
      <c r="Q34" s="14">
        <v>13549</v>
      </c>
      <c r="R34" s="14">
        <v>15646</v>
      </c>
      <c r="S34" s="14">
        <v>16856</v>
      </c>
      <c r="T34" s="14">
        <v>17828</v>
      </c>
      <c r="U34" s="14">
        <v>17937</v>
      </c>
      <c r="V34" s="14">
        <f>19243068/1000</f>
        <v>19243.067999999999</v>
      </c>
      <c r="W34" s="14">
        <v>20480</v>
      </c>
      <c r="X34" s="14">
        <v>21340</v>
      </c>
      <c r="Y34" s="14">
        <v>24058</v>
      </c>
      <c r="Z34" s="206">
        <v>24780</v>
      </c>
      <c r="AA34" s="36">
        <v>25183</v>
      </c>
      <c r="AB34" s="14">
        <v>24663</v>
      </c>
      <c r="AC34" s="14">
        <v>26077</v>
      </c>
      <c r="AD34" s="14">
        <v>26565</v>
      </c>
      <c r="AE34" s="14">
        <v>27851.048999999999</v>
      </c>
      <c r="AF34" s="14">
        <v>35520.050000000003</v>
      </c>
      <c r="AG34" s="3">
        <v>26565331</v>
      </c>
      <c r="AH34" s="3">
        <f t="shared" si="8"/>
        <v>26565.330999999998</v>
      </c>
      <c r="AJ34" s="3">
        <v>27851049</v>
      </c>
      <c r="AK34" s="3">
        <f t="shared" si="9"/>
        <v>27851.048999999999</v>
      </c>
      <c r="AM34" s="3">
        <v>35520050</v>
      </c>
      <c r="AN34" s="3">
        <f>AM34/1000</f>
        <v>35520.050000000003</v>
      </c>
      <c r="AO34" s="3">
        <v>30398367</v>
      </c>
      <c r="AP34" s="3">
        <f>AO34/1000</f>
        <v>30398.366999999998</v>
      </c>
      <c r="AR34" s="3">
        <v>32610484</v>
      </c>
      <c r="AS34" s="3">
        <f>AR34/1000</f>
        <v>32610.484</v>
      </c>
      <c r="AU34" s="217">
        <v>36621817</v>
      </c>
      <c r="AV34" s="3">
        <f>AU34/1000</f>
        <v>36621.817000000003</v>
      </c>
      <c r="AX34" s="3">
        <v>37620780.450000003</v>
      </c>
      <c r="AY34" s="3">
        <f>AX34/1000</f>
        <v>37620.780450000006</v>
      </c>
      <c r="BA34" s="3">
        <v>49011552.759999998</v>
      </c>
      <c r="BB34" s="3">
        <f>BA34/1000</f>
        <v>49011.552759999999</v>
      </c>
      <c r="BC34" s="3">
        <v>47038863.130000003</v>
      </c>
      <c r="BD34" s="3">
        <f>BC34/1000</f>
        <v>47038.863130000005</v>
      </c>
      <c r="BE34" s="3">
        <v>53884076.460000008</v>
      </c>
      <c r="BF34" s="3">
        <f>BE34/1000</f>
        <v>53884.076460000011</v>
      </c>
      <c r="BG34" s="3">
        <v>50054807.710000008</v>
      </c>
      <c r="BH34" s="3">
        <f t="shared" si="12"/>
        <v>50054.807710000008</v>
      </c>
      <c r="BI34" s="3">
        <v>45464352.960000001</v>
      </c>
      <c r="BJ34" s="3">
        <f t="shared" si="10"/>
        <v>45464.352960000004</v>
      </c>
      <c r="BK34" s="3">
        <v>42023987.950000003</v>
      </c>
      <c r="BL34" s="3">
        <f t="shared" si="11"/>
        <v>42023.987950000002</v>
      </c>
    </row>
    <row r="35" spans="1:64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239"/>
      <c r="M35" s="239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206"/>
      <c r="AA35" s="14"/>
      <c r="AB35" s="14"/>
      <c r="AC35" s="14"/>
      <c r="AD35" s="14"/>
      <c r="AE35" s="14"/>
      <c r="AF35" s="14"/>
      <c r="AU35" s="217"/>
    </row>
    <row r="36" spans="1:64">
      <c r="A36" s="1" t="s">
        <v>26</v>
      </c>
      <c r="B36" s="14">
        <v>42924</v>
      </c>
      <c r="C36" s="14">
        <v>43510</v>
      </c>
      <c r="D36" s="14">
        <v>46882.442999999999</v>
      </c>
      <c r="E36" s="14">
        <v>48761.397340000003</v>
      </c>
      <c r="F36" s="14">
        <v>62926.546070000011</v>
      </c>
      <c r="G36" s="14">
        <v>63594.621900000006</v>
      </c>
      <c r="H36" s="14">
        <v>56709.420859999991</v>
      </c>
      <c r="I36" s="14">
        <v>56620.598749999997</v>
      </c>
      <c r="J36" s="14">
        <v>56108.275590000005</v>
      </c>
      <c r="K36" s="14">
        <v>57978.511340000005</v>
      </c>
      <c r="L36" s="239">
        <f>(K36-J36)*100/J36</f>
        <v>3.333261859028378</v>
      </c>
      <c r="M36" s="239">
        <f t="shared" si="7"/>
        <v>24.947734365502544</v>
      </c>
      <c r="N36" s="14">
        <v>13227</v>
      </c>
      <c r="O36" s="14">
        <v>14159</v>
      </c>
      <c r="P36" s="14">
        <v>14928</v>
      </c>
      <c r="Q36" s="14">
        <v>16827</v>
      </c>
      <c r="R36" s="14">
        <v>18561</v>
      </c>
      <c r="S36" s="14">
        <v>22468</v>
      </c>
      <c r="T36" s="14">
        <v>22001</v>
      </c>
      <c r="U36" s="14">
        <v>24187</v>
      </c>
      <c r="V36" s="14">
        <f>23330622/1000</f>
        <v>23330.621999999999</v>
      </c>
      <c r="W36" s="14">
        <v>28560</v>
      </c>
      <c r="X36" s="14">
        <v>28062</v>
      </c>
      <c r="Y36" s="14">
        <v>29579</v>
      </c>
      <c r="Z36" s="206">
        <v>35210</v>
      </c>
      <c r="AA36" s="14">
        <v>34454</v>
      </c>
      <c r="AB36" s="14">
        <v>33752</v>
      </c>
      <c r="AC36" s="14">
        <v>33717</v>
      </c>
      <c r="AD36" s="14">
        <v>41669</v>
      </c>
      <c r="AE36" s="14">
        <v>45253.749000000003</v>
      </c>
      <c r="AF36" s="14">
        <v>46402.211000000003</v>
      </c>
      <c r="AG36" s="3">
        <v>41668758</v>
      </c>
      <c r="AH36" s="3">
        <f t="shared" si="8"/>
        <v>41668.758000000002</v>
      </c>
      <c r="AJ36" s="3">
        <v>45253749</v>
      </c>
      <c r="AK36" s="3">
        <f t="shared" si="9"/>
        <v>45253.749000000003</v>
      </c>
      <c r="AM36" s="3">
        <v>46402211</v>
      </c>
      <c r="AN36" s="3">
        <f>AM36/1000</f>
        <v>46402.211000000003</v>
      </c>
      <c r="AO36" s="3">
        <v>42923896</v>
      </c>
      <c r="AP36" s="3">
        <f>AO36/1000</f>
        <v>42923.896000000001</v>
      </c>
      <c r="AR36" s="3">
        <v>43510095</v>
      </c>
      <c r="AS36" s="3">
        <f>AR36/1000</f>
        <v>43510.095000000001</v>
      </c>
      <c r="AU36" s="217">
        <v>46882443</v>
      </c>
      <c r="AV36" s="3">
        <f>AU36/1000</f>
        <v>46882.442999999999</v>
      </c>
      <c r="AX36" s="3">
        <v>48761397.340000004</v>
      </c>
      <c r="AY36" s="3">
        <f>AX36/1000</f>
        <v>48761.397340000003</v>
      </c>
      <c r="BA36" s="3">
        <v>62926546.070000008</v>
      </c>
      <c r="BB36" s="3">
        <f>BA36/1000</f>
        <v>62926.546070000011</v>
      </c>
      <c r="BC36" s="3">
        <v>63594621.900000006</v>
      </c>
      <c r="BD36" s="3">
        <f>BC36/1000</f>
        <v>63594.621900000006</v>
      </c>
      <c r="BE36" s="3">
        <v>56709420.859999992</v>
      </c>
      <c r="BF36" s="3">
        <f>BE36/1000</f>
        <v>56709.420859999991</v>
      </c>
      <c r="BG36" s="3">
        <v>56620598.75</v>
      </c>
      <c r="BH36" s="3">
        <f t="shared" si="12"/>
        <v>56620.598749999997</v>
      </c>
      <c r="BI36" s="3">
        <v>56108275.590000004</v>
      </c>
      <c r="BJ36" s="3">
        <f t="shared" si="10"/>
        <v>56108.275590000005</v>
      </c>
      <c r="BK36" s="3">
        <v>57978511.340000004</v>
      </c>
      <c r="BL36" s="3">
        <f t="shared" si="11"/>
        <v>57978.511340000005</v>
      </c>
    </row>
    <row r="37" spans="1:64">
      <c r="A37" s="1" t="s">
        <v>27</v>
      </c>
      <c r="B37" s="14">
        <v>182887</v>
      </c>
      <c r="C37" s="14">
        <v>197473</v>
      </c>
      <c r="D37" s="14">
        <v>217420.878</v>
      </c>
      <c r="E37" s="14">
        <v>236894.68472999995</v>
      </c>
      <c r="F37" s="14">
        <v>305300.21220000007</v>
      </c>
      <c r="G37" s="14">
        <v>326238.66884000006</v>
      </c>
      <c r="H37" s="14">
        <v>293793.52243000001</v>
      </c>
      <c r="I37" s="14">
        <v>308026.20310999994</v>
      </c>
      <c r="J37" s="14">
        <v>296788.05143000005</v>
      </c>
      <c r="K37" s="14">
        <v>304048.91123999993</v>
      </c>
      <c r="L37" s="239">
        <f>(K37-J37)*100/J37</f>
        <v>2.4464798279496818</v>
      </c>
      <c r="M37" s="239">
        <f t="shared" si="7"/>
        <v>78.013469845358642</v>
      </c>
      <c r="N37" s="14">
        <v>62225</v>
      </c>
      <c r="O37" s="14">
        <v>68136</v>
      </c>
      <c r="P37" s="14">
        <v>72445</v>
      </c>
      <c r="Q37" s="14">
        <v>79258</v>
      </c>
      <c r="R37" s="14">
        <v>84925</v>
      </c>
      <c r="S37" s="14">
        <v>94217</v>
      </c>
      <c r="T37" s="14">
        <v>101062</v>
      </c>
      <c r="U37" s="14">
        <v>105017</v>
      </c>
      <c r="V37" s="14">
        <f>116866349/1000</f>
        <v>116866.349</v>
      </c>
      <c r="W37" s="14">
        <v>112882</v>
      </c>
      <c r="X37" s="14">
        <v>123671</v>
      </c>
      <c r="Y37" s="14">
        <v>121964</v>
      </c>
      <c r="Z37" s="206">
        <v>132147</v>
      </c>
      <c r="AA37" s="14">
        <v>133133</v>
      </c>
      <c r="AB37" s="14">
        <v>142354</v>
      </c>
      <c r="AC37" s="14">
        <v>151647</v>
      </c>
      <c r="AD37" s="14">
        <v>154921</v>
      </c>
      <c r="AE37" s="14">
        <v>166028.47500000001</v>
      </c>
      <c r="AF37" s="14">
        <v>170801.07</v>
      </c>
      <c r="AG37" s="3">
        <v>154920905</v>
      </c>
      <c r="AH37" s="3">
        <f t="shared" si="8"/>
        <v>154920.905</v>
      </c>
      <c r="AJ37" s="3">
        <v>166028475</v>
      </c>
      <c r="AK37" s="3">
        <f t="shared" si="9"/>
        <v>166028.47500000001</v>
      </c>
      <c r="AM37" s="3">
        <v>170801070</v>
      </c>
      <c r="AN37" s="3">
        <f>AM37/1000</f>
        <v>170801.07</v>
      </c>
      <c r="AO37" s="3">
        <v>182886879</v>
      </c>
      <c r="AP37" s="3">
        <f>AO37/1000</f>
        <v>182886.87899999999</v>
      </c>
      <c r="AR37" s="3">
        <v>197472528</v>
      </c>
      <c r="AS37" s="3">
        <f>AR37/1000</f>
        <v>197472.52799999999</v>
      </c>
      <c r="AU37" s="218">
        <v>217420878</v>
      </c>
      <c r="AV37" s="3">
        <f>AU37/1000</f>
        <v>217420.878</v>
      </c>
      <c r="AX37" s="3">
        <v>236894684.72999996</v>
      </c>
      <c r="AY37" s="3">
        <f>AX37/1000</f>
        <v>236894.68472999995</v>
      </c>
      <c r="BA37" s="3">
        <v>305300212.20000005</v>
      </c>
      <c r="BB37" s="3">
        <f>BA37/1000</f>
        <v>305300.21220000007</v>
      </c>
      <c r="BC37" s="3">
        <v>326238668.84000003</v>
      </c>
      <c r="BD37" s="3">
        <f>BC37/1000</f>
        <v>326238.66884000006</v>
      </c>
      <c r="BE37" s="3">
        <v>293793522.43000001</v>
      </c>
      <c r="BF37" s="3">
        <f>BE37/1000</f>
        <v>293793.52243000001</v>
      </c>
      <c r="BG37" s="3">
        <v>308026203.10999995</v>
      </c>
      <c r="BH37" s="3">
        <f t="shared" si="12"/>
        <v>308026.20310999994</v>
      </c>
      <c r="BI37" s="3">
        <v>296788051.43000007</v>
      </c>
      <c r="BJ37" s="3">
        <f t="shared" si="10"/>
        <v>296788.05143000005</v>
      </c>
      <c r="BK37" s="3">
        <v>304048911.23999995</v>
      </c>
      <c r="BL37" s="3">
        <f t="shared" si="11"/>
        <v>304048.91123999993</v>
      </c>
    </row>
    <row r="38" spans="1:64">
      <c r="A38" s="1" t="s">
        <v>28</v>
      </c>
      <c r="B38" s="14">
        <v>134582</v>
      </c>
      <c r="C38" s="14">
        <v>151669</v>
      </c>
      <c r="D38" s="14">
        <v>163271.31</v>
      </c>
      <c r="E38" s="14">
        <v>166108.34189000001</v>
      </c>
      <c r="F38" s="14">
        <v>194257.71067</v>
      </c>
      <c r="G38" s="14">
        <v>192873.42625000002</v>
      </c>
      <c r="H38" s="14">
        <v>229068.65484999999</v>
      </c>
      <c r="I38" s="14">
        <v>204934.82330000002</v>
      </c>
      <c r="J38" s="14">
        <v>194545.63028000001</v>
      </c>
      <c r="K38" s="14">
        <v>204783.37682999996</v>
      </c>
      <c r="L38" s="239">
        <f>(K38-J38)*100/J38</f>
        <v>5.2623883328889294</v>
      </c>
      <c r="M38" s="239">
        <f t="shared" si="7"/>
        <v>56.329829454205417</v>
      </c>
      <c r="N38" s="14">
        <v>38183</v>
      </c>
      <c r="O38" s="14">
        <v>41780</v>
      </c>
      <c r="P38" s="14">
        <v>43706</v>
      </c>
      <c r="Q38" s="14">
        <v>48370</v>
      </c>
      <c r="R38" s="14">
        <v>54737</v>
      </c>
      <c r="S38" s="14">
        <v>60121</v>
      </c>
      <c r="T38" s="14">
        <v>68605</v>
      </c>
      <c r="U38" s="14">
        <v>67973</v>
      </c>
      <c r="V38" s="14">
        <f>69860442/1000</f>
        <v>69860.441999999995</v>
      </c>
      <c r="W38" s="14">
        <v>75922</v>
      </c>
      <c r="X38" s="14">
        <v>82078</v>
      </c>
      <c r="Y38" s="14">
        <v>81099</v>
      </c>
      <c r="Z38" s="206">
        <v>95747</v>
      </c>
      <c r="AA38" s="14">
        <v>98242</v>
      </c>
      <c r="AB38" s="14">
        <v>115399</v>
      </c>
      <c r="AC38" s="14">
        <v>112003</v>
      </c>
      <c r="AD38" s="14">
        <v>117318</v>
      </c>
      <c r="AE38" s="14">
        <v>122076.503</v>
      </c>
      <c r="AF38" s="14">
        <v>130994.435</v>
      </c>
      <c r="AG38" s="3">
        <v>117318390</v>
      </c>
      <c r="AH38" s="3">
        <f t="shared" si="8"/>
        <v>117318.39</v>
      </c>
      <c r="AJ38" s="3">
        <v>122076503</v>
      </c>
      <c r="AK38" s="3">
        <f t="shared" si="9"/>
        <v>122076.503</v>
      </c>
      <c r="AM38" s="3">
        <v>130994435</v>
      </c>
      <c r="AN38" s="3">
        <f>AM38/1000</f>
        <v>130994.435</v>
      </c>
      <c r="AO38" s="3">
        <v>134581795</v>
      </c>
      <c r="AP38" s="3">
        <f>AO38/1000</f>
        <v>134581.79500000001</v>
      </c>
      <c r="AR38" s="3">
        <v>151668650</v>
      </c>
      <c r="AS38" s="3">
        <f>AR38/1000</f>
        <v>151668.65</v>
      </c>
      <c r="AU38" s="217">
        <v>163271310</v>
      </c>
      <c r="AV38" s="3">
        <f>AU38/1000</f>
        <v>163271.31</v>
      </c>
      <c r="AX38" s="3">
        <v>166108341.89000002</v>
      </c>
      <c r="AY38" s="3">
        <f>AX38/1000</f>
        <v>166108.34189000001</v>
      </c>
      <c r="BA38" s="3">
        <v>194257710.66999999</v>
      </c>
      <c r="BB38" s="3">
        <f>BA38/1000</f>
        <v>194257.71067</v>
      </c>
      <c r="BC38" s="3">
        <v>192873426.25000003</v>
      </c>
      <c r="BD38" s="3">
        <f>BC38/1000</f>
        <v>192873.42625000002</v>
      </c>
      <c r="BE38" s="3">
        <v>229068654.84999999</v>
      </c>
      <c r="BF38" s="3">
        <f>BE38/1000</f>
        <v>229068.65484999999</v>
      </c>
      <c r="BG38" s="3">
        <v>204934823.30000001</v>
      </c>
      <c r="BH38" s="3">
        <f t="shared" si="12"/>
        <v>204934.82330000002</v>
      </c>
      <c r="BI38" s="3">
        <v>194545630.28</v>
      </c>
      <c r="BJ38" s="3">
        <f t="shared" si="10"/>
        <v>194545.63028000001</v>
      </c>
      <c r="BK38" s="3">
        <v>204783376.82999995</v>
      </c>
      <c r="BL38" s="3">
        <f t="shared" si="11"/>
        <v>204783.37682999996</v>
      </c>
    </row>
    <row r="39" spans="1:64">
      <c r="A39" s="17" t="s">
        <v>29</v>
      </c>
      <c r="B39" s="14">
        <v>76180</v>
      </c>
      <c r="C39" s="14">
        <v>91352</v>
      </c>
      <c r="D39" s="14">
        <v>94936.293999999994</v>
      </c>
      <c r="E39" s="14">
        <v>93321.390330000024</v>
      </c>
      <c r="F39" s="14">
        <v>125068.49233000002</v>
      </c>
      <c r="G39" s="14">
        <v>135713.61137</v>
      </c>
      <c r="H39" s="14">
        <v>121325.89813</v>
      </c>
      <c r="I39" s="14">
        <v>120134.57029000003</v>
      </c>
      <c r="J39" s="14">
        <v>115159.15840000001</v>
      </c>
      <c r="K39" s="14">
        <v>109239.96055999999</v>
      </c>
      <c r="L39" s="239">
        <f>(K39-J39)*100/J39</f>
        <v>-5.1400148474860883</v>
      </c>
      <c r="M39" s="239">
        <f t="shared" si="7"/>
        <v>50.179269432581023</v>
      </c>
      <c r="N39" s="14">
        <v>20588</v>
      </c>
      <c r="O39" s="14">
        <v>23794</v>
      </c>
      <c r="P39" s="14">
        <v>26382</v>
      </c>
      <c r="Q39" s="14">
        <v>26532</v>
      </c>
      <c r="R39" s="14">
        <v>28854</v>
      </c>
      <c r="S39" s="14">
        <v>32852</v>
      </c>
      <c r="T39" s="14">
        <v>34998</v>
      </c>
      <c r="U39" s="24">
        <v>36617</v>
      </c>
      <c r="V39" s="24">
        <f>37961130/1000</f>
        <v>37961.129999999997</v>
      </c>
      <c r="W39" s="24">
        <v>41287</v>
      </c>
      <c r="X39" s="24">
        <v>42363</v>
      </c>
      <c r="Y39" s="14">
        <v>43527</v>
      </c>
      <c r="Z39" s="206">
        <v>53563</v>
      </c>
      <c r="AA39" s="14">
        <v>51654</v>
      </c>
      <c r="AB39" s="14">
        <v>54932</v>
      </c>
      <c r="AC39" s="14">
        <v>65711</v>
      </c>
      <c r="AD39" s="14">
        <v>65267</v>
      </c>
      <c r="AE39" s="14">
        <v>72554.786999999997</v>
      </c>
      <c r="AF39" s="14">
        <v>72739.706999999995</v>
      </c>
      <c r="AG39" s="3">
        <v>65267180</v>
      </c>
      <c r="AH39" s="3">
        <f t="shared" si="8"/>
        <v>65267.18</v>
      </c>
      <c r="AJ39" s="3">
        <v>72554787</v>
      </c>
      <c r="AK39" s="3">
        <f t="shared" si="9"/>
        <v>72554.786999999997</v>
      </c>
      <c r="AM39" s="3">
        <v>72739707</v>
      </c>
      <c r="AN39" s="3">
        <f>AM39/1000</f>
        <v>72739.706999999995</v>
      </c>
      <c r="AO39" s="3">
        <v>76179541</v>
      </c>
      <c r="AP39" s="3">
        <f>AO39/1000</f>
        <v>76179.540999999997</v>
      </c>
      <c r="AR39" s="3">
        <v>91351883</v>
      </c>
      <c r="AS39" s="3">
        <f>AR39/1000</f>
        <v>91351.883000000002</v>
      </c>
      <c r="AU39" s="219">
        <v>94936294</v>
      </c>
      <c r="AV39" s="3">
        <f>AU39/1000</f>
        <v>94936.293999999994</v>
      </c>
      <c r="AX39" s="3">
        <v>93321390.330000028</v>
      </c>
      <c r="AY39" s="3">
        <f>AX39/1000</f>
        <v>93321.390330000024</v>
      </c>
      <c r="BA39" s="3">
        <v>125068492.33000003</v>
      </c>
      <c r="BB39" s="3">
        <f>BA39/1000</f>
        <v>125068.49233000002</v>
      </c>
      <c r="BC39" s="3">
        <v>135713611.37</v>
      </c>
      <c r="BD39" s="3">
        <f>BC39/1000</f>
        <v>135713.61137</v>
      </c>
      <c r="BE39" s="3">
        <v>121325898.13</v>
      </c>
      <c r="BF39" s="3">
        <f>BE39/1000</f>
        <v>121325.89813</v>
      </c>
      <c r="BG39" s="3">
        <v>120134570.29000004</v>
      </c>
      <c r="BH39" s="3">
        <f t="shared" si="12"/>
        <v>120134.57029000003</v>
      </c>
      <c r="BI39" s="3">
        <v>115159158.40000002</v>
      </c>
      <c r="BJ39" s="3">
        <f t="shared" si="10"/>
        <v>115159.15840000001</v>
      </c>
      <c r="BK39" s="3">
        <v>109239960.55999999</v>
      </c>
      <c r="BL39" s="3">
        <f t="shared" si="11"/>
        <v>109239.96055999999</v>
      </c>
    </row>
    <row r="40" spans="1:64">
      <c r="A40" s="1" t="s">
        <v>298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Q40" s="19"/>
      <c r="R40" s="19"/>
      <c r="S40" s="19"/>
      <c r="T40" s="19"/>
      <c r="X40" s="18"/>
      <c r="Y40" s="19"/>
      <c r="AA40" s="18"/>
      <c r="AB40" s="7"/>
      <c r="AD40" s="18"/>
      <c r="AE40" s="7"/>
      <c r="AF40" s="7"/>
    </row>
    <row r="41" spans="1:64">
      <c r="A41" s="1" t="s">
        <v>228</v>
      </c>
      <c r="Q41" s="14"/>
      <c r="R41" s="14"/>
      <c r="S41" s="14"/>
      <c r="T41" s="14"/>
      <c r="Y41" s="14"/>
    </row>
    <row r="42" spans="1:64">
      <c r="Q42" s="14"/>
      <c r="R42" s="14"/>
      <c r="S42" s="14"/>
      <c r="T42" s="14"/>
      <c r="Y42" s="14"/>
    </row>
    <row r="43" spans="1:64">
      <c r="Q43" s="14"/>
      <c r="R43" s="14"/>
      <c r="S43" s="14"/>
      <c r="T43" s="14"/>
      <c r="Y43" s="14"/>
    </row>
    <row r="44" spans="1:64">
      <c r="Q44" s="14"/>
      <c r="R44" s="14"/>
      <c r="S44" s="14"/>
      <c r="T44" s="14"/>
      <c r="Y44" s="14"/>
    </row>
    <row r="45" spans="1:64">
      <c r="Q45" s="14"/>
      <c r="R45" s="14"/>
      <c r="S45" s="14"/>
      <c r="T45" s="14"/>
      <c r="Y45" s="14"/>
    </row>
    <row r="46" spans="1:64">
      <c r="Y46" s="14"/>
    </row>
    <row r="47" spans="1:64">
      <c r="Y47" s="14"/>
    </row>
    <row r="48" spans="1:64">
      <c r="Y48" s="14"/>
    </row>
    <row r="49" spans="25:25">
      <c r="Y49" s="14"/>
    </row>
    <row r="50" spans="25:25">
      <c r="Y50" s="14"/>
    </row>
    <row r="51" spans="25:25">
      <c r="Y51" s="14"/>
    </row>
    <row r="52" spans="25:25">
      <c r="Y52" s="14"/>
    </row>
  </sheetData>
  <sheetProtection password="CAF5" sheet="1" objects="1" scenarios="1"/>
  <mergeCells count="10">
    <mergeCell ref="AR9:AS9"/>
    <mergeCell ref="AO9:AP9"/>
    <mergeCell ref="AM9:AN9"/>
    <mergeCell ref="AG9:AH9"/>
    <mergeCell ref="AJ9:AK9"/>
    <mergeCell ref="BI7:BJ7"/>
    <mergeCell ref="BK7:BL7"/>
    <mergeCell ref="BG7:BH7"/>
    <mergeCell ref="A4:M4"/>
    <mergeCell ref="BA6:BB7"/>
  </mergeCells>
  <phoneticPr fontId="2" type="noConversion"/>
  <printOptions horizontalCentered="1"/>
  <pageMargins left="0.56000000000000005" right="0.48" top="1" bottom="1" header="0.5" footer="0.5"/>
  <pageSetup scale="76" orientation="landscape" horizontalDpi="4294967292" verticalDpi="4294967292" r:id="rId1"/>
  <headerFooter scaleWithDoc="0" alignWithMargins="0">
    <oddFooter>&amp;L&amp;"Arial,Italic"&amp;10MSDE - LFRO   12 / 2014&amp;C&amp;"Arial,Regular"&amp;10- 6 -&amp;R&amp;"Arial,Italic"&amp;10Selected Financial Data - Part 4</oddFooter>
  </headerFooter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CH72"/>
  <sheetViews>
    <sheetView topLeftCell="A3" zoomScaleNormal="100" workbookViewId="0">
      <selection activeCell="A3" sqref="A3"/>
    </sheetView>
  </sheetViews>
  <sheetFormatPr defaultColWidth="10" defaultRowHeight="12.75"/>
  <cols>
    <col min="1" max="1" width="12.875" style="1" customWidth="1"/>
    <col min="2" max="2" width="11.5" style="1" customWidth="1"/>
    <col min="3" max="3" width="10.625" style="1" customWidth="1"/>
    <col min="4" max="5" width="10.5" style="1" customWidth="1"/>
    <col min="6" max="9" width="12.625" style="1" customWidth="1"/>
    <col min="10" max="10" width="11.375" style="1" bestFit="1" customWidth="1"/>
    <col min="11" max="11" width="11.25" style="1" customWidth="1"/>
    <col min="12" max="13" width="8" style="1" customWidth="1"/>
    <col min="14" max="14" width="9.125" style="1" customWidth="1"/>
    <col min="15" max="16" width="9.625" style="1" bestFit="1" customWidth="1"/>
    <col min="17" max="24" width="10.125" style="1" customWidth="1"/>
    <col min="25" max="25" width="12.625" style="94" customWidth="1"/>
    <col min="26" max="26" width="11.125" style="7" bestFit="1" customWidth="1"/>
    <col min="27" max="28" width="11.5" style="1" customWidth="1"/>
    <col min="29" max="29" width="11.375" style="7" customWidth="1"/>
    <col min="30" max="32" width="11.5" style="1" customWidth="1"/>
    <col min="33" max="33" width="13.875" style="1" customWidth="1"/>
    <col min="34" max="36" width="11.5" style="1" customWidth="1"/>
    <col min="37" max="37" width="5" style="7" customWidth="1"/>
    <col min="38" max="38" width="14.875" style="3" customWidth="1"/>
    <col min="39" max="39" width="11.375" style="3" customWidth="1"/>
    <col min="40" max="40" width="11.375" style="3" bestFit="1" customWidth="1"/>
    <col min="41" max="41" width="10.125" style="3" customWidth="1"/>
    <col min="42" max="42" width="4.75" style="3" customWidth="1"/>
    <col min="43" max="43" width="14" style="3" customWidth="1"/>
    <col min="44" max="44" width="12.625" style="3" customWidth="1"/>
    <col min="45" max="45" width="11.75" style="3" customWidth="1"/>
    <col min="46" max="46" width="10.125" style="3" customWidth="1"/>
    <col min="47" max="47" width="4.25" style="3" customWidth="1"/>
    <col min="48" max="48" width="14.75" style="3" customWidth="1"/>
    <col min="49" max="49" width="10.875" style="3" customWidth="1"/>
    <col min="50" max="50" width="12.75" style="3" bestFit="1" customWidth="1"/>
    <col min="51" max="51" width="13.25" style="3" customWidth="1"/>
    <col min="52" max="52" width="4.25" style="3" customWidth="1"/>
    <col min="53" max="53" width="14.125" style="3" customWidth="1"/>
    <col min="54" max="54" width="11.25" style="3" customWidth="1"/>
    <col min="55" max="55" width="12.75" style="3" bestFit="1" customWidth="1"/>
    <col min="56" max="57" width="10.125" style="3" customWidth="1"/>
    <col min="58" max="58" width="14.75" style="3" bestFit="1" customWidth="1"/>
    <col min="59" max="59" width="11.375" style="3" bestFit="1" customWidth="1"/>
    <col min="60" max="60" width="13.75" style="3" bestFit="1" customWidth="1"/>
    <col min="61" max="61" width="10.375" style="3" bestFit="1" customWidth="1"/>
    <col min="62" max="62" width="10" style="3"/>
    <col min="63" max="63" width="15.125" style="3" customWidth="1"/>
    <col min="64" max="64" width="11.25" style="3" customWidth="1"/>
    <col min="65" max="65" width="13.75" style="3" bestFit="1" customWidth="1"/>
    <col min="66" max="66" width="10.375" style="3" bestFit="1" customWidth="1"/>
    <col min="67" max="67" width="10" style="3"/>
    <col min="68" max="68" width="14.75" style="3" bestFit="1" customWidth="1"/>
    <col min="69" max="69" width="11.875" style="3" bestFit="1" customWidth="1"/>
    <col min="70" max="70" width="13.75" style="3" bestFit="1" customWidth="1"/>
    <col min="71" max="71" width="10" style="3" customWidth="1"/>
    <col min="72" max="72" width="10" style="3"/>
    <col min="73" max="73" width="15" style="3" customWidth="1"/>
    <col min="74" max="74" width="11.125" style="3" bestFit="1" customWidth="1"/>
    <col min="75" max="75" width="13.5" style="3" bestFit="1" customWidth="1"/>
    <col min="76" max="76" width="13.5" style="3" customWidth="1"/>
    <col min="77" max="77" width="10" style="3"/>
    <col min="78" max="78" width="10.25" style="3" bestFit="1" customWidth="1"/>
    <col min="79" max="82" width="10" style="3"/>
    <col min="83" max="83" width="11.75" style="3" customWidth="1"/>
    <col min="84" max="16384" width="10" style="3"/>
  </cols>
  <sheetData>
    <row r="1" spans="1:86" s="126" customFormat="1" ht="15.75" customHeight="1">
      <c r="A1" s="115" t="s">
        <v>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0"/>
      <c r="O1" s="68"/>
      <c r="P1" s="68"/>
      <c r="Q1" s="94"/>
      <c r="R1" s="2"/>
      <c r="S1" s="2"/>
      <c r="T1" s="2"/>
      <c r="U1" s="94"/>
      <c r="V1" s="94"/>
      <c r="W1" s="94"/>
      <c r="X1" s="10"/>
      <c r="Y1" s="10"/>
      <c r="Z1" s="173"/>
      <c r="AA1" s="68"/>
      <c r="AB1" s="68"/>
      <c r="AC1" s="173"/>
      <c r="AD1" s="115"/>
      <c r="AE1" s="115"/>
      <c r="AF1" s="115"/>
      <c r="AG1" s="115"/>
      <c r="AH1" s="115"/>
      <c r="AI1" s="115"/>
      <c r="AJ1" s="115"/>
      <c r="AK1" s="173"/>
    </row>
    <row r="2" spans="1:86" s="126" customForma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Q2" s="94"/>
      <c r="R2" s="2"/>
      <c r="S2" s="2"/>
      <c r="T2" s="2"/>
      <c r="U2" s="94"/>
      <c r="V2" s="94"/>
      <c r="W2" s="94"/>
      <c r="X2" s="2"/>
      <c r="Y2" s="2"/>
      <c r="Z2" s="173"/>
      <c r="AA2" s="68"/>
      <c r="AB2" s="68"/>
      <c r="AC2" s="173"/>
      <c r="AD2" s="115"/>
      <c r="AE2" s="115"/>
      <c r="AF2" s="115"/>
      <c r="AG2" s="115"/>
      <c r="AH2" s="115"/>
      <c r="AI2" s="115"/>
      <c r="AJ2" s="115"/>
      <c r="AK2" s="173"/>
    </row>
    <row r="3" spans="1:86" s="126" customFormat="1">
      <c r="A3" s="115" t="s">
        <v>48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27"/>
      <c r="O3" s="10"/>
      <c r="P3" s="10"/>
      <c r="Q3" s="94"/>
      <c r="R3" s="2"/>
      <c r="S3" s="2"/>
      <c r="T3" s="2"/>
      <c r="U3" s="94"/>
      <c r="V3" s="94"/>
      <c r="W3" s="94"/>
      <c r="X3" s="2"/>
      <c r="Y3" s="115"/>
      <c r="Z3" s="173"/>
      <c r="AA3" s="199"/>
      <c r="AB3" s="199"/>
      <c r="AC3" s="173"/>
      <c r="AD3" s="115"/>
      <c r="AE3" s="115"/>
      <c r="AF3" s="115"/>
      <c r="AG3" s="115"/>
      <c r="AH3" s="115"/>
      <c r="AI3" s="115"/>
      <c r="AJ3" s="115"/>
      <c r="AK3" s="173"/>
    </row>
    <row r="4" spans="1:86">
      <c r="A4" s="405" t="s">
        <v>367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115"/>
      <c r="O4" s="199"/>
      <c r="P4" s="199"/>
      <c r="Q4" s="10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1"/>
    </row>
    <row r="5" spans="1:86" s="126" customFormat="1" ht="13.5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95"/>
      <c r="P5" s="94"/>
      <c r="Q5" s="94"/>
      <c r="R5" s="94"/>
      <c r="S5" s="94"/>
      <c r="T5" s="94"/>
      <c r="U5" s="94"/>
      <c r="V5" s="94"/>
      <c r="W5" s="94"/>
      <c r="X5" s="94"/>
      <c r="Y5" s="115"/>
      <c r="Z5" s="173"/>
      <c r="AA5" s="115"/>
      <c r="AB5" s="115"/>
      <c r="AC5" s="173"/>
      <c r="AD5" s="115"/>
      <c r="AE5" s="115"/>
      <c r="AF5" s="115"/>
      <c r="AG5" s="115"/>
      <c r="AH5" s="115"/>
      <c r="AI5" s="115"/>
      <c r="AJ5" s="115"/>
      <c r="AK5" s="173"/>
    </row>
    <row r="6" spans="1:86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T6" s="5"/>
      <c r="U6" s="5"/>
      <c r="V6" s="5"/>
      <c r="W6" s="5"/>
      <c r="X6" s="172"/>
      <c r="Y6" s="5"/>
      <c r="Z6" s="5"/>
      <c r="AA6" s="5"/>
      <c r="AB6" s="5"/>
      <c r="AC6" s="5"/>
      <c r="AD6" s="5"/>
      <c r="AE6" s="7"/>
      <c r="AF6" s="7"/>
      <c r="AG6" s="7"/>
      <c r="AH6" s="7"/>
      <c r="AI6" s="7"/>
      <c r="AJ6" s="7"/>
    </row>
    <row r="7" spans="1:86" ht="13.5" thickBot="1">
      <c r="L7" s="406" t="s">
        <v>34</v>
      </c>
      <c r="M7" s="406"/>
      <c r="X7" s="94"/>
      <c r="Y7" s="1"/>
      <c r="Z7" s="1"/>
      <c r="AC7" s="1"/>
      <c r="AG7" s="411" t="s">
        <v>161</v>
      </c>
      <c r="AH7" s="411"/>
      <c r="AI7" s="411"/>
      <c r="AJ7" s="411"/>
      <c r="AK7" s="1"/>
      <c r="AL7" s="411" t="s">
        <v>184</v>
      </c>
      <c r="AM7" s="411"/>
      <c r="AN7" s="411"/>
      <c r="AO7" s="411"/>
      <c r="AQ7" s="411" t="s">
        <v>194</v>
      </c>
      <c r="AR7" s="411"/>
      <c r="AS7" s="411"/>
      <c r="AT7" s="411"/>
      <c r="AV7" s="410" t="s">
        <v>208</v>
      </c>
      <c r="AW7" s="410"/>
      <c r="AX7" s="410"/>
      <c r="AY7" s="410"/>
      <c r="BA7" s="410" t="s">
        <v>243</v>
      </c>
      <c r="BB7" s="410"/>
      <c r="BC7" s="410"/>
      <c r="BD7" s="410"/>
      <c r="BF7" s="410" t="s">
        <v>256</v>
      </c>
      <c r="BG7" s="410"/>
      <c r="BH7" s="410"/>
      <c r="BI7" s="410"/>
      <c r="BK7" s="410" t="s">
        <v>269</v>
      </c>
      <c r="BL7" s="410"/>
      <c r="BM7" s="410"/>
      <c r="BN7" s="410"/>
      <c r="BP7" s="410" t="s">
        <v>283</v>
      </c>
      <c r="BQ7" s="410"/>
      <c r="BR7" s="410"/>
      <c r="BS7" s="410"/>
      <c r="BU7" s="410" t="s">
        <v>303</v>
      </c>
      <c r="BV7" s="410"/>
      <c r="BW7" s="410"/>
      <c r="BX7" s="410"/>
      <c r="BZ7" s="410" t="s">
        <v>330</v>
      </c>
      <c r="CA7" s="410"/>
      <c r="CB7" s="410"/>
      <c r="CC7" s="410"/>
      <c r="CE7" s="410" t="s">
        <v>360</v>
      </c>
      <c r="CF7" s="410"/>
      <c r="CG7" s="410"/>
      <c r="CH7" s="410"/>
    </row>
    <row r="8" spans="1:86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6" t="s">
        <v>85</v>
      </c>
      <c r="M8" s="26" t="s">
        <v>86</v>
      </c>
      <c r="O8" s="7"/>
      <c r="P8" s="7"/>
      <c r="R8" s="7"/>
      <c r="T8" s="7"/>
      <c r="U8" s="7"/>
      <c r="V8" s="7"/>
      <c r="W8" s="7"/>
      <c r="X8" s="173"/>
      <c r="Y8" s="7"/>
      <c r="AA8" s="7"/>
      <c r="AB8" s="7"/>
      <c r="AD8" s="7"/>
      <c r="AE8" s="7"/>
      <c r="AF8" s="7"/>
      <c r="AG8" s="3" t="s">
        <v>169</v>
      </c>
      <c r="AH8" s="3" t="s">
        <v>107</v>
      </c>
      <c r="AJ8" s="1" t="s">
        <v>331</v>
      </c>
      <c r="AL8" s="3" t="s">
        <v>169</v>
      </c>
      <c r="AM8" s="3" t="s">
        <v>107</v>
      </c>
      <c r="AQ8" s="3" t="s">
        <v>169</v>
      </c>
      <c r="AR8" s="3" t="s">
        <v>107</v>
      </c>
      <c r="AV8" s="3" t="s">
        <v>169</v>
      </c>
      <c r="AW8" s="3" t="s">
        <v>107</v>
      </c>
      <c r="AX8" s="3" t="s">
        <v>212</v>
      </c>
      <c r="AY8" s="3" t="s">
        <v>213</v>
      </c>
      <c r="BA8" s="3" t="s">
        <v>169</v>
      </c>
      <c r="BB8" s="3" t="s">
        <v>107</v>
      </c>
      <c r="BC8" s="3" t="s">
        <v>212</v>
      </c>
      <c r="BD8" s="3" t="s">
        <v>213</v>
      </c>
      <c r="BF8" s="3" t="s">
        <v>169</v>
      </c>
      <c r="BG8" s="3" t="s">
        <v>107</v>
      </c>
      <c r="BH8" s="3" t="s">
        <v>212</v>
      </c>
      <c r="BI8" s="3" t="s">
        <v>213</v>
      </c>
      <c r="BK8" s="3" t="s">
        <v>169</v>
      </c>
      <c r="BL8" s="3" t="s">
        <v>107</v>
      </c>
      <c r="BM8" s="3" t="s">
        <v>212</v>
      </c>
      <c r="BN8" s="3" t="s">
        <v>213</v>
      </c>
      <c r="BP8" s="3" t="s">
        <v>169</v>
      </c>
      <c r="BQ8" s="3" t="s">
        <v>107</v>
      </c>
      <c r="BR8" s="3" t="s">
        <v>212</v>
      </c>
      <c r="BS8" s="3" t="s">
        <v>213</v>
      </c>
      <c r="BU8" s="3" t="s">
        <v>169</v>
      </c>
      <c r="BV8" s="3" t="s">
        <v>107</v>
      </c>
      <c r="BW8" s="3" t="s">
        <v>212</v>
      </c>
      <c r="BX8" s="3" t="s">
        <v>213</v>
      </c>
      <c r="BZ8" s="3" t="s">
        <v>169</v>
      </c>
      <c r="CA8" s="3" t="s">
        <v>107</v>
      </c>
      <c r="CB8" s="3" t="s">
        <v>212</v>
      </c>
      <c r="CC8" s="3" t="s">
        <v>213</v>
      </c>
      <c r="CE8" s="3" t="s">
        <v>169</v>
      </c>
      <c r="CF8" s="3" t="s">
        <v>107</v>
      </c>
      <c r="CG8" s="3" t="s">
        <v>212</v>
      </c>
      <c r="CH8" s="3" t="s">
        <v>213</v>
      </c>
    </row>
    <row r="9" spans="1:86" ht="13.5" thickBot="1">
      <c r="A9" s="8" t="s">
        <v>1</v>
      </c>
      <c r="B9" s="397" t="s">
        <v>184</v>
      </c>
      <c r="C9" s="397" t="s">
        <v>194</v>
      </c>
      <c r="D9" s="397" t="s">
        <v>208</v>
      </c>
      <c r="E9" s="397" t="s">
        <v>243</v>
      </c>
      <c r="F9" s="397" t="s">
        <v>256</v>
      </c>
      <c r="G9" s="397" t="s">
        <v>269</v>
      </c>
      <c r="H9" s="397" t="s">
        <v>283</v>
      </c>
      <c r="I9" s="397" t="s">
        <v>303</v>
      </c>
      <c r="J9" s="397" t="s">
        <v>330</v>
      </c>
      <c r="K9" s="397" t="s">
        <v>360</v>
      </c>
      <c r="L9" s="9" t="s">
        <v>84</v>
      </c>
      <c r="M9" s="9" t="s">
        <v>84</v>
      </c>
      <c r="N9" s="10" t="s">
        <v>2</v>
      </c>
      <c r="O9" s="9" t="s">
        <v>35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8" t="s">
        <v>65</v>
      </c>
      <c r="V9" s="8" t="s">
        <v>66</v>
      </c>
      <c r="W9" s="34" t="s">
        <v>178</v>
      </c>
      <c r="X9" s="4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8" t="s">
        <v>104</v>
      </c>
      <c r="AD9" s="303" t="s">
        <v>105</v>
      </c>
      <c r="AE9" s="338" t="s">
        <v>161</v>
      </c>
      <c r="AF9" s="397" t="s">
        <v>168</v>
      </c>
      <c r="AG9" s="3"/>
      <c r="AH9" s="3" t="s">
        <v>106</v>
      </c>
      <c r="AI9" s="3"/>
      <c r="AJ9" s="3"/>
      <c r="AK9" s="33"/>
      <c r="AM9" s="3" t="s">
        <v>106</v>
      </c>
      <c r="AR9" s="3" t="s">
        <v>106</v>
      </c>
      <c r="AW9" s="3" t="s">
        <v>106</v>
      </c>
      <c r="BB9" s="3" t="s">
        <v>106</v>
      </c>
      <c r="BG9" s="3" t="s">
        <v>106</v>
      </c>
      <c r="BL9" s="3" t="s">
        <v>106</v>
      </c>
      <c r="BQ9" s="3" t="s">
        <v>106</v>
      </c>
      <c r="BV9" s="3" t="s">
        <v>106</v>
      </c>
      <c r="CA9" s="3" t="s">
        <v>106</v>
      </c>
      <c r="CF9" s="3" t="s">
        <v>106</v>
      </c>
    </row>
    <row r="10" spans="1:86" ht="13.5" thickTop="1">
      <c r="A10" s="7" t="s">
        <v>5</v>
      </c>
      <c r="B10" s="12">
        <f>SUM(B12:B39)</f>
        <v>7555882</v>
      </c>
      <c r="C10" s="12">
        <f t="shared" ref="C10:K10" si="0">SUM(C12:C39)</f>
        <v>8024111</v>
      </c>
      <c r="D10" s="12">
        <f t="shared" si="0"/>
        <v>8691114.0709899999</v>
      </c>
      <c r="E10" s="12">
        <f t="shared" si="0"/>
        <v>9483526.2159799989</v>
      </c>
      <c r="F10" s="12">
        <f t="shared" si="0"/>
        <v>10338201.845540006</v>
      </c>
      <c r="G10" s="12">
        <f t="shared" si="0"/>
        <v>10664548.544969998</v>
      </c>
      <c r="H10" s="12">
        <f t="shared" si="0"/>
        <v>10865151.469949998</v>
      </c>
      <c r="I10" s="12">
        <f t="shared" si="0"/>
        <v>10891606.962689999</v>
      </c>
      <c r="J10" s="12">
        <f t="shared" si="0"/>
        <v>10854111.973060001</v>
      </c>
      <c r="K10" s="12">
        <f t="shared" si="0"/>
        <v>11159884.35798</v>
      </c>
      <c r="L10" s="239">
        <f>(K10-J10)*100/J10</f>
        <v>2.8171110237201242</v>
      </c>
      <c r="M10" s="239">
        <f>(K10-AF10)*100/AF10</f>
        <v>47.698017191738998</v>
      </c>
      <c r="N10" s="13">
        <v>2106149</v>
      </c>
      <c r="O10" s="11">
        <v>2262412</v>
      </c>
      <c r="P10" s="11">
        <v>2449656</v>
      </c>
      <c r="Q10" s="11">
        <v>2725905</v>
      </c>
      <c r="R10" s="11">
        <f t="shared" ref="R10:W10" si="1">SUM(R12:R39)</f>
        <v>3021129</v>
      </c>
      <c r="S10" s="11">
        <f t="shared" si="1"/>
        <v>3335386</v>
      </c>
      <c r="T10" s="11">
        <f t="shared" si="1"/>
        <v>3633138</v>
      </c>
      <c r="U10" s="11">
        <f t="shared" si="1"/>
        <v>3745093</v>
      </c>
      <c r="V10" s="11">
        <f t="shared" si="1"/>
        <v>3937239.5520000006</v>
      </c>
      <c r="W10" s="11">
        <f t="shared" si="1"/>
        <v>4276788</v>
      </c>
      <c r="X10" s="209">
        <f>SUM(X12:X39)</f>
        <v>4539001</v>
      </c>
      <c r="Y10" s="12">
        <f>SUM(Y12:Y39)</f>
        <v>4710122.8679999989</v>
      </c>
      <c r="Z10" s="12">
        <f>SUM(Z12:Z39)</f>
        <v>4916670</v>
      </c>
      <c r="AA10" s="12">
        <f>SUM(AA12:AA39)</f>
        <v>5234380</v>
      </c>
      <c r="AB10" s="12">
        <f>SUM(AB12:AB39)-1</f>
        <v>5563224</v>
      </c>
      <c r="AC10" s="12">
        <f>SUM(AC12:AC39)</f>
        <v>5921374</v>
      </c>
      <c r="AD10" s="12">
        <f>SUM(AD12:AD39)</f>
        <v>6446370</v>
      </c>
      <c r="AE10" s="12">
        <f>SUM(AE12:AE39)</f>
        <v>6901316.7410800029</v>
      </c>
      <c r="AF10" s="12">
        <f>SUM(AF12:AF39)</f>
        <v>7555879.6049999995</v>
      </c>
      <c r="AG10" s="11">
        <v>7229538475.0800018</v>
      </c>
      <c r="AH10" s="12">
        <f>SUM(AH12:AH39)</f>
        <v>328221734</v>
      </c>
      <c r="AI10" s="334">
        <f>SUM(AI12:AI39)</f>
        <v>6901316741.0800018</v>
      </c>
      <c r="AJ10" s="3">
        <f>AI10/1000</f>
        <v>6901316.7410800019</v>
      </c>
      <c r="AK10" s="12"/>
      <c r="AL10" s="11">
        <f>SUM(AL12:AL39)</f>
        <v>7939446615</v>
      </c>
      <c r="AM10" s="155">
        <f>SUM(AM12:AM39)</f>
        <v>383567010</v>
      </c>
      <c r="AN10" s="63">
        <f>SUM(AN12:AN39)</f>
        <v>7555879605</v>
      </c>
      <c r="AQ10" s="11">
        <f>SUM(AQ12:AQ39)</f>
        <v>8427289516</v>
      </c>
      <c r="AR10" s="11">
        <f>SUM(AR12:AR39)</f>
        <v>403179150</v>
      </c>
      <c r="AS10" s="63">
        <f>SUM(AS12:AS39)</f>
        <v>8024110366</v>
      </c>
      <c r="AV10" s="11">
        <f>SUM(AV12:AV39)</f>
        <v>9097990497.9899998</v>
      </c>
      <c r="AW10" s="11">
        <f>SUM(AW12:AW39)</f>
        <v>406876427</v>
      </c>
      <c r="AX10" s="11">
        <f>SUM(AX12:AX39)</f>
        <v>8691114070.9899998</v>
      </c>
      <c r="AY10" s="11">
        <f>SUM(AY12:AY39)</f>
        <v>8691114.0709899999</v>
      </c>
      <c r="BA10" s="11">
        <f>SUM(BA12:BA39)</f>
        <v>9929668515.9799995</v>
      </c>
      <c r="BB10" s="11">
        <f>SUM(BB12:BB39)</f>
        <v>446142300</v>
      </c>
      <c r="BC10" s="11">
        <f>SUM(BC12:BC39)</f>
        <v>9483526215.9799995</v>
      </c>
      <c r="BD10" s="11">
        <f>SUM(BD12:BD39)</f>
        <v>9483526.2159799989</v>
      </c>
      <c r="BF10" s="11">
        <f>SUM(BF12:BF39)</f>
        <v>10904649535.540003</v>
      </c>
      <c r="BG10" s="11">
        <f>SUM(BG12:BG39)</f>
        <v>566447690</v>
      </c>
      <c r="BH10" s="11">
        <f>SUM(BH12:BH39)</f>
        <v>10338201845.540003</v>
      </c>
      <c r="BI10" s="11">
        <f>SUM(BI12:BI39)</f>
        <v>10338201.845540006</v>
      </c>
      <c r="BK10" s="11">
        <f>SUM(BK12:BK39)</f>
        <v>11286317964.970003</v>
      </c>
      <c r="BL10" s="11">
        <f>SUM(BL12:BL39)</f>
        <v>621769420</v>
      </c>
      <c r="BM10" s="11">
        <f>SUM(BM12:BM39)</f>
        <v>10664548544.970001</v>
      </c>
      <c r="BN10" s="11">
        <f>SUM(BN12:BN39)</f>
        <v>10664548.544969998</v>
      </c>
      <c r="BP10" s="279">
        <f>SUM(BP12:BP39)</f>
        <v>11586117449.989</v>
      </c>
      <c r="BQ10" s="279">
        <f>SUM(BQ12:BQ39)</f>
        <v>720965980.03899992</v>
      </c>
      <c r="BR10" s="11">
        <f>SUM(BR12:BR39)</f>
        <v>10865151469.950003</v>
      </c>
      <c r="BS10" s="11">
        <f>SUM(BS12:BS39)</f>
        <v>10865151.469949998</v>
      </c>
      <c r="BU10" s="11">
        <f>SUM(BU12:BU39)</f>
        <v>11700842165.589998</v>
      </c>
      <c r="BV10" s="11">
        <f>SUM(BV12:BV39)</f>
        <v>809235202.89999986</v>
      </c>
      <c r="BW10" s="11">
        <f>SUM(BW12:BW39)</f>
        <v>10891606962.689999</v>
      </c>
      <c r="BX10" s="11">
        <f>SUM(BX12:BX39)</f>
        <v>10891606.962689999</v>
      </c>
      <c r="BZ10" s="3">
        <f>SUM(BZ12:BZ39)</f>
        <v>11663623022.68</v>
      </c>
      <c r="CA10" s="3">
        <f t="shared" ref="CA10:CC10" si="2">SUM(CA12:CA39)</f>
        <v>809511049.61999989</v>
      </c>
      <c r="CB10" s="3">
        <f t="shared" si="2"/>
        <v>10854111973.059998</v>
      </c>
      <c r="CC10" s="3">
        <f t="shared" si="2"/>
        <v>10854111.973060001</v>
      </c>
      <c r="CE10" s="3">
        <f>SUM(CE12:CE39)</f>
        <v>11912424600.01</v>
      </c>
      <c r="CF10" s="3">
        <f t="shared" ref="CF10:CH10" si="3">SUM(CF12:CF39)</f>
        <v>752540242.02999985</v>
      </c>
      <c r="CG10" s="3">
        <f t="shared" si="3"/>
        <v>11159884357.979998</v>
      </c>
      <c r="CH10" s="3">
        <f t="shared" si="3"/>
        <v>11159884.35798</v>
      </c>
    </row>
    <row r="11" spans="1:86">
      <c r="B11" s="89"/>
      <c r="C11" s="89"/>
      <c r="D11" s="89"/>
      <c r="E11" s="89"/>
      <c r="F11" s="89"/>
      <c r="G11" s="89"/>
      <c r="H11" s="89"/>
      <c r="I11" s="89"/>
      <c r="J11" s="89"/>
      <c r="K11" s="89"/>
      <c r="M11" s="14"/>
      <c r="N11" s="14"/>
      <c r="O11" s="14"/>
      <c r="T11" s="14"/>
      <c r="U11" s="89"/>
      <c r="V11" s="89"/>
      <c r="W11" s="89"/>
      <c r="X11" s="200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M11" s="41"/>
      <c r="BQ11" s="128"/>
    </row>
    <row r="12" spans="1:86">
      <c r="A12" s="1" t="s">
        <v>6</v>
      </c>
      <c r="B12" s="14">
        <v>84276</v>
      </c>
      <c r="C12" s="14">
        <v>87878</v>
      </c>
      <c r="D12" s="14">
        <v>95611.441999999995</v>
      </c>
      <c r="E12" s="14">
        <v>104076.87293000003</v>
      </c>
      <c r="F12" s="14">
        <v>110848.61780999997</v>
      </c>
      <c r="G12" s="14">
        <v>118831.33620999998</v>
      </c>
      <c r="H12" s="14">
        <v>118163.02380000002</v>
      </c>
      <c r="I12" s="14">
        <v>118191.42653999999</v>
      </c>
      <c r="J12" s="14">
        <v>113015.14536999997</v>
      </c>
      <c r="K12" s="14">
        <v>116455.58770999999</v>
      </c>
      <c r="L12" s="239">
        <f>(K12-J12)*100/J12</f>
        <v>3.0442312211663034</v>
      </c>
      <c r="M12" s="239">
        <f>(K12-AF12)*100/AF12</f>
        <v>38.184366275490966</v>
      </c>
      <c r="N12" s="14">
        <v>30946</v>
      </c>
      <c r="O12" s="14">
        <v>33158</v>
      </c>
      <c r="P12" s="14">
        <v>35067</v>
      </c>
      <c r="Q12" s="14">
        <v>37547</v>
      </c>
      <c r="R12" s="14">
        <v>40551</v>
      </c>
      <c r="S12" s="14">
        <f>48947-6071</f>
        <v>42876</v>
      </c>
      <c r="T12" s="14">
        <f>51893-6363</f>
        <v>45530</v>
      </c>
      <c r="U12" s="14">
        <v>47866</v>
      </c>
      <c r="V12" s="14">
        <f>55236.735-5910.296</f>
        <v>49326.438999999998</v>
      </c>
      <c r="W12" s="14">
        <v>53965</v>
      </c>
      <c r="X12" s="201">
        <v>57062</v>
      </c>
      <c r="Y12" s="14">
        <f>64631.819-5338.742</f>
        <v>59293.077000000005</v>
      </c>
      <c r="Z12" s="14">
        <v>60253</v>
      </c>
      <c r="AA12" s="14">
        <v>64812</v>
      </c>
      <c r="AB12" s="14">
        <v>68394</v>
      </c>
      <c r="AC12" s="14">
        <v>71318</v>
      </c>
      <c r="AD12" s="14">
        <v>71944</v>
      </c>
      <c r="AE12" s="14">
        <v>78068.706770000004</v>
      </c>
      <c r="AF12" s="14">
        <v>84275.516000000003</v>
      </c>
      <c r="AG12" s="14">
        <v>81781960.770000011</v>
      </c>
      <c r="AH12" s="14">
        <v>3713254</v>
      </c>
      <c r="AI12" s="3">
        <f>AG12-AH12</f>
        <v>78068706.770000011</v>
      </c>
      <c r="AJ12" s="3">
        <f>AI12/1000</f>
        <v>78068.706770000004</v>
      </c>
      <c r="AK12" s="14"/>
      <c r="AL12" s="30">
        <v>88351428</v>
      </c>
      <c r="AM12" s="156">
        <v>4075912</v>
      </c>
      <c r="AN12" s="3">
        <f>AL12-AM12</f>
        <v>84275516</v>
      </c>
      <c r="AO12" s="3">
        <f>AN12/1000</f>
        <v>84275.516000000003</v>
      </c>
      <c r="AQ12" s="3">
        <v>92084584</v>
      </c>
      <c r="AR12" s="3">
        <v>4206214</v>
      </c>
      <c r="AS12" s="3">
        <f>AQ12-AR12</f>
        <v>87878370</v>
      </c>
      <c r="AT12" s="3">
        <f>AS12/1000</f>
        <v>87878.37</v>
      </c>
      <c r="AV12" s="3">
        <v>99934865</v>
      </c>
      <c r="AW12" s="3">
        <v>4323423</v>
      </c>
      <c r="AX12" s="3">
        <f>AV12-AW12</f>
        <v>95611442</v>
      </c>
      <c r="AY12" s="3">
        <f>AX12/1000</f>
        <v>95611.441999999995</v>
      </c>
      <c r="BA12" s="3">
        <v>108900679.93000002</v>
      </c>
      <c r="BB12" s="3">
        <v>4823807</v>
      </c>
      <c r="BC12" s="3">
        <f>BA12-BB12</f>
        <v>104076872.93000002</v>
      </c>
      <c r="BD12" s="3">
        <f>BC12/1000</f>
        <v>104076.87293000003</v>
      </c>
      <c r="BF12" s="3">
        <v>116990742.80999997</v>
      </c>
      <c r="BG12" s="3">
        <v>6142125</v>
      </c>
      <c r="BH12" s="3">
        <f>BF12-BG12</f>
        <v>110848617.80999997</v>
      </c>
      <c r="BI12" s="3">
        <f>BH12/1000</f>
        <v>110848.61780999997</v>
      </c>
      <c r="BK12" s="3">
        <v>125587396.20999998</v>
      </c>
      <c r="BL12" s="3">
        <v>6756060</v>
      </c>
      <c r="BM12" s="3">
        <f>BK12-BL12</f>
        <v>118831336.20999998</v>
      </c>
      <c r="BN12" s="3">
        <f>BM12/1000</f>
        <v>118831.33620999998</v>
      </c>
      <c r="BP12" s="3">
        <v>125636196.96000002</v>
      </c>
      <c r="BQ12" s="280">
        <v>7473173.1600000001</v>
      </c>
      <c r="BR12" s="3">
        <f>BP12-BQ12</f>
        <v>118163023.80000003</v>
      </c>
      <c r="BS12" s="3">
        <f>BR12/1000</f>
        <v>118163.02380000002</v>
      </c>
      <c r="BU12" s="3">
        <v>126640879.97999999</v>
      </c>
      <c r="BV12" s="3">
        <v>8449453.4399999995</v>
      </c>
      <c r="BW12" s="3">
        <f>BU12-BV12</f>
        <v>118191426.53999999</v>
      </c>
      <c r="BX12" s="3">
        <f>BW12/1000</f>
        <v>118191.42653999999</v>
      </c>
      <c r="BZ12" s="3">
        <v>121516284.64999998</v>
      </c>
      <c r="CA12" s="3">
        <v>8501139.2799999993</v>
      </c>
      <c r="CB12" s="3">
        <f>BZ12-CA12</f>
        <v>113015145.36999997</v>
      </c>
      <c r="CC12" s="3">
        <f>CB12/1000</f>
        <v>113015.14536999997</v>
      </c>
      <c r="CE12" s="3">
        <v>124506926.16999999</v>
      </c>
      <c r="CF12" s="3">
        <v>8051338.46</v>
      </c>
      <c r="CG12" s="3">
        <f>CE12-CF12</f>
        <v>116455587.70999999</v>
      </c>
      <c r="CH12" s="3">
        <f>CG12/1000</f>
        <v>116455.58770999999</v>
      </c>
    </row>
    <row r="13" spans="1:86">
      <c r="A13" s="1" t="s">
        <v>7</v>
      </c>
      <c r="B13" s="14">
        <v>617259</v>
      </c>
      <c r="C13" s="14">
        <v>652008</v>
      </c>
      <c r="D13" s="14">
        <v>700719.83</v>
      </c>
      <c r="E13" s="14">
        <v>768465.07374000014</v>
      </c>
      <c r="F13" s="14">
        <v>821955.05985000008</v>
      </c>
      <c r="G13" s="14">
        <v>865887.05314999982</v>
      </c>
      <c r="H13" s="14">
        <v>884154.92631000001</v>
      </c>
      <c r="I13" s="14">
        <v>900593.90582999995</v>
      </c>
      <c r="J13" s="14">
        <v>907959.1166999999</v>
      </c>
      <c r="K13" s="14">
        <v>942441.69924999983</v>
      </c>
      <c r="L13" s="239">
        <f>(K13-J13)*100/J13</f>
        <v>3.7978122490060722</v>
      </c>
      <c r="M13" s="239">
        <f t="shared" ref="M13:M39" si="4">(K13-AF13)*100/AF13</f>
        <v>52.681754624943913</v>
      </c>
      <c r="N13" s="14">
        <v>189735</v>
      </c>
      <c r="O13" s="14">
        <v>204413</v>
      </c>
      <c r="P13" s="14">
        <v>221911</v>
      </c>
      <c r="Q13" s="14">
        <v>246541</v>
      </c>
      <c r="R13" s="14">
        <f>308468-37867</f>
        <v>270601</v>
      </c>
      <c r="S13" s="14">
        <f>340737-40924</f>
        <v>299813</v>
      </c>
      <c r="T13" s="14">
        <f>374725-46341</f>
        <v>328384</v>
      </c>
      <c r="U13" s="14">
        <v>328395</v>
      </c>
      <c r="V13" s="14">
        <f>391070.31-46271.804</f>
        <v>344798.50599999999</v>
      </c>
      <c r="W13" s="14">
        <v>374725</v>
      </c>
      <c r="X13" s="201">
        <v>399666</v>
      </c>
      <c r="Y13" s="14">
        <f>448631.679-38666.806</f>
        <v>409964.87300000002</v>
      </c>
      <c r="Z13" s="14">
        <v>416830</v>
      </c>
      <c r="AA13" s="14">
        <v>436234</v>
      </c>
      <c r="AB13" s="14">
        <v>455369</v>
      </c>
      <c r="AC13" s="14">
        <v>490560</v>
      </c>
      <c r="AD13" s="14">
        <v>538320</v>
      </c>
      <c r="AE13" s="14">
        <v>575301.63036000007</v>
      </c>
      <c r="AF13" s="14">
        <v>617258.88699999999</v>
      </c>
      <c r="AG13" s="14">
        <v>602495176.36000001</v>
      </c>
      <c r="AH13" s="14">
        <v>27193546</v>
      </c>
      <c r="AI13" s="3">
        <f t="shared" ref="AI13:AI39" si="5">AG13-AH13</f>
        <v>575301630.36000001</v>
      </c>
      <c r="AJ13" s="3">
        <f t="shared" ref="AJ13:AJ39" si="6">AI13/1000</f>
        <v>575301.63036000007</v>
      </c>
      <c r="AK13" s="14"/>
      <c r="AL13" s="30">
        <v>648678816</v>
      </c>
      <c r="AM13" s="156">
        <v>31419929</v>
      </c>
      <c r="AN13" s="3">
        <f>AL13-AM13</f>
        <v>617258887</v>
      </c>
      <c r="AO13" s="3">
        <f>AN13/1000</f>
        <v>617258.88699999999</v>
      </c>
      <c r="AQ13" s="3">
        <v>684197237</v>
      </c>
      <c r="AR13" s="3">
        <v>32189217</v>
      </c>
      <c r="AS13" s="3">
        <f>AQ13-AR13</f>
        <v>652008020</v>
      </c>
      <c r="AT13" s="3">
        <f>AS13/1000</f>
        <v>652008.02</v>
      </c>
      <c r="AV13" s="3">
        <v>732747201</v>
      </c>
      <c r="AW13" s="3">
        <v>32027371</v>
      </c>
      <c r="AX13" s="3">
        <f>AV13-AW13</f>
        <v>700719830</v>
      </c>
      <c r="AY13" s="3">
        <f>AX13/1000</f>
        <v>700719.83</v>
      </c>
      <c r="BA13" s="3">
        <v>803676339.74000013</v>
      </c>
      <c r="BB13" s="3">
        <v>35211266</v>
      </c>
      <c r="BC13" s="3">
        <f>BA13-BB13</f>
        <v>768465073.74000013</v>
      </c>
      <c r="BD13" s="3">
        <f>BC13/1000</f>
        <v>768465.07374000014</v>
      </c>
      <c r="BF13" s="3">
        <v>866746230.85000002</v>
      </c>
      <c r="BG13" s="3">
        <v>44791171</v>
      </c>
      <c r="BH13" s="3">
        <f>BF13-BG13</f>
        <v>821955059.85000002</v>
      </c>
      <c r="BI13" s="3">
        <f>BH13/1000</f>
        <v>821955.05985000008</v>
      </c>
      <c r="BK13" s="3">
        <v>916446315.14999986</v>
      </c>
      <c r="BL13" s="3">
        <v>50559262</v>
      </c>
      <c r="BM13" s="3">
        <f>BK13-BL13</f>
        <v>865887053.14999986</v>
      </c>
      <c r="BN13" s="3">
        <f>BM13/1000</f>
        <v>865887.05314999982</v>
      </c>
      <c r="BP13" s="3">
        <v>943898410.65900004</v>
      </c>
      <c r="BQ13" s="280">
        <v>59743484.348999999</v>
      </c>
      <c r="BR13" s="3">
        <f>BP13-BQ13</f>
        <v>884154926.31000006</v>
      </c>
      <c r="BS13" s="3">
        <f>BR13/1000</f>
        <v>884154.92631000001</v>
      </c>
      <c r="BU13" s="3">
        <v>969670939.87999988</v>
      </c>
      <c r="BV13" s="3">
        <v>69077034.049999997</v>
      </c>
      <c r="BW13" s="3">
        <f>BU13-BV13</f>
        <v>900593905.82999992</v>
      </c>
      <c r="BX13" s="3">
        <f>BW13/1000</f>
        <v>900593.90582999995</v>
      </c>
      <c r="BZ13" s="3">
        <v>975422071.77999997</v>
      </c>
      <c r="CA13" s="3">
        <v>67462955.079999998</v>
      </c>
      <c r="CB13" s="3">
        <f t="shared" ref="CB13:CB39" si="7">BZ13-CA13</f>
        <v>907959116.69999993</v>
      </c>
      <c r="CC13" s="3">
        <f t="shared" ref="CC13:CC39" si="8">CB13/1000</f>
        <v>907959.1166999999</v>
      </c>
      <c r="CE13" s="3">
        <v>1006202817.7299999</v>
      </c>
      <c r="CF13" s="3">
        <v>63761118.479999997</v>
      </c>
      <c r="CG13" s="3">
        <f t="shared" ref="CG13:CG39" si="9">CE13-CF13</f>
        <v>942441699.24999988</v>
      </c>
      <c r="CH13" s="3">
        <f t="shared" ref="CH13:CH39" si="10">CG13/1000</f>
        <v>942441.69924999983</v>
      </c>
    </row>
    <row r="14" spans="1:86">
      <c r="A14" s="1" t="s">
        <v>8</v>
      </c>
      <c r="B14" s="14">
        <v>855473</v>
      </c>
      <c r="C14" s="14">
        <v>854376</v>
      </c>
      <c r="D14" s="14">
        <v>943473.94799999997</v>
      </c>
      <c r="E14" s="14">
        <v>1059218.1113900002</v>
      </c>
      <c r="F14" s="14">
        <v>1137216.4451699997</v>
      </c>
      <c r="G14" s="14">
        <v>1171321.9521399997</v>
      </c>
      <c r="H14" s="14">
        <v>1200529.92909</v>
      </c>
      <c r="I14" s="14">
        <v>1259496.6298899995</v>
      </c>
      <c r="J14" s="14">
        <v>1259348.8670899996</v>
      </c>
      <c r="K14" s="14">
        <v>1236934.2842299999</v>
      </c>
      <c r="L14" s="239">
        <f>(K14-J14)*100/J14</f>
        <v>-1.7798549270777937</v>
      </c>
      <c r="M14" s="239">
        <f t="shared" si="4"/>
        <v>44.590765852422201</v>
      </c>
      <c r="N14" s="14">
        <v>301380</v>
      </c>
      <c r="O14" s="14">
        <v>321373</v>
      </c>
      <c r="P14" s="14">
        <v>340361</v>
      </c>
      <c r="Q14" s="14">
        <v>372192</v>
      </c>
      <c r="R14" s="14">
        <f>459884-47170</f>
        <v>412714</v>
      </c>
      <c r="S14" s="14">
        <f>499758-54991</f>
        <v>444767</v>
      </c>
      <c r="T14" s="14">
        <f>544301-59177</f>
        <v>485124</v>
      </c>
      <c r="U14" s="14">
        <v>514518</v>
      </c>
      <c r="V14" s="14">
        <f>611921.819-58505.237</f>
        <v>553416.58200000005</v>
      </c>
      <c r="W14" s="14">
        <v>587715</v>
      </c>
      <c r="X14" s="201">
        <v>604889</v>
      </c>
      <c r="Y14" s="14">
        <f>679601.035-52772.742</f>
        <v>626828.29300000006</v>
      </c>
      <c r="Z14" s="14">
        <v>658450</v>
      </c>
      <c r="AA14" s="14">
        <v>711511</v>
      </c>
      <c r="AB14" s="14">
        <v>754773</v>
      </c>
      <c r="AC14" s="14">
        <v>779570</v>
      </c>
      <c r="AD14" s="14">
        <v>849577</v>
      </c>
      <c r="AE14" s="14">
        <v>879095.3396500001</v>
      </c>
      <c r="AF14" s="14">
        <v>855472.53099999996</v>
      </c>
      <c r="AG14" s="14">
        <v>917295409.6500001</v>
      </c>
      <c r="AH14" s="14">
        <v>38200070</v>
      </c>
      <c r="AI14" s="3">
        <f t="shared" si="5"/>
        <v>879095339.6500001</v>
      </c>
      <c r="AJ14" s="3">
        <f t="shared" si="6"/>
        <v>879095.3396500001</v>
      </c>
      <c r="AK14" s="14"/>
      <c r="AL14" s="30">
        <v>899119516</v>
      </c>
      <c r="AM14" s="156">
        <v>43646985</v>
      </c>
      <c r="AN14" s="3">
        <f>AL14-AM14</f>
        <v>855472531</v>
      </c>
      <c r="AO14" s="3">
        <f>AN14/1000</f>
        <v>855472.53099999996</v>
      </c>
      <c r="AQ14" s="3">
        <v>900715286</v>
      </c>
      <c r="AR14" s="3">
        <v>46339455</v>
      </c>
      <c r="AS14" s="3">
        <f>AQ14-AR14</f>
        <v>854375831</v>
      </c>
      <c r="AT14" s="3">
        <f>AS14/1000</f>
        <v>854375.83100000001</v>
      </c>
      <c r="AV14" s="3">
        <v>985440128</v>
      </c>
      <c r="AW14" s="3">
        <v>41966180</v>
      </c>
      <c r="AX14" s="3">
        <f>AV14-AW14</f>
        <v>943473948</v>
      </c>
      <c r="AY14" s="3">
        <f>AX14/1000</f>
        <v>943473.94799999997</v>
      </c>
      <c r="BA14" s="3">
        <v>1101846139.3900001</v>
      </c>
      <c r="BB14" s="3">
        <v>42628028</v>
      </c>
      <c r="BC14" s="3">
        <f>BA14-BB14</f>
        <v>1059218111.3900001</v>
      </c>
      <c r="BD14" s="3">
        <f>BC14/1000</f>
        <v>1059218.1113900002</v>
      </c>
      <c r="BF14" s="3">
        <v>1190912323.1699998</v>
      </c>
      <c r="BG14" s="3">
        <v>53695878</v>
      </c>
      <c r="BH14" s="3">
        <f>BF14-BG14</f>
        <v>1137216445.1699998</v>
      </c>
      <c r="BI14" s="3">
        <f>BH14/1000</f>
        <v>1137216.4451699997</v>
      </c>
      <c r="BK14" s="3">
        <v>1232127440.1399996</v>
      </c>
      <c r="BL14" s="3">
        <v>60805488</v>
      </c>
      <c r="BM14" s="3">
        <f>BK14-BL14</f>
        <v>1171321952.1399996</v>
      </c>
      <c r="BN14" s="3">
        <f>BM14/1000</f>
        <v>1171321.9521399997</v>
      </c>
      <c r="BP14" s="3">
        <v>1268486680.76</v>
      </c>
      <c r="BQ14" s="280">
        <v>67956751.670000002</v>
      </c>
      <c r="BR14" s="3">
        <f>BP14-BQ14</f>
        <v>1200529929.0899999</v>
      </c>
      <c r="BS14" s="3">
        <f>BR14/1000</f>
        <v>1200529.92909</v>
      </c>
      <c r="BU14" s="3">
        <v>1333091057.6399996</v>
      </c>
      <c r="BV14" s="3">
        <v>73594427.75</v>
      </c>
      <c r="BW14" s="3">
        <f>BU14-BV14</f>
        <v>1259496629.8899996</v>
      </c>
      <c r="BX14" s="3">
        <f>BW14/1000</f>
        <v>1259496.6298899995</v>
      </c>
      <c r="BZ14" s="3">
        <v>1330796645.8099997</v>
      </c>
      <c r="CA14" s="3">
        <v>71447778.719999999</v>
      </c>
      <c r="CB14" s="3">
        <f t="shared" si="7"/>
        <v>1259348867.0899997</v>
      </c>
      <c r="CC14" s="3">
        <f t="shared" si="8"/>
        <v>1259348.8670899996</v>
      </c>
      <c r="CE14" s="3">
        <v>1304749466.5499997</v>
      </c>
      <c r="CF14" s="3">
        <v>67815182.319999993</v>
      </c>
      <c r="CG14" s="3">
        <f t="shared" si="9"/>
        <v>1236934284.2299998</v>
      </c>
      <c r="CH14" s="3">
        <f t="shared" si="10"/>
        <v>1236934.2842299999</v>
      </c>
    </row>
    <row r="15" spans="1:86">
      <c r="A15" s="1" t="s">
        <v>9</v>
      </c>
      <c r="B15" s="14">
        <v>932810</v>
      </c>
      <c r="C15" s="14">
        <v>987324</v>
      </c>
      <c r="D15" s="14">
        <v>1056945.45</v>
      </c>
      <c r="E15" s="14">
        <v>1139137.3277800002</v>
      </c>
      <c r="F15" s="14">
        <v>1197282.4049500006</v>
      </c>
      <c r="G15" s="14">
        <v>1227006.42936</v>
      </c>
      <c r="H15" s="14">
        <v>1281244.7432500001</v>
      </c>
      <c r="I15" s="14">
        <v>1284629.2482800002</v>
      </c>
      <c r="J15" s="14">
        <v>1275672.2793099999</v>
      </c>
      <c r="K15" s="14">
        <v>1331168.8582600001</v>
      </c>
      <c r="L15" s="239">
        <f>(K15-J15)*100/J15</f>
        <v>4.3503790001627882</v>
      </c>
      <c r="M15" s="239">
        <f t="shared" si="4"/>
        <v>42.705281671760829</v>
      </c>
      <c r="N15" s="14">
        <v>294797</v>
      </c>
      <c r="O15" s="14">
        <v>308464</v>
      </c>
      <c r="P15" s="14">
        <v>332002</v>
      </c>
      <c r="Q15" s="14">
        <v>354207</v>
      </c>
      <c r="R15" s="14">
        <f>461067-65487</f>
        <v>395580</v>
      </c>
      <c r="S15" s="14">
        <f>500408-66166</f>
        <v>434242</v>
      </c>
      <c r="T15" s="14">
        <f>528024-69927</f>
        <v>458097</v>
      </c>
      <c r="U15" s="14">
        <v>475747</v>
      </c>
      <c r="V15" s="14">
        <f>562745.105-66134.198</f>
        <v>496610.90700000001</v>
      </c>
      <c r="W15" s="14">
        <v>534777</v>
      </c>
      <c r="X15" s="201">
        <v>579938</v>
      </c>
      <c r="Y15" s="14">
        <f>654056.579-53930.669</f>
        <v>600125.91</v>
      </c>
      <c r="Z15" s="14">
        <v>631823</v>
      </c>
      <c r="AA15" s="14">
        <v>671462</v>
      </c>
      <c r="AB15" s="14">
        <v>702432</v>
      </c>
      <c r="AC15" s="14">
        <v>737636</v>
      </c>
      <c r="AD15" s="14">
        <v>816965</v>
      </c>
      <c r="AE15" s="14">
        <v>860909.69463000016</v>
      </c>
      <c r="AF15" s="14">
        <v>932809.804</v>
      </c>
      <c r="AG15" s="14">
        <v>903177353.63000011</v>
      </c>
      <c r="AH15" s="14">
        <v>42267659</v>
      </c>
      <c r="AI15" s="3">
        <f t="shared" si="5"/>
        <v>860909694.63000011</v>
      </c>
      <c r="AJ15" s="3">
        <f t="shared" si="6"/>
        <v>860909.69463000016</v>
      </c>
      <c r="AK15" s="14"/>
      <c r="AL15" s="30">
        <v>981049114</v>
      </c>
      <c r="AM15" s="156">
        <v>48239310</v>
      </c>
      <c r="AN15" s="3">
        <f>AL15-AM15</f>
        <v>932809804</v>
      </c>
      <c r="AO15" s="3">
        <f>AN15/1000</f>
        <v>932809.804</v>
      </c>
      <c r="AQ15" s="3">
        <v>1036800176</v>
      </c>
      <c r="AR15" s="3">
        <v>49476521</v>
      </c>
      <c r="AS15" s="3">
        <f>AQ15-AR15</f>
        <v>987323655</v>
      </c>
      <c r="AT15" s="3">
        <f>AS15/1000</f>
        <v>987323.65500000003</v>
      </c>
      <c r="AV15" s="3">
        <v>1106375967</v>
      </c>
      <c r="AW15" s="3">
        <v>49430517</v>
      </c>
      <c r="AX15" s="3">
        <f>AV15-AW15</f>
        <v>1056945450</v>
      </c>
      <c r="AY15" s="3">
        <f>AX15/1000</f>
        <v>1056945.45</v>
      </c>
      <c r="BA15" s="3">
        <v>1194033158.7800002</v>
      </c>
      <c r="BB15" s="3">
        <v>54895831</v>
      </c>
      <c r="BC15" s="3">
        <f>BA15-BB15</f>
        <v>1139137327.7800002</v>
      </c>
      <c r="BD15" s="3">
        <f>BC15/1000</f>
        <v>1139137.3277800002</v>
      </c>
      <c r="BF15" s="3">
        <v>1265861138.9500005</v>
      </c>
      <c r="BG15" s="3">
        <v>68578734</v>
      </c>
      <c r="BH15" s="3">
        <f>BF15-BG15</f>
        <v>1197282404.9500005</v>
      </c>
      <c r="BI15" s="3">
        <f>BH15/1000</f>
        <v>1197282.4049500006</v>
      </c>
      <c r="BK15" s="3">
        <v>1299987371.3599999</v>
      </c>
      <c r="BL15" s="3">
        <v>72980942</v>
      </c>
      <c r="BM15" s="3">
        <f>BK15-BL15</f>
        <v>1227006429.3599999</v>
      </c>
      <c r="BN15" s="3">
        <f>BM15/1000</f>
        <v>1227006.42936</v>
      </c>
      <c r="BP15" s="3">
        <v>1362701128.6099999</v>
      </c>
      <c r="BQ15" s="280">
        <v>81456385.359999999</v>
      </c>
      <c r="BR15" s="3">
        <f>BP15-BQ15</f>
        <v>1281244743.25</v>
      </c>
      <c r="BS15" s="3">
        <f>BR15/1000</f>
        <v>1281244.7432500001</v>
      </c>
      <c r="BU15" s="3">
        <v>1372154165.1500003</v>
      </c>
      <c r="BV15" s="3">
        <v>87524916.870000005</v>
      </c>
      <c r="BW15" s="3">
        <f>BU15-BV15</f>
        <v>1284629248.2800002</v>
      </c>
      <c r="BX15" s="3">
        <f>BW15/1000</f>
        <v>1284629.2482800002</v>
      </c>
      <c r="BZ15" s="3">
        <v>1367967794.5599999</v>
      </c>
      <c r="CA15" s="3">
        <v>92295515.25</v>
      </c>
      <c r="CB15" s="3">
        <f t="shared" si="7"/>
        <v>1275672279.3099999</v>
      </c>
      <c r="CC15" s="3">
        <f t="shared" si="8"/>
        <v>1275672.2793099999</v>
      </c>
      <c r="CE15" s="3">
        <v>1418800586.5200002</v>
      </c>
      <c r="CF15" s="3">
        <v>87631728.260000005</v>
      </c>
      <c r="CG15" s="3">
        <f t="shared" si="9"/>
        <v>1331168858.2600002</v>
      </c>
      <c r="CH15" s="3">
        <f t="shared" si="10"/>
        <v>1331168.8582600001</v>
      </c>
    </row>
    <row r="16" spans="1:86">
      <c r="A16" s="1" t="s">
        <v>10</v>
      </c>
      <c r="B16" s="14">
        <v>141449</v>
      </c>
      <c r="C16" s="14">
        <v>149918</v>
      </c>
      <c r="D16" s="14">
        <v>161983.14499</v>
      </c>
      <c r="E16" s="14">
        <v>171397.22808999999</v>
      </c>
      <c r="F16" s="14">
        <v>188003.13170000009</v>
      </c>
      <c r="G16" s="14">
        <v>195998.31253000002</v>
      </c>
      <c r="H16" s="14">
        <v>200214.65224999998</v>
      </c>
      <c r="I16" s="14">
        <v>202566.34572000001</v>
      </c>
      <c r="J16" s="14">
        <v>210990.12187</v>
      </c>
      <c r="K16" s="14">
        <v>200837.66912000001</v>
      </c>
      <c r="L16" s="239">
        <f>(K16-J16)*100/J16</f>
        <v>-4.8118142498895544</v>
      </c>
      <c r="M16" s="239">
        <f t="shared" si="4"/>
        <v>41.985601415506274</v>
      </c>
      <c r="N16" s="14">
        <v>24392</v>
      </c>
      <c r="O16" s="14">
        <v>26707</v>
      </c>
      <c r="P16" s="14">
        <v>28708</v>
      </c>
      <c r="Q16" s="14">
        <v>32353</v>
      </c>
      <c r="R16" s="14">
        <f>41752-4713</f>
        <v>37039</v>
      </c>
      <c r="S16" s="14">
        <f>46760-5068</f>
        <v>41692</v>
      </c>
      <c r="T16" s="14">
        <f>52501-6515</f>
        <v>45986</v>
      </c>
      <c r="U16" s="14">
        <v>52597</v>
      </c>
      <c r="V16" s="14">
        <f>64505.131-6887.743</f>
        <v>57617.387999999999</v>
      </c>
      <c r="W16" s="14">
        <v>62900</v>
      </c>
      <c r="X16" s="201">
        <v>67487</v>
      </c>
      <c r="Y16" s="14">
        <f>78368.169-6438.661</f>
        <v>71929.508000000002</v>
      </c>
      <c r="Z16" s="14">
        <v>77277</v>
      </c>
      <c r="AA16" s="14">
        <v>83216</v>
      </c>
      <c r="AB16" s="14">
        <v>91661</v>
      </c>
      <c r="AC16" s="14">
        <v>98843</v>
      </c>
      <c r="AD16" s="14">
        <v>108648</v>
      </c>
      <c r="AE16" s="14">
        <v>119737.04711000003</v>
      </c>
      <c r="AF16" s="14">
        <v>141449.321</v>
      </c>
      <c r="AG16" s="14">
        <v>125521032.11000003</v>
      </c>
      <c r="AH16" s="14">
        <v>5783985</v>
      </c>
      <c r="AI16" s="3">
        <f t="shared" si="5"/>
        <v>119737047.11000003</v>
      </c>
      <c r="AJ16" s="3">
        <f t="shared" si="6"/>
        <v>119737.04711000003</v>
      </c>
      <c r="AK16" s="14"/>
      <c r="AL16" s="30">
        <v>148437645</v>
      </c>
      <c r="AM16" s="156">
        <v>6988324</v>
      </c>
      <c r="AN16" s="3">
        <f>AL16-AM16</f>
        <v>141449321</v>
      </c>
      <c r="AO16" s="3">
        <f>AN16/1000</f>
        <v>141449.321</v>
      </c>
      <c r="AQ16" s="3">
        <v>157586683</v>
      </c>
      <c r="AR16" s="3">
        <v>7669075</v>
      </c>
      <c r="AS16" s="3">
        <f>AQ16-AR16</f>
        <v>149917608</v>
      </c>
      <c r="AT16" s="3">
        <f>AS16/1000</f>
        <v>149917.60800000001</v>
      </c>
      <c r="AV16" s="3">
        <v>170257953.99000001</v>
      </c>
      <c r="AW16" s="3">
        <v>8274809</v>
      </c>
      <c r="AX16" s="3">
        <f>AV16-AW16</f>
        <v>161983144.99000001</v>
      </c>
      <c r="AY16" s="3">
        <f>AX16/1000</f>
        <v>161983.14499</v>
      </c>
      <c r="BA16" s="3">
        <v>180564762.09</v>
      </c>
      <c r="BB16" s="3">
        <v>9167534</v>
      </c>
      <c r="BC16" s="3">
        <f>BA16-BB16</f>
        <v>171397228.09</v>
      </c>
      <c r="BD16" s="3">
        <f>BC16/1000</f>
        <v>171397.22808999999</v>
      </c>
      <c r="BF16" s="3">
        <v>199699758.70000008</v>
      </c>
      <c r="BG16" s="3">
        <v>11696627</v>
      </c>
      <c r="BH16" s="3">
        <f>BF16-BG16</f>
        <v>188003131.70000008</v>
      </c>
      <c r="BI16" s="3">
        <f>BH16/1000</f>
        <v>188003.13170000009</v>
      </c>
      <c r="BK16" s="3">
        <v>208384233.53000003</v>
      </c>
      <c r="BL16" s="3">
        <v>12385921</v>
      </c>
      <c r="BM16" s="3">
        <f>BK16-BL16</f>
        <v>195998312.53000003</v>
      </c>
      <c r="BN16" s="3">
        <f>BM16/1000</f>
        <v>195998.31253000002</v>
      </c>
      <c r="BP16" s="3">
        <v>214887178.28999996</v>
      </c>
      <c r="BQ16" s="280">
        <v>14672526.039999999</v>
      </c>
      <c r="BR16" s="3">
        <f>BP16-BQ16</f>
        <v>200214652.24999997</v>
      </c>
      <c r="BS16" s="3">
        <f>BR16/1000</f>
        <v>200214.65224999998</v>
      </c>
      <c r="BU16" s="3">
        <v>219063087.53999999</v>
      </c>
      <c r="BV16" s="3">
        <v>16496741.82</v>
      </c>
      <c r="BW16" s="3">
        <f>BU16-BV16</f>
        <v>202566345.72</v>
      </c>
      <c r="BX16" s="3">
        <f>BW16/1000</f>
        <v>202566.34572000001</v>
      </c>
      <c r="BZ16" s="3">
        <v>227440880.24000001</v>
      </c>
      <c r="CA16" s="3">
        <v>16450758.369999999</v>
      </c>
      <c r="CB16" s="3">
        <f t="shared" si="7"/>
        <v>210990121.87</v>
      </c>
      <c r="CC16" s="3">
        <f t="shared" si="8"/>
        <v>210990.12187</v>
      </c>
      <c r="CE16" s="3">
        <v>216722045.33000001</v>
      </c>
      <c r="CF16" s="3">
        <v>15884376.210000001</v>
      </c>
      <c r="CG16" s="3">
        <f t="shared" si="9"/>
        <v>200837669.12</v>
      </c>
      <c r="CH16" s="3">
        <f t="shared" si="10"/>
        <v>200837.66912000001</v>
      </c>
    </row>
    <row r="17" spans="1:86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239"/>
      <c r="M17" s="239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201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3"/>
      <c r="AJ17" s="3"/>
      <c r="AK17" s="14"/>
      <c r="AL17" s="30"/>
      <c r="AM17" s="156"/>
      <c r="BQ17" s="280"/>
    </row>
    <row r="18" spans="1:86">
      <c r="A18" s="1" t="s">
        <v>11</v>
      </c>
      <c r="B18" s="14">
        <v>42949</v>
      </c>
      <c r="C18" s="14">
        <v>44184</v>
      </c>
      <c r="D18" s="14">
        <v>47841.108999999997</v>
      </c>
      <c r="E18" s="14">
        <v>52542.93161</v>
      </c>
      <c r="F18" s="14">
        <v>57244.380319999982</v>
      </c>
      <c r="G18" s="14">
        <v>58246.37576000001</v>
      </c>
      <c r="H18" s="14">
        <v>59805.338559999997</v>
      </c>
      <c r="I18" s="14">
        <v>60217.93149000001</v>
      </c>
      <c r="J18" s="14">
        <v>61274.180570000011</v>
      </c>
      <c r="K18" s="14">
        <v>62637.827030000008</v>
      </c>
      <c r="L18" s="239">
        <f>(K18-J18)*100/J18</f>
        <v>2.2254829804572545</v>
      </c>
      <c r="M18" s="239">
        <f t="shared" si="4"/>
        <v>45.843719657039323</v>
      </c>
      <c r="N18" s="14">
        <v>11015</v>
      </c>
      <c r="O18" s="14">
        <v>11674</v>
      </c>
      <c r="P18" s="14">
        <v>12896</v>
      </c>
      <c r="Q18" s="14">
        <v>14752</v>
      </c>
      <c r="R18" s="14">
        <f>18478-2171</f>
        <v>16307</v>
      </c>
      <c r="S18" s="14">
        <f>20032-2321</f>
        <v>17711</v>
      </c>
      <c r="T18" s="14">
        <f>22240-2563</f>
        <v>19677</v>
      </c>
      <c r="U18" s="14">
        <v>20656</v>
      </c>
      <c r="V18" s="14">
        <f>24789.461-2855.428</f>
        <v>21934.032999999999</v>
      </c>
      <c r="W18" s="14">
        <v>24427</v>
      </c>
      <c r="X18" s="201">
        <v>26372</v>
      </c>
      <c r="Y18" s="14">
        <f>30139.155-2541.162</f>
        <v>27597.992999999999</v>
      </c>
      <c r="Z18" s="14">
        <v>29399</v>
      </c>
      <c r="AA18" s="14">
        <v>31017</v>
      </c>
      <c r="AB18" s="14">
        <v>33334</v>
      </c>
      <c r="AC18" s="14">
        <v>33678</v>
      </c>
      <c r="AD18" s="14">
        <v>35108</v>
      </c>
      <c r="AE18" s="14">
        <v>37656.942849999999</v>
      </c>
      <c r="AF18" s="14">
        <v>42948.593999999997</v>
      </c>
      <c r="AG18" s="14">
        <v>39685585.850000001</v>
      </c>
      <c r="AH18" s="14">
        <v>2028643</v>
      </c>
      <c r="AI18" s="3">
        <f t="shared" si="5"/>
        <v>37656942.850000001</v>
      </c>
      <c r="AJ18" s="3">
        <f t="shared" si="6"/>
        <v>37656.942849999999</v>
      </c>
      <c r="AK18" s="14"/>
      <c r="AL18" s="30">
        <v>45171693</v>
      </c>
      <c r="AM18" s="156">
        <v>2223099</v>
      </c>
      <c r="AN18" s="3">
        <f>AL18-AM18</f>
        <v>42948594</v>
      </c>
      <c r="AO18" s="3">
        <f>AN18/1000</f>
        <v>42948.593999999997</v>
      </c>
      <c r="AQ18" s="3">
        <v>46535839</v>
      </c>
      <c r="AR18" s="3">
        <v>2351696</v>
      </c>
      <c r="AS18" s="3">
        <f>AQ18-AR18</f>
        <v>44184143</v>
      </c>
      <c r="AT18" s="3">
        <f>AS18/1000</f>
        <v>44184.142999999996</v>
      </c>
      <c r="AV18" s="3">
        <v>50262294</v>
      </c>
      <c r="AW18" s="3">
        <v>2421185</v>
      </c>
      <c r="AX18" s="3">
        <f>AV18-AW18</f>
        <v>47841109</v>
      </c>
      <c r="AY18" s="3">
        <f>AX18/1000</f>
        <v>47841.108999999997</v>
      </c>
      <c r="BA18" s="3">
        <v>55206038.609999999</v>
      </c>
      <c r="BB18" s="3">
        <v>2663107</v>
      </c>
      <c r="BC18" s="3">
        <f>BA18-BB18</f>
        <v>52542931.609999999</v>
      </c>
      <c r="BD18" s="3">
        <f>BC18/1000</f>
        <v>52542.93161</v>
      </c>
      <c r="BF18" s="3">
        <v>60569133.319999985</v>
      </c>
      <c r="BG18" s="3">
        <v>3324753</v>
      </c>
      <c r="BH18" s="3">
        <f>BF18-BG18</f>
        <v>57244380.319999985</v>
      </c>
      <c r="BI18" s="3">
        <f>BH18/1000</f>
        <v>57244.380319999982</v>
      </c>
      <c r="BK18" s="3">
        <v>61942908.760000013</v>
      </c>
      <c r="BL18" s="3">
        <v>3696533</v>
      </c>
      <c r="BM18" s="3">
        <f>BK18-BL18</f>
        <v>58246375.760000013</v>
      </c>
      <c r="BN18" s="3">
        <f>BM18/1000</f>
        <v>58246.37576000001</v>
      </c>
      <c r="BP18" s="3">
        <v>63948514.299999997</v>
      </c>
      <c r="BQ18" s="280">
        <v>4143175.74</v>
      </c>
      <c r="BR18" s="3">
        <f>BP18-BQ18</f>
        <v>59805338.559999995</v>
      </c>
      <c r="BS18" s="3">
        <f>BR18/1000</f>
        <v>59805.338559999997</v>
      </c>
      <c r="BU18" s="3">
        <v>64812595.280000009</v>
      </c>
      <c r="BV18" s="3">
        <v>4594663.79</v>
      </c>
      <c r="BW18" s="3">
        <f>BU18-BV18</f>
        <v>60217931.49000001</v>
      </c>
      <c r="BX18" s="3">
        <f>BW18/1000</f>
        <v>60217.93149000001</v>
      </c>
      <c r="BZ18" s="3">
        <v>65849011.230000004</v>
      </c>
      <c r="CA18" s="3">
        <v>4574830.66</v>
      </c>
      <c r="CB18" s="3">
        <f t="shared" si="7"/>
        <v>61274180.570000008</v>
      </c>
      <c r="CC18" s="3">
        <f t="shared" si="8"/>
        <v>61274.180570000011</v>
      </c>
      <c r="CE18" s="3">
        <v>66975878.040000007</v>
      </c>
      <c r="CF18" s="3">
        <v>4338051.01</v>
      </c>
      <c r="CG18" s="3">
        <f t="shared" si="9"/>
        <v>62637827.030000009</v>
      </c>
      <c r="CH18" s="3">
        <f t="shared" si="10"/>
        <v>62637.827030000008</v>
      </c>
    </row>
    <row r="19" spans="1:86">
      <c r="A19" s="1" t="s">
        <v>12</v>
      </c>
      <c r="B19" s="14">
        <v>225117</v>
      </c>
      <c r="C19" s="14">
        <v>241402</v>
      </c>
      <c r="D19" s="14">
        <v>262092.11799999999</v>
      </c>
      <c r="E19" s="14">
        <v>280271.75599000009</v>
      </c>
      <c r="F19" s="14">
        <v>302650.82971000008</v>
      </c>
      <c r="G19" s="14">
        <v>319189.64642999996</v>
      </c>
      <c r="H19" s="14">
        <v>323538.58690000005</v>
      </c>
      <c r="I19" s="14">
        <v>317463.40664999996</v>
      </c>
      <c r="J19" s="14">
        <v>318567.90054</v>
      </c>
      <c r="K19" s="14">
        <v>322765.14721999993</v>
      </c>
      <c r="L19" s="239">
        <f>(K19-J19)*100/J19</f>
        <v>1.3175359704744984</v>
      </c>
      <c r="M19" s="239">
        <f t="shared" si="4"/>
        <v>43.376430267138169</v>
      </c>
      <c r="N19" s="14">
        <v>50291</v>
      </c>
      <c r="O19" s="14">
        <v>53702</v>
      </c>
      <c r="P19" s="14">
        <v>58866</v>
      </c>
      <c r="Q19" s="14">
        <v>68577</v>
      </c>
      <c r="R19" s="14">
        <f>88640-10473</f>
        <v>78167</v>
      </c>
      <c r="S19" s="14">
        <f>98174-11488</f>
        <v>86686</v>
      </c>
      <c r="T19" s="14">
        <f>109090-12835</f>
        <v>96255</v>
      </c>
      <c r="U19" s="14">
        <v>101848</v>
      </c>
      <c r="V19" s="14">
        <f>121435.705-14311.599</f>
        <v>107124.106</v>
      </c>
      <c r="W19" s="14">
        <v>119593</v>
      </c>
      <c r="X19" s="201">
        <v>130827</v>
      </c>
      <c r="Y19" s="14">
        <f>146305.533-11892.775</f>
        <v>134412.758</v>
      </c>
      <c r="Z19" s="14">
        <v>141117</v>
      </c>
      <c r="AA19" s="14">
        <v>149317</v>
      </c>
      <c r="AB19" s="14">
        <v>162294</v>
      </c>
      <c r="AC19" s="14">
        <v>171347</v>
      </c>
      <c r="AD19" s="14">
        <v>184176</v>
      </c>
      <c r="AE19" s="14">
        <v>196737.83533</v>
      </c>
      <c r="AF19" s="14">
        <v>225117.299</v>
      </c>
      <c r="AG19" s="14">
        <v>206121775.33000001</v>
      </c>
      <c r="AH19" s="14">
        <v>9383940</v>
      </c>
      <c r="AI19" s="3">
        <f t="shared" si="5"/>
        <v>196737835.33000001</v>
      </c>
      <c r="AJ19" s="3">
        <f t="shared" si="6"/>
        <v>196737.83533</v>
      </c>
      <c r="AK19" s="14"/>
      <c r="AL19" s="30">
        <v>236000428</v>
      </c>
      <c r="AM19" s="156">
        <v>10883129</v>
      </c>
      <c r="AN19" s="3">
        <f>AL19-AM19</f>
        <v>225117299</v>
      </c>
      <c r="AO19" s="3">
        <f>AN19/1000</f>
        <v>225117.299</v>
      </c>
      <c r="AQ19" s="3">
        <v>252984688</v>
      </c>
      <c r="AR19" s="3">
        <v>11582831</v>
      </c>
      <c r="AS19" s="3">
        <f>AQ19-AR19</f>
        <v>241401857</v>
      </c>
      <c r="AT19" s="3">
        <f>AS19/1000</f>
        <v>241401.85699999999</v>
      </c>
      <c r="AV19" s="3">
        <v>274272755</v>
      </c>
      <c r="AW19" s="3">
        <v>12180637</v>
      </c>
      <c r="AX19" s="3">
        <f>AV19-AW19</f>
        <v>262092118</v>
      </c>
      <c r="AY19" s="3">
        <f>AX19/1000</f>
        <v>262092.11799999999</v>
      </c>
      <c r="BA19" s="3">
        <v>293707942.99000007</v>
      </c>
      <c r="BB19" s="3">
        <v>13436187</v>
      </c>
      <c r="BC19" s="3">
        <f>BA19-BB19</f>
        <v>280271755.99000007</v>
      </c>
      <c r="BD19" s="3">
        <f>BC19/1000</f>
        <v>280271.75599000009</v>
      </c>
      <c r="BF19" s="3">
        <v>319922122.7100001</v>
      </c>
      <c r="BG19" s="3">
        <v>17271293</v>
      </c>
      <c r="BH19" s="3">
        <f>BF19-BG19</f>
        <v>302650829.7100001</v>
      </c>
      <c r="BI19" s="3">
        <f>BH19/1000</f>
        <v>302650.82971000008</v>
      </c>
      <c r="BK19" s="3">
        <v>338008626.42999995</v>
      </c>
      <c r="BL19" s="3">
        <v>18818980</v>
      </c>
      <c r="BM19" s="3">
        <f>BK19-BL19</f>
        <v>319189646.42999995</v>
      </c>
      <c r="BN19" s="3">
        <f>BM19/1000</f>
        <v>319189.64642999996</v>
      </c>
      <c r="BP19" s="3">
        <v>346090282.10000002</v>
      </c>
      <c r="BQ19" s="280">
        <v>22551695.199999999</v>
      </c>
      <c r="BR19" s="3">
        <f>BP19-BQ19</f>
        <v>323538586.90000004</v>
      </c>
      <c r="BS19" s="3">
        <f>BR19/1000</f>
        <v>323538.58690000005</v>
      </c>
      <c r="BU19" s="3">
        <v>342357239.35999995</v>
      </c>
      <c r="BV19" s="3">
        <v>24893832.710000001</v>
      </c>
      <c r="BW19" s="3">
        <f>BU19-BV19</f>
        <v>317463406.64999998</v>
      </c>
      <c r="BX19" s="3">
        <f>BW19/1000</f>
        <v>317463.40664999996</v>
      </c>
      <c r="BZ19" s="3">
        <v>342903567.83000004</v>
      </c>
      <c r="CA19" s="3">
        <v>24335667.289999999</v>
      </c>
      <c r="CB19" s="3">
        <f t="shared" si="7"/>
        <v>318567900.54000002</v>
      </c>
      <c r="CC19" s="3">
        <f t="shared" si="8"/>
        <v>318567.90054</v>
      </c>
      <c r="CE19" s="3">
        <v>345196787.00999993</v>
      </c>
      <c r="CF19" s="3">
        <v>22431639.789999999</v>
      </c>
      <c r="CG19" s="3">
        <f t="shared" si="9"/>
        <v>322765147.21999991</v>
      </c>
      <c r="CH19" s="3">
        <f t="shared" si="10"/>
        <v>322765.14721999993</v>
      </c>
    </row>
    <row r="20" spans="1:86">
      <c r="A20" s="1" t="s">
        <v>13</v>
      </c>
      <c r="B20" s="14">
        <v>125725</v>
      </c>
      <c r="C20" s="14">
        <v>134957</v>
      </c>
      <c r="D20" s="14">
        <v>148570.546</v>
      </c>
      <c r="E20" s="14">
        <v>157701.09870999999</v>
      </c>
      <c r="F20" s="14">
        <v>170351.90718000001</v>
      </c>
      <c r="G20" s="14">
        <v>176412.02559999999</v>
      </c>
      <c r="H20" s="14">
        <v>179936.81609999994</v>
      </c>
      <c r="I20" s="14">
        <v>180700.68210000001</v>
      </c>
      <c r="J20" s="14">
        <v>173330.61809</v>
      </c>
      <c r="K20" s="14">
        <v>180663.97920999999</v>
      </c>
      <c r="L20" s="239">
        <f>(K20-J20)*100/J20</f>
        <v>4.2308515372582471</v>
      </c>
      <c r="M20" s="239">
        <f t="shared" si="4"/>
        <v>43.697679348705762</v>
      </c>
      <c r="N20" s="14">
        <v>31444</v>
      </c>
      <c r="O20" s="14">
        <v>34049</v>
      </c>
      <c r="P20" s="14">
        <v>36341</v>
      </c>
      <c r="Q20" s="14">
        <v>40893</v>
      </c>
      <c r="R20" s="14">
        <f>50352-5452</f>
        <v>44900</v>
      </c>
      <c r="S20" s="14">
        <f>57080-6444</f>
        <v>50636</v>
      </c>
      <c r="T20" s="14">
        <f>61594-7190</f>
        <v>54404</v>
      </c>
      <c r="U20" s="14">
        <v>57487</v>
      </c>
      <c r="V20" s="14">
        <f>66611.725-7921.726</f>
        <v>58689.999000000003</v>
      </c>
      <c r="W20" s="14">
        <v>66833</v>
      </c>
      <c r="X20" s="201">
        <v>71710</v>
      </c>
      <c r="Y20" s="14">
        <f>81431.025-6937.498</f>
        <v>74493.527000000002</v>
      </c>
      <c r="Z20" s="14">
        <v>76639</v>
      </c>
      <c r="AA20" s="14">
        <v>82545</v>
      </c>
      <c r="AB20" s="14">
        <v>89503</v>
      </c>
      <c r="AC20" s="14">
        <v>94913</v>
      </c>
      <c r="AD20" s="14">
        <v>104037</v>
      </c>
      <c r="AE20" s="14">
        <v>111200.92893000002</v>
      </c>
      <c r="AF20" s="14">
        <v>125725.05</v>
      </c>
      <c r="AG20" s="14">
        <v>116800041.93000002</v>
      </c>
      <c r="AH20" s="14">
        <v>5599113</v>
      </c>
      <c r="AI20" s="3">
        <f t="shared" si="5"/>
        <v>111200928.93000002</v>
      </c>
      <c r="AJ20" s="3">
        <f t="shared" si="6"/>
        <v>111200.92893000002</v>
      </c>
      <c r="AK20" s="14"/>
      <c r="AL20" s="30">
        <v>132195637</v>
      </c>
      <c r="AM20" s="156">
        <v>6470587</v>
      </c>
      <c r="AN20" s="3">
        <f>AL20-AM20</f>
        <v>125725050</v>
      </c>
      <c r="AO20" s="3">
        <f>AN20/1000</f>
        <v>125725.05</v>
      </c>
      <c r="AQ20" s="3">
        <v>141782842</v>
      </c>
      <c r="AR20" s="3">
        <v>6826204</v>
      </c>
      <c r="AS20" s="3">
        <f>AQ20-AR20</f>
        <v>134956638</v>
      </c>
      <c r="AT20" s="3">
        <f>AS20/1000</f>
        <v>134956.63800000001</v>
      </c>
      <c r="AV20" s="3">
        <v>155694308</v>
      </c>
      <c r="AW20" s="3">
        <v>7123762</v>
      </c>
      <c r="AX20" s="3">
        <f>AV20-AW20</f>
        <v>148570546</v>
      </c>
      <c r="AY20" s="3">
        <f>AX20/1000</f>
        <v>148570.546</v>
      </c>
      <c r="BA20" s="3">
        <v>165640054.70999998</v>
      </c>
      <c r="BB20" s="3">
        <v>7938956</v>
      </c>
      <c r="BC20" s="3">
        <f>BA20-BB20</f>
        <v>157701098.70999998</v>
      </c>
      <c r="BD20" s="3">
        <f>BC20/1000</f>
        <v>157701.09870999999</v>
      </c>
      <c r="BF20" s="3">
        <v>180576253.18000001</v>
      </c>
      <c r="BG20" s="3">
        <v>10224346</v>
      </c>
      <c r="BH20" s="3">
        <f>BF20-BG20</f>
        <v>170351907.18000001</v>
      </c>
      <c r="BI20" s="3">
        <f>BH20/1000</f>
        <v>170351.90718000001</v>
      </c>
      <c r="BK20" s="3">
        <v>187488918.59999999</v>
      </c>
      <c r="BL20" s="3">
        <v>11076893</v>
      </c>
      <c r="BM20" s="3">
        <f>BK20-BL20</f>
        <v>176412025.59999999</v>
      </c>
      <c r="BN20" s="3">
        <f>BM20/1000</f>
        <v>176412.02559999999</v>
      </c>
      <c r="BP20" s="3">
        <v>192444629.39999995</v>
      </c>
      <c r="BQ20" s="280">
        <v>12507813.300000001</v>
      </c>
      <c r="BR20" s="3">
        <f>BP20-BQ20</f>
        <v>179936816.09999993</v>
      </c>
      <c r="BS20" s="3">
        <f>BR20/1000</f>
        <v>179936.81609999994</v>
      </c>
      <c r="BU20" s="3">
        <v>194766299.13</v>
      </c>
      <c r="BV20" s="3">
        <v>14065617.029999999</v>
      </c>
      <c r="BW20" s="3">
        <f>BU20-BV20</f>
        <v>180700682.09999999</v>
      </c>
      <c r="BX20" s="3">
        <f>BW20/1000</f>
        <v>180700.68210000001</v>
      </c>
      <c r="BZ20" s="3">
        <v>187637970.71000001</v>
      </c>
      <c r="CA20" s="3">
        <v>14307352.619999999</v>
      </c>
      <c r="CB20" s="3">
        <f t="shared" si="7"/>
        <v>173330618.09</v>
      </c>
      <c r="CC20" s="3">
        <f t="shared" si="8"/>
        <v>173330.61809</v>
      </c>
      <c r="CE20" s="3">
        <v>194311096.84999999</v>
      </c>
      <c r="CF20" s="3">
        <v>13647117.640000001</v>
      </c>
      <c r="CG20" s="3">
        <f t="shared" si="9"/>
        <v>180663979.20999998</v>
      </c>
      <c r="CH20" s="3">
        <f t="shared" si="10"/>
        <v>180663.97920999999</v>
      </c>
    </row>
    <row r="21" spans="1:86">
      <c r="A21" s="1" t="s">
        <v>14</v>
      </c>
      <c r="B21" s="14">
        <v>195686</v>
      </c>
      <c r="C21" s="14">
        <v>213861</v>
      </c>
      <c r="D21" s="14">
        <v>238730.337</v>
      </c>
      <c r="E21" s="14">
        <v>266538.45556000009</v>
      </c>
      <c r="F21" s="14">
        <v>294828.60644999996</v>
      </c>
      <c r="G21" s="14">
        <v>306472.51009999996</v>
      </c>
      <c r="H21" s="14">
        <v>311874.06404000003</v>
      </c>
      <c r="I21" s="14">
        <v>306409.33395999996</v>
      </c>
      <c r="J21" s="14">
        <v>314994.04358</v>
      </c>
      <c r="K21" s="14">
        <v>322367.76267999999</v>
      </c>
      <c r="L21" s="239">
        <f>(K21-J21)*100/J21</f>
        <v>2.3409074712002487</v>
      </c>
      <c r="M21" s="239">
        <f t="shared" si="4"/>
        <v>64.737520890323623</v>
      </c>
      <c r="N21" s="14">
        <v>46636</v>
      </c>
      <c r="O21" s="14">
        <v>50244</v>
      </c>
      <c r="P21" s="14">
        <v>54462</v>
      </c>
      <c r="Q21" s="14">
        <v>62048</v>
      </c>
      <c r="R21" s="14">
        <f>77762-7502</f>
        <v>70260</v>
      </c>
      <c r="S21" s="14">
        <f>89174-8406</f>
        <v>80768</v>
      </c>
      <c r="T21" s="14">
        <f>97035-9472</f>
        <v>87563</v>
      </c>
      <c r="U21" s="14">
        <v>91925</v>
      </c>
      <c r="V21" s="14">
        <f>108271.631-11727.476</f>
        <v>96544.154999999999</v>
      </c>
      <c r="W21" s="14">
        <v>105769</v>
      </c>
      <c r="X21" s="201">
        <v>110883</v>
      </c>
      <c r="Y21" s="14">
        <f>123172.841-10571.762</f>
        <v>112601.079</v>
      </c>
      <c r="Z21" s="14">
        <v>116942</v>
      </c>
      <c r="AA21" s="14">
        <v>126279</v>
      </c>
      <c r="AB21" s="14">
        <v>134801</v>
      </c>
      <c r="AC21" s="14">
        <v>146553</v>
      </c>
      <c r="AD21" s="14">
        <v>156707</v>
      </c>
      <c r="AE21" s="14">
        <v>169019.11260000002</v>
      </c>
      <c r="AF21" s="14">
        <v>195685.69500000001</v>
      </c>
      <c r="AG21" s="14">
        <v>177093863.60000002</v>
      </c>
      <c r="AH21" s="14">
        <v>8074751</v>
      </c>
      <c r="AI21" s="3">
        <f t="shared" si="5"/>
        <v>169019112.60000002</v>
      </c>
      <c r="AJ21" s="3">
        <f t="shared" si="6"/>
        <v>169019.11260000002</v>
      </c>
      <c r="AK21" s="14"/>
      <c r="AL21" s="30">
        <v>205348618</v>
      </c>
      <c r="AM21" s="156">
        <v>9662923</v>
      </c>
      <c r="AN21" s="3">
        <f>AL21-AM21</f>
        <v>195685695</v>
      </c>
      <c r="AO21" s="3">
        <f>AN21/1000</f>
        <v>195685.69500000001</v>
      </c>
      <c r="AQ21" s="3">
        <v>224042551</v>
      </c>
      <c r="AR21" s="3">
        <v>10181678</v>
      </c>
      <c r="AS21" s="3">
        <f>AQ21-AR21</f>
        <v>213860873</v>
      </c>
      <c r="AT21" s="3">
        <f>AS21/1000</f>
        <v>213860.87299999999</v>
      </c>
      <c r="AV21" s="3">
        <v>249166391</v>
      </c>
      <c r="AW21" s="3">
        <v>10436054</v>
      </c>
      <c r="AX21" s="3">
        <f>AV21-AW21</f>
        <v>238730337</v>
      </c>
      <c r="AY21" s="3">
        <f>AX21/1000</f>
        <v>238730.337</v>
      </c>
      <c r="BA21" s="3">
        <v>278280607.56000006</v>
      </c>
      <c r="BB21" s="3">
        <v>11742152</v>
      </c>
      <c r="BC21" s="3">
        <f>BA21-BB21</f>
        <v>266538455.56000006</v>
      </c>
      <c r="BD21" s="3">
        <f>BC21/1000</f>
        <v>266538.45556000009</v>
      </c>
      <c r="BF21" s="3">
        <v>310300960.44999999</v>
      </c>
      <c r="BG21" s="3">
        <v>15472354</v>
      </c>
      <c r="BH21" s="3">
        <f>BF21-BG21</f>
        <v>294828606.44999999</v>
      </c>
      <c r="BI21" s="3">
        <f>BH21/1000</f>
        <v>294828.60644999996</v>
      </c>
      <c r="BK21" s="3">
        <v>323540688.09999996</v>
      </c>
      <c r="BL21" s="3">
        <v>17068178</v>
      </c>
      <c r="BM21" s="3">
        <f>BK21-BL21</f>
        <v>306472510.09999996</v>
      </c>
      <c r="BN21" s="3">
        <f>BM21/1000</f>
        <v>306472.51009999996</v>
      </c>
      <c r="BP21" s="3">
        <v>332678278.48000002</v>
      </c>
      <c r="BQ21" s="280">
        <v>20804214.440000001</v>
      </c>
      <c r="BR21" s="3">
        <f>BP21-BQ21</f>
        <v>311874064.04000002</v>
      </c>
      <c r="BS21" s="3">
        <f>BR21/1000</f>
        <v>311874.06404000003</v>
      </c>
      <c r="BU21" s="3">
        <v>330125949.12</v>
      </c>
      <c r="BV21" s="3">
        <v>23716615.16</v>
      </c>
      <c r="BW21" s="3">
        <f>BU21-BV21</f>
        <v>306409333.95999998</v>
      </c>
      <c r="BX21" s="3">
        <f>BW21/1000</f>
        <v>306409.33395999996</v>
      </c>
      <c r="BZ21" s="3">
        <v>338975479.25</v>
      </c>
      <c r="CA21" s="3">
        <v>23981435.670000002</v>
      </c>
      <c r="CB21" s="3">
        <f t="shared" si="7"/>
        <v>314994043.57999998</v>
      </c>
      <c r="CC21" s="3">
        <f t="shared" si="8"/>
        <v>314994.04358</v>
      </c>
      <c r="CE21" s="3">
        <v>344302707.01999998</v>
      </c>
      <c r="CF21" s="3">
        <v>21934944.34</v>
      </c>
      <c r="CG21" s="3">
        <f t="shared" si="9"/>
        <v>322367762.68000001</v>
      </c>
      <c r="CH21" s="3">
        <f t="shared" si="10"/>
        <v>322367.76267999999</v>
      </c>
    </row>
    <row r="22" spans="1:86">
      <c r="A22" s="1" t="s">
        <v>15</v>
      </c>
      <c r="B22" s="14">
        <v>39650</v>
      </c>
      <c r="C22" s="14">
        <v>42049</v>
      </c>
      <c r="D22" s="14">
        <v>45256.364000000001</v>
      </c>
      <c r="E22" s="14">
        <v>48622.296789999993</v>
      </c>
      <c r="F22" s="14">
        <v>53423.736240000013</v>
      </c>
      <c r="G22" s="14">
        <v>53086.437880000005</v>
      </c>
      <c r="H22" s="14">
        <v>52324.311289999998</v>
      </c>
      <c r="I22" s="14">
        <v>52196.237670000002</v>
      </c>
      <c r="J22" s="14">
        <v>53627.911359999998</v>
      </c>
      <c r="K22" s="14">
        <v>56464.009230000003</v>
      </c>
      <c r="L22" s="239">
        <f>(K22-J22)*100/J22</f>
        <v>5.288473479717493</v>
      </c>
      <c r="M22" s="239">
        <f t="shared" si="4"/>
        <v>42.406280962371127</v>
      </c>
      <c r="N22" s="14">
        <v>14733</v>
      </c>
      <c r="O22" s="14">
        <v>15568</v>
      </c>
      <c r="P22" s="14">
        <v>16197</v>
      </c>
      <c r="Q22" s="14">
        <v>17989</v>
      </c>
      <c r="R22" s="14">
        <f>21924-2544</f>
        <v>19380</v>
      </c>
      <c r="S22" s="14">
        <f>24103-2679</f>
        <v>21424</v>
      </c>
      <c r="T22" s="14">
        <f>25229-2786</f>
        <v>22443</v>
      </c>
      <c r="U22" s="14">
        <v>22645</v>
      </c>
      <c r="V22" s="14">
        <f>26167.102-2746.693</f>
        <v>23420.409</v>
      </c>
      <c r="W22" s="14">
        <v>25680</v>
      </c>
      <c r="X22" s="201">
        <v>27567</v>
      </c>
      <c r="Y22" s="14">
        <f>30435.699-2600.944</f>
        <v>27834.755000000001</v>
      </c>
      <c r="Z22" s="14">
        <v>29261</v>
      </c>
      <c r="AA22" s="14">
        <v>31395</v>
      </c>
      <c r="AB22" s="14">
        <v>31867</v>
      </c>
      <c r="AC22" s="14">
        <v>34396</v>
      </c>
      <c r="AD22" s="14">
        <v>36719</v>
      </c>
      <c r="AE22" s="14">
        <v>37219.467550000001</v>
      </c>
      <c r="AF22" s="14">
        <v>39649.942999999999</v>
      </c>
      <c r="AG22" s="14">
        <v>39159401.550000004</v>
      </c>
      <c r="AH22" s="14">
        <v>1939934</v>
      </c>
      <c r="AI22" s="3">
        <f t="shared" si="5"/>
        <v>37219467.550000004</v>
      </c>
      <c r="AJ22" s="3">
        <f t="shared" si="6"/>
        <v>37219.467550000001</v>
      </c>
      <c r="AK22" s="14"/>
      <c r="AL22" s="30">
        <v>41681758</v>
      </c>
      <c r="AM22" s="156">
        <v>2031815</v>
      </c>
      <c r="AN22" s="3">
        <f>AL22-AM22</f>
        <v>39649943</v>
      </c>
      <c r="AO22" s="3">
        <f>AN22/1000</f>
        <v>39649.942999999999</v>
      </c>
      <c r="AQ22" s="3">
        <v>44174662</v>
      </c>
      <c r="AR22" s="3">
        <v>2125281</v>
      </c>
      <c r="AS22" s="3">
        <f>AQ22-AR22</f>
        <v>42049381</v>
      </c>
      <c r="AT22" s="3">
        <f>AS22/1000</f>
        <v>42049.381000000001</v>
      </c>
      <c r="AV22" s="3">
        <v>47401688</v>
      </c>
      <c r="AW22" s="3">
        <v>2145324</v>
      </c>
      <c r="AX22" s="3">
        <f>AV22-AW22</f>
        <v>45256364</v>
      </c>
      <c r="AY22" s="3">
        <f>AX22/1000</f>
        <v>45256.364000000001</v>
      </c>
      <c r="BA22" s="3">
        <v>51036873.789999992</v>
      </c>
      <c r="BB22" s="3">
        <v>2414577</v>
      </c>
      <c r="BC22" s="3">
        <f>BA22-BB22</f>
        <v>48622296.789999992</v>
      </c>
      <c r="BD22" s="3">
        <f>BC22/1000</f>
        <v>48622.296789999993</v>
      </c>
      <c r="BF22" s="3">
        <v>56381497.24000001</v>
      </c>
      <c r="BG22" s="3">
        <v>2957761</v>
      </c>
      <c r="BH22" s="3">
        <f>BF22-BG22</f>
        <v>53423736.24000001</v>
      </c>
      <c r="BI22" s="3">
        <f>BH22/1000</f>
        <v>53423.736240000013</v>
      </c>
      <c r="BK22" s="3">
        <v>56232535.880000003</v>
      </c>
      <c r="BL22" s="3">
        <v>3146098</v>
      </c>
      <c r="BM22" s="3">
        <f>BK22-BL22</f>
        <v>53086437.880000003</v>
      </c>
      <c r="BN22" s="3">
        <f>BM22/1000</f>
        <v>53086.437880000005</v>
      </c>
      <c r="BP22" s="3">
        <v>55971058.369999997</v>
      </c>
      <c r="BQ22" s="280">
        <v>3646747.08</v>
      </c>
      <c r="BR22" s="3">
        <f>BP22-BQ22</f>
        <v>52324311.289999999</v>
      </c>
      <c r="BS22" s="3">
        <f>BR22/1000</f>
        <v>52324.311289999998</v>
      </c>
      <c r="BU22" s="3">
        <v>56278968.759999998</v>
      </c>
      <c r="BV22" s="3">
        <v>4082731.09</v>
      </c>
      <c r="BW22" s="3">
        <f>BU22-BV22</f>
        <v>52196237.670000002</v>
      </c>
      <c r="BX22" s="3">
        <f>BW22/1000</f>
        <v>52196.237670000002</v>
      </c>
      <c r="BZ22" s="3">
        <v>57562682.149999999</v>
      </c>
      <c r="CA22" s="3">
        <v>3934770.79</v>
      </c>
      <c r="CB22" s="3">
        <f t="shared" si="7"/>
        <v>53627911.359999999</v>
      </c>
      <c r="CC22" s="3">
        <f t="shared" si="8"/>
        <v>53627.911359999998</v>
      </c>
      <c r="CE22" s="3">
        <v>60003041.340000004</v>
      </c>
      <c r="CF22" s="3">
        <v>3539032.11</v>
      </c>
      <c r="CG22" s="3">
        <f t="shared" si="9"/>
        <v>56464009.230000004</v>
      </c>
      <c r="CH22" s="3">
        <f t="shared" si="10"/>
        <v>56464.009230000003</v>
      </c>
    </row>
    <row r="23" spans="1:86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239"/>
      <c r="M23" s="239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201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3"/>
      <c r="AJ23" s="3"/>
      <c r="AK23" s="14"/>
      <c r="AL23" s="30"/>
      <c r="AM23" s="156"/>
      <c r="BQ23" s="280"/>
    </row>
    <row r="24" spans="1:86">
      <c r="A24" s="1" t="s">
        <v>16</v>
      </c>
      <c r="B24" s="14">
        <v>305763</v>
      </c>
      <c r="C24" s="14">
        <v>325488</v>
      </c>
      <c r="D24" s="14">
        <v>357570.19199999998</v>
      </c>
      <c r="E24" s="14">
        <v>390910.99620999995</v>
      </c>
      <c r="F24" s="14">
        <v>443370.23215</v>
      </c>
      <c r="G24" s="14">
        <v>457712.33818000002</v>
      </c>
      <c r="H24" s="14">
        <v>455328.64005999989</v>
      </c>
      <c r="I24" s="14">
        <v>456285.67713999999</v>
      </c>
      <c r="J24" s="14">
        <v>473913.55427000002</v>
      </c>
      <c r="K24" s="14">
        <v>478413.76167999982</v>
      </c>
      <c r="L24" s="239">
        <f>(K24-J24)*100/J24</f>
        <v>0.94958402633825534</v>
      </c>
      <c r="M24" s="239">
        <f t="shared" si="4"/>
        <v>56.465702134816219</v>
      </c>
      <c r="N24" s="14">
        <v>63811</v>
      </c>
      <c r="O24" s="14">
        <v>68834</v>
      </c>
      <c r="P24" s="14">
        <v>75672</v>
      </c>
      <c r="Q24" s="14">
        <v>86497</v>
      </c>
      <c r="R24" s="14">
        <f>111336-13200</f>
        <v>98136</v>
      </c>
      <c r="S24" s="14">
        <f>125150-14061</f>
        <v>111089</v>
      </c>
      <c r="T24" s="14">
        <f>137928-15782</f>
        <v>122146</v>
      </c>
      <c r="U24" s="14">
        <v>129420</v>
      </c>
      <c r="V24" s="14">
        <f>153328.503-17400.879</f>
        <v>135927.62400000001</v>
      </c>
      <c r="W24" s="14">
        <v>151997</v>
      </c>
      <c r="X24" s="201">
        <v>165749</v>
      </c>
      <c r="Y24" s="14">
        <f>187782.874-15357.694</f>
        <v>172425.18000000002</v>
      </c>
      <c r="Z24" s="14">
        <v>180188</v>
      </c>
      <c r="AA24" s="14">
        <v>192451</v>
      </c>
      <c r="AB24" s="14">
        <v>206065</v>
      </c>
      <c r="AC24" s="14">
        <v>219539</v>
      </c>
      <c r="AD24" s="14">
        <v>238743</v>
      </c>
      <c r="AE24" s="14">
        <v>268350.29712000006</v>
      </c>
      <c r="AF24" s="14">
        <v>305762.70400000003</v>
      </c>
      <c r="AG24" s="14">
        <v>280949310.12000006</v>
      </c>
      <c r="AH24" s="14">
        <v>12599013</v>
      </c>
      <c r="AI24" s="3">
        <f t="shared" si="5"/>
        <v>268350297.12000006</v>
      </c>
      <c r="AJ24" s="3">
        <f t="shared" si="6"/>
        <v>268350.29712000006</v>
      </c>
      <c r="AK24" s="14"/>
      <c r="AL24" s="30">
        <v>320615931</v>
      </c>
      <c r="AM24" s="156">
        <v>14853227</v>
      </c>
      <c r="AN24" s="3">
        <f>AL24-AM24</f>
        <v>305762704</v>
      </c>
      <c r="AO24" s="3">
        <f>AN24/1000</f>
        <v>305762.70400000003</v>
      </c>
      <c r="AQ24" s="3">
        <v>340998866</v>
      </c>
      <c r="AR24" s="3">
        <v>15511293</v>
      </c>
      <c r="AS24" s="3">
        <f>AQ24-AR24</f>
        <v>325487573</v>
      </c>
      <c r="AT24" s="3">
        <f>AS24/1000</f>
        <v>325487.57299999997</v>
      </c>
      <c r="AV24" s="3">
        <v>374013983</v>
      </c>
      <c r="AW24" s="3">
        <v>16443791</v>
      </c>
      <c r="AX24" s="3">
        <f>AV24-AW24</f>
        <v>357570192</v>
      </c>
      <c r="AY24" s="3">
        <f>AX24/1000</f>
        <v>357570.19199999998</v>
      </c>
      <c r="BA24" s="3">
        <v>409384394.20999998</v>
      </c>
      <c r="BB24" s="3">
        <v>18473398</v>
      </c>
      <c r="BC24" s="3">
        <f>BA24-BB24</f>
        <v>390910996.20999998</v>
      </c>
      <c r="BD24" s="3">
        <f>BC24/1000</f>
        <v>390910.99620999995</v>
      </c>
      <c r="BF24" s="3">
        <v>467308609.14999998</v>
      </c>
      <c r="BG24" s="3">
        <v>23938377</v>
      </c>
      <c r="BH24" s="3">
        <f>BF24-BG24</f>
        <v>443370232.14999998</v>
      </c>
      <c r="BI24" s="3">
        <f>BH24/1000</f>
        <v>443370.23215</v>
      </c>
      <c r="BK24" s="3">
        <v>484031918.18000001</v>
      </c>
      <c r="BL24" s="3">
        <v>26319580</v>
      </c>
      <c r="BM24" s="3">
        <f>BK24-BL24</f>
        <v>457712338.18000001</v>
      </c>
      <c r="BN24" s="3">
        <f>BM24/1000</f>
        <v>457712.33818000002</v>
      </c>
      <c r="BP24" s="3">
        <v>487074790.5399999</v>
      </c>
      <c r="BQ24" s="280">
        <v>31746150.48</v>
      </c>
      <c r="BR24" s="3">
        <f>BP24-BQ24</f>
        <v>455328640.05999988</v>
      </c>
      <c r="BS24" s="3">
        <f>BR24/1000</f>
        <v>455328.64005999989</v>
      </c>
      <c r="BU24" s="3">
        <v>492171347.31</v>
      </c>
      <c r="BV24" s="3">
        <v>35885670.170000002</v>
      </c>
      <c r="BW24" s="3">
        <f>BU24-BV24</f>
        <v>456285677.13999999</v>
      </c>
      <c r="BX24" s="3">
        <f>BW24/1000</f>
        <v>456285.67713999999</v>
      </c>
      <c r="BZ24" s="3">
        <v>509454223.34000003</v>
      </c>
      <c r="CA24" s="3">
        <v>35540669.07</v>
      </c>
      <c r="CB24" s="3">
        <f t="shared" si="7"/>
        <v>473913554.27000004</v>
      </c>
      <c r="CC24" s="3">
        <f t="shared" si="8"/>
        <v>473913.55427000002</v>
      </c>
      <c r="CE24" s="3">
        <v>511245318.21999985</v>
      </c>
      <c r="CF24" s="3">
        <v>32831556.539999999</v>
      </c>
      <c r="CG24" s="3">
        <f t="shared" si="9"/>
        <v>478413761.67999983</v>
      </c>
      <c r="CH24" s="3">
        <f t="shared" si="10"/>
        <v>478413.76167999982</v>
      </c>
    </row>
    <row r="25" spans="1:86">
      <c r="A25" s="1" t="s">
        <v>17</v>
      </c>
      <c r="B25" s="14">
        <v>40756</v>
      </c>
      <c r="C25" s="14">
        <v>42272</v>
      </c>
      <c r="D25" s="14">
        <v>44416.553</v>
      </c>
      <c r="E25" s="14">
        <v>47935.845049999996</v>
      </c>
      <c r="F25" s="14">
        <v>51192.808920000003</v>
      </c>
      <c r="G25" s="14">
        <v>51548.936000000023</v>
      </c>
      <c r="H25" s="14">
        <v>53288.94271000001</v>
      </c>
      <c r="I25" s="14">
        <v>52715.264810000001</v>
      </c>
      <c r="J25" s="14">
        <v>52707.253810000002</v>
      </c>
      <c r="K25" s="14">
        <v>53413.524460000001</v>
      </c>
      <c r="L25" s="239">
        <f>(K25-J25)*100/J25</f>
        <v>1.3399875708682811</v>
      </c>
      <c r="M25" s="239">
        <f t="shared" si="4"/>
        <v>31.056975204876178</v>
      </c>
      <c r="N25" s="14">
        <v>13340</v>
      </c>
      <c r="O25" s="14">
        <v>14570</v>
      </c>
      <c r="P25" s="14">
        <v>15879</v>
      </c>
      <c r="Q25" s="14">
        <v>17561</v>
      </c>
      <c r="R25" s="14">
        <f>21817-2546</f>
        <v>19271</v>
      </c>
      <c r="S25" s="14">
        <f>24216-2866</f>
        <v>21350</v>
      </c>
      <c r="T25" s="14">
        <f>26626-3156</f>
        <v>23470</v>
      </c>
      <c r="U25" s="14">
        <v>23266</v>
      </c>
      <c r="V25" s="14">
        <f>27069.456-3103.545</f>
        <v>23965.911</v>
      </c>
      <c r="W25" s="14">
        <v>26358</v>
      </c>
      <c r="X25" s="201">
        <v>27352</v>
      </c>
      <c r="Y25" s="14">
        <f>30506.655-2610.279</f>
        <v>27896.376</v>
      </c>
      <c r="Z25" s="14">
        <v>29326</v>
      </c>
      <c r="AA25" s="14">
        <v>30727</v>
      </c>
      <c r="AB25" s="14">
        <v>32472</v>
      </c>
      <c r="AC25" s="14">
        <v>33987</v>
      </c>
      <c r="AD25" s="14">
        <v>35532</v>
      </c>
      <c r="AE25" s="14">
        <v>37497.550589999992</v>
      </c>
      <c r="AF25" s="14">
        <v>40755.957000000002</v>
      </c>
      <c r="AG25" s="14">
        <v>39384754.589999989</v>
      </c>
      <c r="AH25" s="14">
        <v>1887204</v>
      </c>
      <c r="AI25" s="3">
        <f t="shared" si="5"/>
        <v>37497550.589999989</v>
      </c>
      <c r="AJ25" s="3">
        <f t="shared" si="6"/>
        <v>37497.550589999992</v>
      </c>
      <c r="AK25" s="14"/>
      <c r="AL25" s="30">
        <v>42861789</v>
      </c>
      <c r="AM25" s="156">
        <v>2105832</v>
      </c>
      <c r="AN25" s="3">
        <f>AL25-AM25</f>
        <v>40755957</v>
      </c>
      <c r="AO25" s="3">
        <f>AN25/1000</f>
        <v>40755.957000000002</v>
      </c>
      <c r="AQ25" s="3">
        <v>44396694</v>
      </c>
      <c r="AR25" s="3">
        <v>2124810</v>
      </c>
      <c r="AS25" s="3">
        <f>AQ25-AR25</f>
        <v>42271884</v>
      </c>
      <c r="AT25" s="3">
        <f>AS25/1000</f>
        <v>42271.883999999998</v>
      </c>
      <c r="AV25" s="3">
        <v>46614618</v>
      </c>
      <c r="AW25" s="3">
        <v>2198065</v>
      </c>
      <c r="AX25" s="3">
        <f>AV25-AW25</f>
        <v>44416553</v>
      </c>
      <c r="AY25" s="3">
        <f>AX25/1000</f>
        <v>44416.553</v>
      </c>
      <c r="BA25" s="3">
        <v>50375976.049999997</v>
      </c>
      <c r="BB25" s="3">
        <v>2440131</v>
      </c>
      <c r="BC25" s="3">
        <f>BA25-BB25</f>
        <v>47935845.049999997</v>
      </c>
      <c r="BD25" s="3">
        <f>BC25/1000</f>
        <v>47935.845049999996</v>
      </c>
      <c r="BF25" s="3">
        <v>54201104.920000002</v>
      </c>
      <c r="BG25" s="3">
        <v>3008296</v>
      </c>
      <c r="BH25" s="3">
        <f>BF25-BG25</f>
        <v>51192808.920000002</v>
      </c>
      <c r="BI25" s="3">
        <f>BH25/1000</f>
        <v>51192.808920000003</v>
      </c>
      <c r="BK25" s="3">
        <v>54809304.000000022</v>
      </c>
      <c r="BL25" s="3">
        <v>3260368</v>
      </c>
      <c r="BM25" s="3">
        <f>BK25-BL25</f>
        <v>51548936.000000022</v>
      </c>
      <c r="BN25" s="3">
        <f>BM25/1000</f>
        <v>51548.936000000023</v>
      </c>
      <c r="BP25" s="3">
        <v>56859219.120000005</v>
      </c>
      <c r="BQ25" s="280">
        <v>3570276.41</v>
      </c>
      <c r="BR25" s="3">
        <f>BP25-BQ25</f>
        <v>53288942.710000008</v>
      </c>
      <c r="BS25" s="3">
        <f>BR25/1000</f>
        <v>53288.94271000001</v>
      </c>
      <c r="BU25" s="3">
        <v>56712452.300000004</v>
      </c>
      <c r="BV25" s="3">
        <v>3997187.49</v>
      </c>
      <c r="BW25" s="3">
        <f>BU25-BV25</f>
        <v>52715264.810000002</v>
      </c>
      <c r="BX25" s="3">
        <f>BW25/1000</f>
        <v>52715.264810000001</v>
      </c>
      <c r="BZ25" s="3">
        <v>56684658.380000003</v>
      </c>
      <c r="CA25" s="3">
        <v>3977404.57</v>
      </c>
      <c r="CB25" s="3">
        <f t="shared" si="7"/>
        <v>52707253.810000002</v>
      </c>
      <c r="CC25" s="3">
        <f t="shared" si="8"/>
        <v>52707.253810000002</v>
      </c>
      <c r="CE25" s="3">
        <v>57027937.609999999</v>
      </c>
      <c r="CF25" s="3">
        <v>3614413.15</v>
      </c>
      <c r="CG25" s="3">
        <f t="shared" si="9"/>
        <v>53413524.460000001</v>
      </c>
      <c r="CH25" s="3">
        <f t="shared" si="10"/>
        <v>53413.524460000001</v>
      </c>
    </row>
    <row r="26" spans="1:86">
      <c r="A26" s="1" t="s">
        <v>18</v>
      </c>
      <c r="B26" s="14">
        <v>299618</v>
      </c>
      <c r="C26" s="14">
        <v>315636</v>
      </c>
      <c r="D26" s="14">
        <v>358802.42499999999</v>
      </c>
      <c r="E26" s="14">
        <v>396108.08735000005</v>
      </c>
      <c r="F26" s="14">
        <v>424776.19008000009</v>
      </c>
      <c r="G26" s="14">
        <v>433218.83867999999</v>
      </c>
      <c r="H26" s="14">
        <v>442881.79856000002</v>
      </c>
      <c r="I26" s="14">
        <v>450317.57029</v>
      </c>
      <c r="J26" s="14">
        <v>456204.16802999988</v>
      </c>
      <c r="K26" s="14">
        <v>454911.30856000003</v>
      </c>
      <c r="L26" s="239">
        <f>(K26-J26)*100/J26</f>
        <v>-0.28339492722802834</v>
      </c>
      <c r="M26" s="239">
        <f t="shared" si="4"/>
        <v>51.830395092717978</v>
      </c>
      <c r="N26" s="14">
        <v>74193</v>
      </c>
      <c r="O26" s="14">
        <v>79788</v>
      </c>
      <c r="P26" s="14">
        <v>86769</v>
      </c>
      <c r="Q26" s="14">
        <v>96330</v>
      </c>
      <c r="R26" s="14">
        <f>120658-13710</f>
        <v>106948</v>
      </c>
      <c r="S26" s="14">
        <f>134466-15583</f>
        <v>118883</v>
      </c>
      <c r="T26" s="14">
        <f>149541-17749</f>
        <v>131792</v>
      </c>
      <c r="U26" s="14">
        <v>140789</v>
      </c>
      <c r="V26" s="14">
        <f>169845.448-20101.065</f>
        <v>149744.383</v>
      </c>
      <c r="W26" s="14">
        <v>169179</v>
      </c>
      <c r="X26" s="201">
        <v>180997</v>
      </c>
      <c r="Y26" s="14">
        <f>207611.262-16988.594</f>
        <v>190622.66799999998</v>
      </c>
      <c r="Z26" s="14">
        <v>199275</v>
      </c>
      <c r="AA26" s="14">
        <v>209920</v>
      </c>
      <c r="AB26" s="14">
        <v>218478</v>
      </c>
      <c r="AC26" s="14">
        <v>232926</v>
      </c>
      <c r="AD26" s="14">
        <v>250722</v>
      </c>
      <c r="AE26" s="14">
        <v>270947.85313999996</v>
      </c>
      <c r="AF26" s="14">
        <v>299618.076</v>
      </c>
      <c r="AG26" s="14">
        <v>284456449.13999999</v>
      </c>
      <c r="AH26" s="14">
        <v>13508596</v>
      </c>
      <c r="AI26" s="3">
        <f t="shared" si="5"/>
        <v>270947853.13999999</v>
      </c>
      <c r="AJ26" s="3">
        <f t="shared" si="6"/>
        <v>270947.85313999996</v>
      </c>
      <c r="AK26" s="14"/>
      <c r="AL26" s="30">
        <v>315234157</v>
      </c>
      <c r="AM26" s="156">
        <v>15616081</v>
      </c>
      <c r="AN26" s="3">
        <f>AL26-AM26</f>
        <v>299618076</v>
      </c>
      <c r="AO26" s="3">
        <f>AN26/1000</f>
        <v>299618.076</v>
      </c>
      <c r="AQ26" s="3">
        <v>331807665</v>
      </c>
      <c r="AR26" s="3">
        <v>16172006</v>
      </c>
      <c r="AS26" s="3">
        <f>AQ26-AR26</f>
        <v>315635659</v>
      </c>
      <c r="AT26" s="3">
        <f>AS26/1000</f>
        <v>315635.65899999999</v>
      </c>
      <c r="AV26" s="3">
        <v>375190636</v>
      </c>
      <c r="AW26" s="3">
        <v>16388211</v>
      </c>
      <c r="AX26" s="3">
        <f>AV26-AW26</f>
        <v>358802425</v>
      </c>
      <c r="AY26" s="3">
        <f>AX26/1000</f>
        <v>358802.42499999999</v>
      </c>
      <c r="BA26" s="3">
        <v>413859943.35000002</v>
      </c>
      <c r="BB26" s="3">
        <v>17751856</v>
      </c>
      <c r="BC26" s="3">
        <f>BA26-BB26</f>
        <v>396108087.35000002</v>
      </c>
      <c r="BD26" s="3">
        <f>BC26/1000</f>
        <v>396108.08735000005</v>
      </c>
      <c r="BF26" s="3">
        <v>448646923.0800001</v>
      </c>
      <c r="BG26" s="3">
        <v>23870733</v>
      </c>
      <c r="BH26" s="3">
        <f>BF26-BG26</f>
        <v>424776190.0800001</v>
      </c>
      <c r="BI26" s="3">
        <f>BH26/1000</f>
        <v>424776.19008000009</v>
      </c>
      <c r="BK26" s="3">
        <v>459638455.68000001</v>
      </c>
      <c r="BL26" s="3">
        <v>26419617</v>
      </c>
      <c r="BM26" s="3">
        <f>BK26-BL26</f>
        <v>433218838.68000001</v>
      </c>
      <c r="BN26" s="3">
        <f>BM26/1000</f>
        <v>433218.83867999999</v>
      </c>
      <c r="BP26" s="3">
        <v>472969887.25999999</v>
      </c>
      <c r="BQ26" s="280">
        <v>30088088.699999999</v>
      </c>
      <c r="BR26" s="3">
        <f>BP26-BQ26</f>
        <v>442881798.56</v>
      </c>
      <c r="BS26" s="3">
        <f>BR26/1000</f>
        <v>442881.79856000002</v>
      </c>
      <c r="BU26" s="3">
        <v>482860551.16000003</v>
      </c>
      <c r="BV26" s="3">
        <v>32542980.870000001</v>
      </c>
      <c r="BW26" s="3">
        <f>BU26-BV26</f>
        <v>450317570.29000002</v>
      </c>
      <c r="BX26" s="3">
        <f>BW26/1000</f>
        <v>450317.57029</v>
      </c>
      <c r="BZ26" s="3">
        <v>488634115.95999992</v>
      </c>
      <c r="CA26" s="3">
        <v>32429947.93</v>
      </c>
      <c r="CB26" s="3">
        <f t="shared" si="7"/>
        <v>456204168.02999991</v>
      </c>
      <c r="CC26" s="3">
        <f t="shared" si="8"/>
        <v>456204.16802999988</v>
      </c>
      <c r="CE26" s="3">
        <v>485309182.93000007</v>
      </c>
      <c r="CF26" s="3">
        <v>30397874.370000001</v>
      </c>
      <c r="CG26" s="3">
        <f t="shared" si="9"/>
        <v>454911308.56000006</v>
      </c>
      <c r="CH26" s="3">
        <f t="shared" si="10"/>
        <v>454911.30856000003</v>
      </c>
    </row>
    <row r="27" spans="1:86">
      <c r="A27" s="1" t="s">
        <v>19</v>
      </c>
      <c r="B27" s="14">
        <v>448933</v>
      </c>
      <c r="C27" s="14">
        <v>483205</v>
      </c>
      <c r="D27" s="14">
        <v>522610.95699999999</v>
      </c>
      <c r="E27" s="14">
        <v>567700.78995000001</v>
      </c>
      <c r="F27" s="14">
        <v>633790.91425999999</v>
      </c>
      <c r="G27" s="14">
        <v>677174.39202999987</v>
      </c>
      <c r="H27" s="14">
        <v>679399.27179999987</v>
      </c>
      <c r="I27" s="14">
        <v>701873.29119999998</v>
      </c>
      <c r="J27" s="14">
        <v>705426.68515999999</v>
      </c>
      <c r="K27" s="14">
        <v>721240.39381999976</v>
      </c>
      <c r="L27" s="239">
        <f>(K27-J27)*100/J27</f>
        <v>2.2417224911775224</v>
      </c>
      <c r="M27" s="239">
        <f t="shared" si="4"/>
        <v>60.656682163599406</v>
      </c>
      <c r="N27" s="14">
        <v>84765</v>
      </c>
      <c r="O27" s="14">
        <v>94959</v>
      </c>
      <c r="P27" s="14">
        <v>105724</v>
      </c>
      <c r="Q27" s="14">
        <v>120843</v>
      </c>
      <c r="R27" s="14">
        <f>154299-16277</f>
        <v>138022</v>
      </c>
      <c r="S27" s="14">
        <f>177433-18771</f>
        <v>158662</v>
      </c>
      <c r="T27" s="14">
        <f>204587-20984</f>
        <v>183603</v>
      </c>
      <c r="U27" s="14">
        <v>180894</v>
      </c>
      <c r="V27" s="14">
        <f>213335.306-24403.312</f>
        <v>188931.99400000001</v>
      </c>
      <c r="W27" s="14">
        <v>209184</v>
      </c>
      <c r="X27" s="201">
        <v>225155</v>
      </c>
      <c r="Y27" s="14">
        <f>261805.99-20737.782</f>
        <v>241068.20799999998</v>
      </c>
      <c r="Z27" s="14">
        <v>249190</v>
      </c>
      <c r="AA27" s="14">
        <v>261395</v>
      </c>
      <c r="AB27" s="14">
        <v>282982</v>
      </c>
      <c r="AC27" s="14">
        <v>321568</v>
      </c>
      <c r="AD27" s="14">
        <v>358350</v>
      </c>
      <c r="AE27" s="14">
        <v>389190.95899999997</v>
      </c>
      <c r="AF27" s="14">
        <v>448932.70799999998</v>
      </c>
      <c r="AG27" s="14">
        <v>407783380</v>
      </c>
      <c r="AH27" s="14">
        <v>18592421</v>
      </c>
      <c r="AI27" s="3">
        <f t="shared" si="5"/>
        <v>389190959</v>
      </c>
      <c r="AJ27" s="3">
        <f t="shared" si="6"/>
        <v>389190.95899999997</v>
      </c>
      <c r="AK27" s="14"/>
      <c r="AL27" s="30">
        <v>472213591</v>
      </c>
      <c r="AM27" s="156">
        <v>23280883</v>
      </c>
      <c r="AN27" s="3">
        <f>AL27-AM27</f>
        <v>448932708</v>
      </c>
      <c r="AO27" s="3">
        <f>AN27/1000</f>
        <v>448932.70799999998</v>
      </c>
      <c r="AQ27" s="3">
        <v>507485503</v>
      </c>
      <c r="AR27" s="3">
        <v>24280894</v>
      </c>
      <c r="AS27" s="3">
        <f>AQ27-AR27</f>
        <v>483204609</v>
      </c>
      <c r="AT27" s="3">
        <f>AS27/1000</f>
        <v>483204.609</v>
      </c>
      <c r="AV27" s="3">
        <v>548902171</v>
      </c>
      <c r="AW27" s="3">
        <v>26291214</v>
      </c>
      <c r="AX27" s="3">
        <f>AV27-AW27</f>
        <v>522610957</v>
      </c>
      <c r="AY27" s="3">
        <f>AX27/1000</f>
        <v>522610.95699999999</v>
      </c>
      <c r="BA27" s="3">
        <v>597416783.95000005</v>
      </c>
      <c r="BB27" s="3">
        <v>29715994</v>
      </c>
      <c r="BC27" s="3">
        <f>BA27-BB27</f>
        <v>567700789.95000005</v>
      </c>
      <c r="BD27" s="3">
        <f>BC27/1000</f>
        <v>567700.78995000001</v>
      </c>
      <c r="BF27" s="3">
        <v>671766550.25999999</v>
      </c>
      <c r="BG27" s="3">
        <v>37975636</v>
      </c>
      <c r="BH27" s="3">
        <f>BF27-BG27</f>
        <v>633790914.25999999</v>
      </c>
      <c r="BI27" s="3">
        <f>BH27/1000</f>
        <v>633790.91425999999</v>
      </c>
      <c r="BK27" s="3">
        <v>718598360.02999985</v>
      </c>
      <c r="BL27" s="3">
        <v>41423968</v>
      </c>
      <c r="BM27" s="3">
        <f>BK27-BL27</f>
        <v>677174392.02999985</v>
      </c>
      <c r="BN27" s="3">
        <f>BM27/1000</f>
        <v>677174.39202999987</v>
      </c>
      <c r="BP27" s="3">
        <v>730008616.65999985</v>
      </c>
      <c r="BQ27" s="280">
        <v>50609344.859999999</v>
      </c>
      <c r="BR27" s="3">
        <f>BP27-BQ27</f>
        <v>679399271.79999983</v>
      </c>
      <c r="BS27" s="3">
        <f>BR27/1000</f>
        <v>679399.27179999987</v>
      </c>
      <c r="BU27" s="3">
        <v>760623810.07999992</v>
      </c>
      <c r="BV27" s="3">
        <v>58750518.880000003</v>
      </c>
      <c r="BW27" s="3">
        <f>BU27-BV27</f>
        <v>701873291.19999993</v>
      </c>
      <c r="BX27" s="3">
        <f>BW27/1000</f>
        <v>701873.29119999998</v>
      </c>
      <c r="BZ27" s="3">
        <v>763767295.14999998</v>
      </c>
      <c r="CA27" s="3">
        <v>58340609.990000002</v>
      </c>
      <c r="CB27" s="3">
        <f t="shared" si="7"/>
        <v>705426685.15999997</v>
      </c>
      <c r="CC27" s="3">
        <f t="shared" si="8"/>
        <v>705426.68515999999</v>
      </c>
      <c r="CE27" s="3">
        <v>776628790.68999982</v>
      </c>
      <c r="CF27" s="3">
        <v>55388396.869999997</v>
      </c>
      <c r="CG27" s="3">
        <f t="shared" si="9"/>
        <v>721240393.81999981</v>
      </c>
      <c r="CH27" s="3">
        <f t="shared" si="10"/>
        <v>721240.39381999976</v>
      </c>
    </row>
    <row r="28" spans="1:86">
      <c r="A28" s="1" t="s">
        <v>20</v>
      </c>
      <c r="B28" s="14">
        <v>24061</v>
      </c>
      <c r="C28" s="14">
        <v>24640</v>
      </c>
      <c r="D28" s="14">
        <v>26038.525000000001</v>
      </c>
      <c r="E28" s="14">
        <v>27514.929669999998</v>
      </c>
      <c r="F28" s="14">
        <v>27109.1895</v>
      </c>
      <c r="G28" s="14">
        <v>29771.891370000001</v>
      </c>
      <c r="H28" s="14">
        <v>30928.958039999998</v>
      </c>
      <c r="I28" s="14">
        <v>29588.883700000002</v>
      </c>
      <c r="J28" s="14">
        <v>28563.218419999997</v>
      </c>
      <c r="K28" s="14">
        <v>29581.260019999991</v>
      </c>
      <c r="L28" s="239">
        <f>(K28-J28)*100/J28</f>
        <v>3.5641697830772436</v>
      </c>
      <c r="M28" s="239">
        <f t="shared" si="4"/>
        <v>22.942959598084212</v>
      </c>
      <c r="N28" s="14">
        <v>7397</v>
      </c>
      <c r="O28" s="14">
        <v>8162</v>
      </c>
      <c r="P28" s="14">
        <v>8805</v>
      </c>
      <c r="Q28" s="14">
        <v>9729</v>
      </c>
      <c r="R28" s="14">
        <f>12600-1331</f>
        <v>11269</v>
      </c>
      <c r="S28" s="14">
        <f>14026-1432</f>
        <v>12594</v>
      </c>
      <c r="T28" s="14">
        <f>14873-1597</f>
        <v>13276</v>
      </c>
      <c r="U28" s="14">
        <v>13375</v>
      </c>
      <c r="V28" s="14">
        <f>15432.637-1709.593</f>
        <v>13723.044</v>
      </c>
      <c r="W28" s="14">
        <v>15574</v>
      </c>
      <c r="X28" s="201">
        <v>16530</v>
      </c>
      <c r="Y28" s="14">
        <f>18582.291-1525.805</f>
        <v>17056.486000000001</v>
      </c>
      <c r="Z28" s="14">
        <v>17656</v>
      </c>
      <c r="AA28" s="30">
        <v>20400</v>
      </c>
      <c r="AB28" s="14">
        <v>19760</v>
      </c>
      <c r="AC28" s="14">
        <v>20706</v>
      </c>
      <c r="AD28" s="14">
        <v>22682</v>
      </c>
      <c r="AE28" s="14">
        <v>24553.755860000001</v>
      </c>
      <c r="AF28" s="14">
        <v>24060.963</v>
      </c>
      <c r="AG28" s="14">
        <v>25687211.859999999</v>
      </c>
      <c r="AH28" s="14">
        <v>1133456</v>
      </c>
      <c r="AI28" s="3">
        <f t="shared" si="5"/>
        <v>24553755.859999999</v>
      </c>
      <c r="AJ28" s="3">
        <f t="shared" si="6"/>
        <v>24553.755860000001</v>
      </c>
      <c r="AK28" s="14"/>
      <c r="AL28" s="30">
        <v>25384558</v>
      </c>
      <c r="AM28" s="156">
        <v>1323595</v>
      </c>
      <c r="AN28" s="3">
        <f>AL28-AM28</f>
        <v>24060963</v>
      </c>
      <c r="AO28" s="3">
        <f>AN28/1000</f>
        <v>24060.963</v>
      </c>
      <c r="AQ28" s="3">
        <v>26017181</v>
      </c>
      <c r="AR28" s="3">
        <v>1377577</v>
      </c>
      <c r="AS28" s="3">
        <f>AQ28-AR28</f>
        <v>24639604</v>
      </c>
      <c r="AT28" s="3">
        <f>AS28/1000</f>
        <v>24639.603999999999</v>
      </c>
      <c r="AV28" s="3">
        <v>27324704</v>
      </c>
      <c r="AW28" s="3">
        <v>1286179</v>
      </c>
      <c r="AX28" s="3">
        <f>AV28-AW28</f>
        <v>26038525</v>
      </c>
      <c r="AY28" s="3">
        <f>AX28/1000</f>
        <v>26038.525000000001</v>
      </c>
      <c r="BA28" s="3">
        <v>28885560.669999998</v>
      </c>
      <c r="BB28" s="3">
        <v>1370631</v>
      </c>
      <c r="BC28" s="3">
        <f>BA28-BB28</f>
        <v>27514929.669999998</v>
      </c>
      <c r="BD28" s="3">
        <f>BC28/1000</f>
        <v>27514.929669999998</v>
      </c>
      <c r="BF28" s="3">
        <v>28787983.5</v>
      </c>
      <c r="BG28" s="3">
        <v>1678794</v>
      </c>
      <c r="BH28" s="3">
        <f>BF28-BG28</f>
        <v>27109189.5</v>
      </c>
      <c r="BI28" s="3">
        <f>BH28/1000</f>
        <v>27109.1895</v>
      </c>
      <c r="BK28" s="3">
        <v>31560237.370000001</v>
      </c>
      <c r="BL28" s="3">
        <v>1788346</v>
      </c>
      <c r="BM28" s="3">
        <f>BK28-BL28</f>
        <v>29771891.370000001</v>
      </c>
      <c r="BN28" s="3">
        <f>BM28/1000</f>
        <v>29771.891370000001</v>
      </c>
      <c r="BP28" s="3">
        <v>32913089.709999997</v>
      </c>
      <c r="BQ28" s="280">
        <v>1984131.67</v>
      </c>
      <c r="BR28" s="3">
        <f>BP28-BQ28</f>
        <v>30928958.039999999</v>
      </c>
      <c r="BS28" s="3">
        <f>BR28/1000</f>
        <v>30928.958039999998</v>
      </c>
      <c r="BU28" s="3">
        <v>31738029.850000001</v>
      </c>
      <c r="BV28" s="3">
        <v>2149146.15</v>
      </c>
      <c r="BW28" s="3">
        <f>BU28-BV28</f>
        <v>29588883.700000003</v>
      </c>
      <c r="BX28" s="3">
        <f>BW28/1000</f>
        <v>29588.883700000002</v>
      </c>
      <c r="BZ28" s="3">
        <v>30686572.139999997</v>
      </c>
      <c r="CA28" s="3">
        <v>2123353.7200000002</v>
      </c>
      <c r="CB28" s="3">
        <f t="shared" si="7"/>
        <v>28563218.419999998</v>
      </c>
      <c r="CC28" s="3">
        <f t="shared" si="8"/>
        <v>28563.218419999997</v>
      </c>
      <c r="CE28" s="3">
        <v>31563067.399999991</v>
      </c>
      <c r="CF28" s="3">
        <v>1981807.38</v>
      </c>
      <c r="CG28" s="3">
        <f t="shared" si="9"/>
        <v>29581260.019999992</v>
      </c>
      <c r="CH28" s="3">
        <f t="shared" si="10"/>
        <v>29581.260019999991</v>
      </c>
    </row>
    <row r="29" spans="1:86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239"/>
      <c r="M29" s="239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203"/>
      <c r="Y29" s="14"/>
      <c r="Z29" s="14"/>
      <c r="AA29" s="30"/>
      <c r="AB29" s="14"/>
      <c r="AC29" s="14"/>
      <c r="AD29" s="14"/>
      <c r="AE29" s="14"/>
      <c r="AF29" s="14"/>
      <c r="AG29" s="14"/>
      <c r="AH29" s="14"/>
      <c r="AI29" s="3"/>
      <c r="AJ29" s="3"/>
      <c r="AK29" s="14"/>
      <c r="AL29" s="30"/>
      <c r="AM29" s="156"/>
      <c r="BQ29" s="280"/>
    </row>
    <row r="30" spans="1:86">
      <c r="A30" s="1" t="s">
        <v>21</v>
      </c>
      <c r="B30" s="14">
        <v>1455186</v>
      </c>
      <c r="C30" s="14">
        <v>1567296</v>
      </c>
      <c r="D30" s="14">
        <v>1683251.537</v>
      </c>
      <c r="E30" s="14">
        <v>1804220.49804</v>
      </c>
      <c r="F30" s="14">
        <v>1926642.179130001</v>
      </c>
      <c r="G30" s="14">
        <v>2006302.4228899998</v>
      </c>
      <c r="H30" s="14">
        <v>2043837.1688399997</v>
      </c>
      <c r="I30" s="14">
        <v>2029433.9132300003</v>
      </c>
      <c r="J30" s="14">
        <v>2017719.1699799998</v>
      </c>
      <c r="K30" s="14">
        <v>2097120.0014</v>
      </c>
      <c r="L30" s="239">
        <f>(K30-J30)*100/J30</f>
        <v>3.9351775312115027</v>
      </c>
      <c r="M30" s="239">
        <f t="shared" si="4"/>
        <v>44.113544812822511</v>
      </c>
      <c r="N30" s="14">
        <v>381936</v>
      </c>
      <c r="O30" s="14">
        <v>415578</v>
      </c>
      <c r="P30" s="14">
        <v>452596</v>
      </c>
      <c r="Q30" s="14">
        <v>504423</v>
      </c>
      <c r="R30" s="14">
        <f>644864-83212</f>
        <v>561652</v>
      </c>
      <c r="S30" s="14">
        <f>714689-88496</f>
        <v>626193</v>
      </c>
      <c r="T30" s="14">
        <f>780609-96262</f>
        <v>684347</v>
      </c>
      <c r="U30" s="14">
        <v>695211</v>
      </c>
      <c r="V30" s="14">
        <f>815173.495-95295.276</f>
        <v>719878.21900000004</v>
      </c>
      <c r="W30" s="14">
        <v>773667</v>
      </c>
      <c r="X30" s="203">
        <v>813765</v>
      </c>
      <c r="Y30" s="14">
        <f>935435.462-79534.647</f>
        <v>855900.81500000006</v>
      </c>
      <c r="Z30" s="14">
        <v>892984</v>
      </c>
      <c r="AA30" s="30">
        <v>943875</v>
      </c>
      <c r="AB30" s="14">
        <v>1006397</v>
      </c>
      <c r="AC30" s="14">
        <v>1079688</v>
      </c>
      <c r="AD30" s="14">
        <v>1189767</v>
      </c>
      <c r="AE30" s="14">
        <v>1287628.02229</v>
      </c>
      <c r="AF30" s="14">
        <v>1455185.912</v>
      </c>
      <c r="AG30" s="14">
        <v>1350974775.29</v>
      </c>
      <c r="AH30" s="14">
        <v>63346753</v>
      </c>
      <c r="AI30" s="3">
        <f t="shared" si="5"/>
        <v>1287628022.29</v>
      </c>
      <c r="AJ30" s="3">
        <f t="shared" si="6"/>
        <v>1287628.02229</v>
      </c>
      <c r="AK30" s="14"/>
      <c r="AL30" s="30">
        <v>1532477269</v>
      </c>
      <c r="AM30" s="156">
        <v>77291357</v>
      </c>
      <c r="AN30" s="3">
        <f>AL30-AM30</f>
        <v>1455185912</v>
      </c>
      <c r="AO30" s="3">
        <f t="shared" ref="AO30:AO39" si="11">AN30/1000</f>
        <v>1455185.912</v>
      </c>
      <c r="AQ30" s="3">
        <v>1649233527</v>
      </c>
      <c r="AR30" s="3">
        <v>81937339</v>
      </c>
      <c r="AS30" s="3">
        <f>AQ30-AR30</f>
        <v>1567296188</v>
      </c>
      <c r="AT30" s="3">
        <f t="shared" ref="AT30:AT39" si="12">AS30/1000</f>
        <v>1567296.1880000001</v>
      </c>
      <c r="AV30" s="3">
        <v>1767545886</v>
      </c>
      <c r="AW30" s="3">
        <v>84294349</v>
      </c>
      <c r="AX30" s="3">
        <f>AV30-AW30</f>
        <v>1683251537</v>
      </c>
      <c r="AY30" s="3">
        <f t="shared" ref="AY30:AY39" si="13">AX30/1000</f>
        <v>1683251.537</v>
      </c>
      <c r="BA30" s="3">
        <v>1895860817.04</v>
      </c>
      <c r="BB30" s="3">
        <v>91640319</v>
      </c>
      <c r="BC30" s="3">
        <f>BA30-BB30</f>
        <v>1804220498.04</v>
      </c>
      <c r="BD30" s="3">
        <f t="shared" ref="BD30:BD39" si="14">BC30/1000</f>
        <v>1804220.49804</v>
      </c>
      <c r="BF30" s="3">
        <v>2042149198.1300011</v>
      </c>
      <c r="BG30" s="3">
        <v>115507019</v>
      </c>
      <c r="BH30" s="3">
        <f>BF30-BG30</f>
        <v>1926642179.1300011</v>
      </c>
      <c r="BI30" s="3">
        <f t="shared" ref="BI30:BI39" si="15">BH30/1000</f>
        <v>1926642.179130001</v>
      </c>
      <c r="BK30" s="3">
        <v>2131199809.8899999</v>
      </c>
      <c r="BL30" s="3">
        <v>124897387</v>
      </c>
      <c r="BM30" s="3">
        <f>BK30-BL30</f>
        <v>2006302422.8899999</v>
      </c>
      <c r="BN30" s="3">
        <f>BM30/1000</f>
        <v>2006302.4228899998</v>
      </c>
      <c r="BP30" s="3">
        <v>2187410005.1999998</v>
      </c>
      <c r="BQ30" s="280">
        <v>143572836.36000001</v>
      </c>
      <c r="BR30" s="3">
        <f>BP30-BQ30</f>
        <v>2043837168.8399997</v>
      </c>
      <c r="BS30" s="3">
        <f>BR30/1000</f>
        <v>2043837.1688399997</v>
      </c>
      <c r="BU30" s="3">
        <v>2193145346.3900003</v>
      </c>
      <c r="BV30" s="3">
        <v>163711433.16</v>
      </c>
      <c r="BW30" s="3">
        <f>BU30-BV30</f>
        <v>2029433913.2300003</v>
      </c>
      <c r="BX30" s="3">
        <f>BW30/1000</f>
        <v>2029433.9132300003</v>
      </c>
      <c r="BZ30" s="3">
        <v>2183035460.2199998</v>
      </c>
      <c r="CA30" s="3">
        <v>165316290.24000001</v>
      </c>
      <c r="CB30" s="3">
        <f t="shared" si="7"/>
        <v>2017719169.9799998</v>
      </c>
      <c r="CC30" s="3">
        <f t="shared" si="8"/>
        <v>2017719.1699799998</v>
      </c>
      <c r="CE30" s="3">
        <v>2248377803.3499999</v>
      </c>
      <c r="CF30" s="3">
        <v>151257801.94999999</v>
      </c>
      <c r="CG30" s="3">
        <f t="shared" si="9"/>
        <v>2097120001.3999999</v>
      </c>
      <c r="CH30" s="3">
        <f t="shared" si="10"/>
        <v>2097120.0014</v>
      </c>
    </row>
    <row r="31" spans="1:86">
      <c r="A31" s="1" t="s">
        <v>22</v>
      </c>
      <c r="B31" s="14">
        <v>1129031</v>
      </c>
      <c r="C31" s="14">
        <v>1224625</v>
      </c>
      <c r="D31" s="14">
        <v>1309195.3999999999</v>
      </c>
      <c r="E31" s="14">
        <v>1457135.6442</v>
      </c>
      <c r="F31" s="14">
        <v>1675769.1465599998</v>
      </c>
      <c r="G31" s="14">
        <v>1657020.5187899994</v>
      </c>
      <c r="H31" s="14">
        <v>1659544.2218000002</v>
      </c>
      <c r="I31" s="14">
        <v>1604147.5851799999</v>
      </c>
      <c r="J31" s="14">
        <v>1551964.9808399999</v>
      </c>
      <c r="K31" s="14">
        <v>1649119.6755700002</v>
      </c>
      <c r="L31" s="239">
        <f>(K31-J31)*100/J31</f>
        <v>6.2601086963583059</v>
      </c>
      <c r="M31" s="239">
        <f t="shared" si="4"/>
        <v>46.065096305726549</v>
      </c>
      <c r="N31" s="14">
        <v>322138</v>
      </c>
      <c r="O31" s="14">
        <v>344137</v>
      </c>
      <c r="P31" s="14">
        <v>375974</v>
      </c>
      <c r="Q31" s="14">
        <v>429815</v>
      </c>
      <c r="R31" s="14">
        <f>533634-65232</f>
        <v>468402</v>
      </c>
      <c r="S31" s="14">
        <f>576774-68171</f>
        <v>508603</v>
      </c>
      <c r="T31" s="14">
        <f>626054-73233</f>
        <v>552821</v>
      </c>
      <c r="U31" s="14">
        <v>554716</v>
      </c>
      <c r="V31" s="14">
        <f>663265.452-72217.316</f>
        <v>591048.13600000006</v>
      </c>
      <c r="W31" s="14">
        <v>641632</v>
      </c>
      <c r="X31" s="203">
        <v>682772</v>
      </c>
      <c r="Y31" s="14">
        <f>767173.669-62887.658</f>
        <v>704286.01099999994</v>
      </c>
      <c r="Z31" s="14">
        <v>737341</v>
      </c>
      <c r="AA31" s="30">
        <v>788620</v>
      </c>
      <c r="AB31" s="14">
        <v>842987</v>
      </c>
      <c r="AC31" s="14">
        <v>894764</v>
      </c>
      <c r="AD31" s="14">
        <v>959409</v>
      </c>
      <c r="AE31" s="14">
        <v>1031562.0460300002</v>
      </c>
      <c r="AF31" s="14">
        <v>1129030.629</v>
      </c>
      <c r="AG31" s="14">
        <v>1077970547.0300002</v>
      </c>
      <c r="AH31" s="14">
        <v>46408501</v>
      </c>
      <c r="AI31" s="3">
        <f t="shared" si="5"/>
        <v>1031562046.0300002</v>
      </c>
      <c r="AJ31" s="3">
        <f t="shared" si="6"/>
        <v>1031562.0460300002</v>
      </c>
      <c r="AK31" s="14"/>
      <c r="AL31" s="30">
        <v>1182047128</v>
      </c>
      <c r="AM31" s="156">
        <v>53016499</v>
      </c>
      <c r="AN31" s="3">
        <f>AL31-AM31</f>
        <v>1129030629</v>
      </c>
      <c r="AO31" s="3">
        <f t="shared" si="11"/>
        <v>1129030.629</v>
      </c>
      <c r="AQ31" s="3">
        <v>1281721111</v>
      </c>
      <c r="AR31" s="3">
        <v>57096339</v>
      </c>
      <c r="AS31" s="3">
        <f>AQ31-AR31</f>
        <v>1224624772</v>
      </c>
      <c r="AT31" s="3">
        <f t="shared" si="12"/>
        <v>1224624.7720000001</v>
      </c>
      <c r="AV31" s="3">
        <v>1365988555</v>
      </c>
      <c r="AW31" s="3">
        <v>56793155</v>
      </c>
      <c r="AX31" s="3">
        <f>AV31-AW31</f>
        <v>1309195400</v>
      </c>
      <c r="AY31" s="3">
        <f t="shared" si="13"/>
        <v>1309195.3999999999</v>
      </c>
      <c r="BA31" s="3">
        <v>1520688408.2</v>
      </c>
      <c r="BB31" s="3">
        <v>63552764</v>
      </c>
      <c r="BC31" s="3">
        <f>BA31-BB31</f>
        <v>1457135644.2</v>
      </c>
      <c r="BD31" s="3">
        <f t="shared" si="14"/>
        <v>1457135.6442</v>
      </c>
      <c r="BF31" s="3">
        <v>1755513547.5599997</v>
      </c>
      <c r="BG31" s="3">
        <v>79744401</v>
      </c>
      <c r="BH31" s="3">
        <f>BF31-BG31</f>
        <v>1675769146.5599997</v>
      </c>
      <c r="BI31" s="3">
        <f t="shared" si="15"/>
        <v>1675769.1465599998</v>
      </c>
      <c r="BK31" s="3">
        <v>1747163549.7899995</v>
      </c>
      <c r="BL31" s="3">
        <v>90143031</v>
      </c>
      <c r="BM31" s="3">
        <f>BK31-BL31</f>
        <v>1657020518.7899995</v>
      </c>
      <c r="BN31" s="3">
        <f>BM31/1000</f>
        <v>1657020.5187899994</v>
      </c>
      <c r="BP31" s="3">
        <v>1766759542.4700003</v>
      </c>
      <c r="BQ31" s="280">
        <v>107215320.67</v>
      </c>
      <c r="BR31" s="3">
        <f>BP31-BQ31</f>
        <v>1659544221.8000002</v>
      </c>
      <c r="BS31" s="3">
        <f>BR31/1000</f>
        <v>1659544.2218000002</v>
      </c>
      <c r="BU31" s="3">
        <v>1725020778.1799998</v>
      </c>
      <c r="BV31" s="3">
        <v>120873193</v>
      </c>
      <c r="BW31" s="3">
        <f>BU31-BV31</f>
        <v>1604147585.1799998</v>
      </c>
      <c r="BX31" s="3">
        <f>BW31/1000</f>
        <v>1604147.5851799999</v>
      </c>
      <c r="BZ31" s="3">
        <v>1670401396.3999999</v>
      </c>
      <c r="CA31" s="3">
        <v>118436415.56</v>
      </c>
      <c r="CB31" s="3">
        <f t="shared" si="7"/>
        <v>1551964980.8399999</v>
      </c>
      <c r="CC31" s="3">
        <f t="shared" si="8"/>
        <v>1551964.9808399999</v>
      </c>
      <c r="CE31" s="3">
        <v>1755484197.1900001</v>
      </c>
      <c r="CF31" s="3">
        <v>106364521.62</v>
      </c>
      <c r="CG31" s="3">
        <f t="shared" si="9"/>
        <v>1649119675.5700002</v>
      </c>
      <c r="CH31" s="3">
        <f t="shared" si="10"/>
        <v>1649119.6755700002</v>
      </c>
    </row>
    <row r="32" spans="1:86">
      <c r="A32" s="1" t="s">
        <v>23</v>
      </c>
      <c r="B32" s="14">
        <v>60034</v>
      </c>
      <c r="C32" s="14">
        <v>62828</v>
      </c>
      <c r="D32" s="14">
        <v>67404.182000000001</v>
      </c>
      <c r="E32" s="14">
        <v>71201.18763</v>
      </c>
      <c r="F32" s="14">
        <v>77965.840599999996</v>
      </c>
      <c r="G32" s="14">
        <v>82881.189349999971</v>
      </c>
      <c r="H32" s="14">
        <v>84732.288849999997</v>
      </c>
      <c r="I32" s="14">
        <v>84861.810169999982</v>
      </c>
      <c r="J32" s="14">
        <v>80211.067710000003</v>
      </c>
      <c r="K32" s="14">
        <v>83064.4372</v>
      </c>
      <c r="L32" s="239">
        <f>(K32-J32)*100/J32</f>
        <v>3.5573264032792129</v>
      </c>
      <c r="M32" s="239">
        <f t="shared" si="4"/>
        <v>38.363395059111539</v>
      </c>
      <c r="N32" s="14">
        <v>13559</v>
      </c>
      <c r="O32" s="14">
        <v>15474</v>
      </c>
      <c r="P32" s="14">
        <v>17450</v>
      </c>
      <c r="Q32" s="14">
        <v>19342</v>
      </c>
      <c r="R32" s="14">
        <v>21165</v>
      </c>
      <c r="S32" s="14">
        <f>26598-2808</f>
        <v>23790</v>
      </c>
      <c r="T32" s="14">
        <f>28520-3215</f>
        <v>25305</v>
      </c>
      <c r="U32" s="14">
        <v>27636</v>
      </c>
      <c r="V32" s="14">
        <f>32195.754-3547.14</f>
        <v>28648.614000000001</v>
      </c>
      <c r="W32" s="14">
        <v>31360</v>
      </c>
      <c r="X32" s="201">
        <v>33064</v>
      </c>
      <c r="Y32" s="14">
        <f>36645.216-3142.252</f>
        <v>33502.964</v>
      </c>
      <c r="Z32" s="14">
        <v>35412</v>
      </c>
      <c r="AA32" s="14">
        <v>38080</v>
      </c>
      <c r="AB32" s="14">
        <v>42314</v>
      </c>
      <c r="AC32" s="14">
        <v>44946</v>
      </c>
      <c r="AD32" s="14">
        <v>49088</v>
      </c>
      <c r="AE32" s="14">
        <v>53639.240450000005</v>
      </c>
      <c r="AF32" s="14">
        <v>60033.535000000003</v>
      </c>
      <c r="AG32" s="14">
        <v>56146444.450000003</v>
      </c>
      <c r="AH32" s="14">
        <v>2507204</v>
      </c>
      <c r="AI32" s="3">
        <f t="shared" si="5"/>
        <v>53639240.450000003</v>
      </c>
      <c r="AJ32" s="3">
        <f t="shared" si="6"/>
        <v>53639.240450000005</v>
      </c>
      <c r="AK32" s="14"/>
      <c r="AL32" s="30">
        <v>63022312</v>
      </c>
      <c r="AM32" s="156">
        <v>2988777</v>
      </c>
      <c r="AN32" s="3">
        <f>AL32-AM32</f>
        <v>60033535</v>
      </c>
      <c r="AO32" s="3">
        <f t="shared" si="11"/>
        <v>60033.535000000003</v>
      </c>
      <c r="AQ32" s="3">
        <v>65906459</v>
      </c>
      <c r="AR32" s="3">
        <v>3078267</v>
      </c>
      <c r="AS32" s="3">
        <f>AQ32-AR32</f>
        <v>62828192</v>
      </c>
      <c r="AT32" s="3">
        <f t="shared" si="12"/>
        <v>62828.192000000003</v>
      </c>
      <c r="AV32" s="3">
        <v>70640615</v>
      </c>
      <c r="AW32" s="3">
        <v>3236433</v>
      </c>
      <c r="AX32" s="3">
        <f>AV32-AW32</f>
        <v>67404182</v>
      </c>
      <c r="AY32" s="3">
        <f t="shared" si="13"/>
        <v>67404.182000000001</v>
      </c>
      <c r="BA32" s="3">
        <v>74774911.629999995</v>
      </c>
      <c r="BB32" s="3">
        <v>3573724</v>
      </c>
      <c r="BC32" s="3">
        <f>BA32-BB32</f>
        <v>71201187.629999995</v>
      </c>
      <c r="BD32" s="3">
        <f t="shared" si="14"/>
        <v>71201.18763</v>
      </c>
      <c r="BF32" s="3">
        <v>82468978.599999994</v>
      </c>
      <c r="BG32" s="3">
        <v>4503138</v>
      </c>
      <c r="BH32" s="3">
        <f>BF32-BG32</f>
        <v>77965840.599999994</v>
      </c>
      <c r="BI32" s="3">
        <f t="shared" si="15"/>
        <v>77965.840599999996</v>
      </c>
      <c r="BK32" s="3">
        <v>87597406.349999964</v>
      </c>
      <c r="BL32" s="3">
        <v>4716217</v>
      </c>
      <c r="BM32" s="3">
        <f>BK32-BL32</f>
        <v>82881189.349999964</v>
      </c>
      <c r="BN32" s="3">
        <f>BM32/1000</f>
        <v>82881.189349999971</v>
      </c>
      <c r="BP32" s="3">
        <v>90188107.289999992</v>
      </c>
      <c r="BQ32" s="280">
        <v>5455818.4400000004</v>
      </c>
      <c r="BR32" s="3">
        <f>BP32-BQ32</f>
        <v>84732288.849999994</v>
      </c>
      <c r="BS32" s="3">
        <f>BR32/1000</f>
        <v>84732.288849999997</v>
      </c>
      <c r="BU32" s="3">
        <v>91097227.729999989</v>
      </c>
      <c r="BV32" s="3">
        <v>6235417.5600000005</v>
      </c>
      <c r="BW32" s="3">
        <f>BU32-BV32</f>
        <v>84861810.169999987</v>
      </c>
      <c r="BX32" s="3">
        <f>BW32/1000</f>
        <v>84861.810169999982</v>
      </c>
      <c r="BZ32" s="3">
        <v>86692719.590000004</v>
      </c>
      <c r="CA32" s="3">
        <v>6481651.8799999999</v>
      </c>
      <c r="CB32" s="3">
        <f t="shared" si="7"/>
        <v>80211067.710000008</v>
      </c>
      <c r="CC32" s="3">
        <f t="shared" si="8"/>
        <v>80211.067710000003</v>
      </c>
      <c r="CE32" s="3">
        <v>89163309.189999998</v>
      </c>
      <c r="CF32" s="3">
        <v>6098871.9900000002</v>
      </c>
      <c r="CG32" s="3">
        <f t="shared" si="9"/>
        <v>83064437.200000003</v>
      </c>
      <c r="CH32" s="3">
        <f t="shared" si="10"/>
        <v>83064.4372</v>
      </c>
    </row>
    <row r="33" spans="1:86">
      <c r="A33" s="1" t="s">
        <v>24</v>
      </c>
      <c r="B33" s="14">
        <v>123125</v>
      </c>
      <c r="C33" s="14">
        <v>133326</v>
      </c>
      <c r="D33" s="14">
        <v>145102.48699999999</v>
      </c>
      <c r="E33" s="14">
        <v>154821.61119000003</v>
      </c>
      <c r="F33" s="14">
        <v>170984.20019</v>
      </c>
      <c r="G33" s="14">
        <v>183531.43567000001</v>
      </c>
      <c r="H33" s="14">
        <v>195626.52916000001</v>
      </c>
      <c r="I33" s="14">
        <v>190932.47046999997</v>
      </c>
      <c r="J33" s="14">
        <v>189540.70642000006</v>
      </c>
      <c r="K33" s="14">
        <v>198782.72688000006</v>
      </c>
      <c r="L33" s="239">
        <f>(K33-J33)*100/J33</f>
        <v>4.8760082383151842</v>
      </c>
      <c r="M33" s="239">
        <f t="shared" si="4"/>
        <v>61.448204215093483</v>
      </c>
      <c r="N33" s="14">
        <v>32282</v>
      </c>
      <c r="O33" s="14">
        <v>34832</v>
      </c>
      <c r="P33" s="14">
        <v>38245</v>
      </c>
      <c r="Q33" s="14">
        <v>43320</v>
      </c>
      <c r="R33" s="14">
        <v>46936</v>
      </c>
      <c r="S33" s="14">
        <f>57506-6140</f>
        <v>51366</v>
      </c>
      <c r="T33" s="14">
        <f>64215-6947</f>
        <v>57268</v>
      </c>
      <c r="U33" s="14">
        <v>62560</v>
      </c>
      <c r="V33" s="14">
        <f>72358.066-8169.662</f>
        <v>64188.40400000001</v>
      </c>
      <c r="W33" s="14">
        <v>69165</v>
      </c>
      <c r="X33" s="201">
        <v>73304</v>
      </c>
      <c r="Y33" s="14">
        <f>79604.785-6739.015</f>
        <v>72865.77</v>
      </c>
      <c r="Z33" s="14">
        <v>78617</v>
      </c>
      <c r="AA33" s="14">
        <v>83637</v>
      </c>
      <c r="AB33" s="14">
        <v>88503</v>
      </c>
      <c r="AC33" s="14">
        <v>96935</v>
      </c>
      <c r="AD33" s="14">
        <v>102469</v>
      </c>
      <c r="AE33" s="14">
        <v>111156.21556999999</v>
      </c>
      <c r="AF33" s="14">
        <v>123124.768</v>
      </c>
      <c r="AG33" s="14">
        <v>116389855.56999999</v>
      </c>
      <c r="AH33" s="14">
        <v>5233640</v>
      </c>
      <c r="AI33" s="3">
        <f t="shared" si="5"/>
        <v>111156215.56999999</v>
      </c>
      <c r="AJ33" s="3">
        <f t="shared" si="6"/>
        <v>111156.21556999999</v>
      </c>
      <c r="AK33" s="14"/>
      <c r="AL33" s="30">
        <v>129367975</v>
      </c>
      <c r="AM33" s="156">
        <v>6243207</v>
      </c>
      <c r="AN33" s="3">
        <f>AL33-AM33</f>
        <v>123124768</v>
      </c>
      <c r="AO33" s="3">
        <f t="shared" si="11"/>
        <v>123124.768</v>
      </c>
      <c r="AQ33" s="3">
        <v>140002079</v>
      </c>
      <c r="AR33" s="3">
        <v>6675959</v>
      </c>
      <c r="AS33" s="3">
        <f>AQ33-AR33</f>
        <v>133326120</v>
      </c>
      <c r="AT33" s="3">
        <f t="shared" si="12"/>
        <v>133326.12</v>
      </c>
      <c r="AV33" s="3">
        <v>152037867</v>
      </c>
      <c r="AW33" s="3">
        <v>6935380</v>
      </c>
      <c r="AX33" s="3">
        <f>AV33-AW33</f>
        <v>145102487</v>
      </c>
      <c r="AY33" s="3">
        <f t="shared" si="13"/>
        <v>145102.48699999999</v>
      </c>
      <c r="BA33" s="3">
        <v>162550860.19000003</v>
      </c>
      <c r="BB33" s="3">
        <v>7729249</v>
      </c>
      <c r="BC33" s="3">
        <f>BA33-BB33</f>
        <v>154821611.19000003</v>
      </c>
      <c r="BD33" s="3">
        <f t="shared" si="14"/>
        <v>154821.61119000003</v>
      </c>
      <c r="BF33" s="3">
        <v>181042940.19</v>
      </c>
      <c r="BG33" s="3">
        <v>10058740</v>
      </c>
      <c r="BH33" s="3">
        <f>BF33-BG33</f>
        <v>170984200.19</v>
      </c>
      <c r="BI33" s="3">
        <f t="shared" si="15"/>
        <v>170984.20019</v>
      </c>
      <c r="BK33" s="3">
        <v>194367532.67000002</v>
      </c>
      <c r="BL33" s="3">
        <v>10836097</v>
      </c>
      <c r="BM33" s="3">
        <f>BK33-BL33</f>
        <v>183531435.67000002</v>
      </c>
      <c r="BN33" s="3">
        <f>BM33/1000</f>
        <v>183531.43567000001</v>
      </c>
      <c r="BP33" s="3">
        <v>208060203.88</v>
      </c>
      <c r="BQ33" s="280">
        <v>12433674.720000001</v>
      </c>
      <c r="BR33" s="3">
        <f>BP33-BQ33</f>
        <v>195626529.16</v>
      </c>
      <c r="BS33" s="3">
        <f>BR33/1000</f>
        <v>195626.52916000001</v>
      </c>
      <c r="BU33" s="3">
        <v>205031592.87999997</v>
      </c>
      <c r="BV33" s="3">
        <v>14099122.41</v>
      </c>
      <c r="BW33" s="3">
        <f>BU33-BV33</f>
        <v>190932470.46999997</v>
      </c>
      <c r="BX33" s="3">
        <f>BW33/1000</f>
        <v>190932.47046999997</v>
      </c>
      <c r="BZ33" s="3">
        <v>203854528.77000004</v>
      </c>
      <c r="CA33" s="3">
        <v>14313822.35</v>
      </c>
      <c r="CB33" s="3">
        <f t="shared" si="7"/>
        <v>189540706.42000005</v>
      </c>
      <c r="CC33" s="3">
        <f t="shared" si="8"/>
        <v>189540.70642000006</v>
      </c>
      <c r="CE33" s="3">
        <v>212588761.22000006</v>
      </c>
      <c r="CF33" s="3">
        <v>13806034.34</v>
      </c>
      <c r="CG33" s="3">
        <f t="shared" si="9"/>
        <v>198782726.88000005</v>
      </c>
      <c r="CH33" s="3">
        <f t="shared" si="10"/>
        <v>198782.72688000006</v>
      </c>
    </row>
    <row r="34" spans="1:86">
      <c r="A34" s="1" t="s">
        <v>25</v>
      </c>
      <c r="B34" s="14">
        <v>27417</v>
      </c>
      <c r="C34" s="14">
        <v>28702</v>
      </c>
      <c r="D34" s="14">
        <v>31452.991999999998</v>
      </c>
      <c r="E34" s="14">
        <v>34585.466200000003</v>
      </c>
      <c r="F34" s="14">
        <v>38741.093110000002</v>
      </c>
      <c r="G34" s="14">
        <v>39051.780039999998</v>
      </c>
      <c r="H34" s="14">
        <v>38756.911370000002</v>
      </c>
      <c r="I34" s="14">
        <v>37084.451800000003</v>
      </c>
      <c r="J34" s="14">
        <v>37339.143130000004</v>
      </c>
      <c r="K34" s="14">
        <v>37269.748910000002</v>
      </c>
      <c r="L34" s="239">
        <f>(K34-J34)*100/J34</f>
        <v>-0.18584845334666344</v>
      </c>
      <c r="M34" s="239">
        <f t="shared" si="4"/>
        <v>35.934910811399035</v>
      </c>
      <c r="N34" s="14">
        <v>8936</v>
      </c>
      <c r="O34" s="14">
        <v>9621</v>
      </c>
      <c r="P34" s="14">
        <v>10394</v>
      </c>
      <c r="Q34" s="14">
        <v>11360</v>
      </c>
      <c r="R34" s="14">
        <v>12361</v>
      </c>
      <c r="S34" s="14">
        <f>15678-1657</f>
        <v>14021</v>
      </c>
      <c r="T34" s="14">
        <f>16900-1809</f>
        <v>15091</v>
      </c>
      <c r="U34" s="14">
        <v>15100</v>
      </c>
      <c r="V34" s="14">
        <f>17956.829-1810.233</f>
        <v>16146.596000000001</v>
      </c>
      <c r="W34" s="14">
        <v>17928</v>
      </c>
      <c r="X34" s="201">
        <v>18576</v>
      </c>
      <c r="Y34" s="14">
        <f>21174.935-1832.657</f>
        <v>19342.278000000002</v>
      </c>
      <c r="Z34" s="14">
        <v>19090</v>
      </c>
      <c r="AA34" s="14">
        <v>21497</v>
      </c>
      <c r="AB34" s="14">
        <v>21765</v>
      </c>
      <c r="AC34" s="14">
        <v>22892</v>
      </c>
      <c r="AD34" s="14">
        <v>23864</v>
      </c>
      <c r="AE34" s="14">
        <v>25279.184389999999</v>
      </c>
      <c r="AF34" s="14">
        <v>27417.348999999998</v>
      </c>
      <c r="AG34" s="14">
        <v>26519128.389999997</v>
      </c>
      <c r="AH34" s="14">
        <v>1239944</v>
      </c>
      <c r="AI34" s="3">
        <f t="shared" si="5"/>
        <v>25279184.389999997</v>
      </c>
      <c r="AJ34" s="3">
        <f t="shared" si="6"/>
        <v>25279.184389999999</v>
      </c>
      <c r="AK34" s="14"/>
      <c r="AL34" s="30">
        <v>28788993</v>
      </c>
      <c r="AM34" s="156">
        <v>1371644</v>
      </c>
      <c r="AN34" s="3">
        <f>AL34-AM34</f>
        <v>27417349</v>
      </c>
      <c r="AO34" s="3">
        <f t="shared" si="11"/>
        <v>27417.348999999998</v>
      </c>
      <c r="AQ34" s="3">
        <v>30111492</v>
      </c>
      <c r="AR34" s="3">
        <v>1409021</v>
      </c>
      <c r="AS34" s="3">
        <f>AQ34-AR34</f>
        <v>28702471</v>
      </c>
      <c r="AT34" s="3">
        <f t="shared" si="12"/>
        <v>28702.471000000001</v>
      </c>
      <c r="AV34" s="3">
        <v>32848576</v>
      </c>
      <c r="AW34" s="3">
        <v>1395584</v>
      </c>
      <c r="AX34" s="3">
        <f>AV34-AW34</f>
        <v>31452992</v>
      </c>
      <c r="AY34" s="3">
        <f t="shared" si="13"/>
        <v>31452.991999999998</v>
      </c>
      <c r="BA34" s="3">
        <v>36109981.200000003</v>
      </c>
      <c r="BB34" s="3">
        <v>1524515</v>
      </c>
      <c r="BC34" s="3">
        <f>BA34-BB34</f>
        <v>34585466.200000003</v>
      </c>
      <c r="BD34" s="3">
        <f t="shared" si="14"/>
        <v>34585.466200000003</v>
      </c>
      <c r="BF34" s="3">
        <v>40726485.109999999</v>
      </c>
      <c r="BG34" s="3">
        <v>1985392</v>
      </c>
      <c r="BH34" s="3">
        <f>BF34-BG34</f>
        <v>38741093.109999999</v>
      </c>
      <c r="BI34" s="3">
        <f t="shared" si="15"/>
        <v>38741.093110000002</v>
      </c>
      <c r="BK34" s="3">
        <v>41226080.039999999</v>
      </c>
      <c r="BL34" s="3">
        <v>2174300</v>
      </c>
      <c r="BM34" s="3">
        <f>BK34-BL34</f>
        <v>39051780.039999999</v>
      </c>
      <c r="BN34" s="3">
        <f>BM34/1000</f>
        <v>39051.780039999998</v>
      </c>
      <c r="BP34" s="3">
        <v>41219608.160000004</v>
      </c>
      <c r="BQ34" s="280">
        <v>2462696.79</v>
      </c>
      <c r="BR34" s="3">
        <f>BP34-BQ34</f>
        <v>38756911.370000005</v>
      </c>
      <c r="BS34" s="3">
        <f>BR34/1000</f>
        <v>38756.911370000002</v>
      </c>
      <c r="BU34" s="3">
        <v>39844515.400000006</v>
      </c>
      <c r="BV34" s="3">
        <v>2760063.6</v>
      </c>
      <c r="BW34" s="3">
        <f>BU34-BV34</f>
        <v>37084451.800000004</v>
      </c>
      <c r="BX34" s="3">
        <f>BW34/1000</f>
        <v>37084.451800000003</v>
      </c>
      <c r="BZ34" s="3">
        <v>39990634.190000005</v>
      </c>
      <c r="CA34" s="3">
        <v>2651491.06</v>
      </c>
      <c r="CB34" s="3">
        <f t="shared" si="7"/>
        <v>37339143.130000003</v>
      </c>
      <c r="CC34" s="3">
        <f t="shared" si="8"/>
        <v>37339.143130000004</v>
      </c>
      <c r="CE34" s="3">
        <v>39736337.340000004</v>
      </c>
      <c r="CF34" s="3">
        <v>2466588.4300000002</v>
      </c>
      <c r="CG34" s="3">
        <f t="shared" si="9"/>
        <v>37269748.910000004</v>
      </c>
      <c r="CH34" s="3">
        <f t="shared" si="10"/>
        <v>37269.748910000002</v>
      </c>
    </row>
    <row r="35" spans="1:86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239"/>
      <c r="M35" s="239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201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3"/>
      <c r="AJ35" s="3"/>
      <c r="AK35" s="14"/>
      <c r="AL35" s="30"/>
      <c r="AM35" s="156"/>
      <c r="BQ35" s="280"/>
    </row>
    <row r="36" spans="1:86">
      <c r="A36" s="1" t="s">
        <v>26</v>
      </c>
      <c r="B36" s="14">
        <v>38082</v>
      </c>
      <c r="C36" s="14">
        <v>38296</v>
      </c>
      <c r="D36" s="14">
        <v>40772.491999999998</v>
      </c>
      <c r="E36" s="14">
        <v>43869.535160000007</v>
      </c>
      <c r="F36" s="14">
        <v>44910.95799000001</v>
      </c>
      <c r="G36" s="14">
        <v>47173.194610000006</v>
      </c>
      <c r="H36" s="14">
        <v>49261.133349999996</v>
      </c>
      <c r="I36" s="14">
        <v>48989.402369999996</v>
      </c>
      <c r="J36" s="14">
        <v>47484.837780000002</v>
      </c>
      <c r="K36" s="14">
        <v>50275.307649999995</v>
      </c>
      <c r="L36" s="239">
        <f>(K36-J36)*100/J36</f>
        <v>5.8765492322589417</v>
      </c>
      <c r="M36" s="239">
        <f t="shared" si="4"/>
        <v>32.019127570424885</v>
      </c>
      <c r="N36" s="14">
        <v>11044</v>
      </c>
      <c r="O36" s="14">
        <v>11625</v>
      </c>
      <c r="P36" s="14">
        <v>12141</v>
      </c>
      <c r="Q36" s="14">
        <v>14290</v>
      </c>
      <c r="R36" s="14">
        <v>15873</v>
      </c>
      <c r="S36" s="14">
        <f>20487-2121</f>
        <v>18366</v>
      </c>
      <c r="T36" s="14">
        <f>21166-2226</f>
        <v>18940</v>
      </c>
      <c r="U36" s="14">
        <v>18637</v>
      </c>
      <c r="V36" s="14">
        <f>21835.625-2778.509</f>
        <v>19057.116000000002</v>
      </c>
      <c r="W36" s="14">
        <v>21886</v>
      </c>
      <c r="X36" s="201">
        <v>23764</v>
      </c>
      <c r="Y36" s="14">
        <f>26834.783-2255.978</f>
        <v>24578.805</v>
      </c>
      <c r="Z36" s="14">
        <v>24358</v>
      </c>
      <c r="AA36" s="14">
        <v>25080</v>
      </c>
      <c r="AB36" s="14">
        <v>27346</v>
      </c>
      <c r="AC36" s="14">
        <v>28517</v>
      </c>
      <c r="AD36" s="14">
        <v>31121</v>
      </c>
      <c r="AE36" s="14">
        <v>33602.26685</v>
      </c>
      <c r="AF36" s="14">
        <v>38081.836000000003</v>
      </c>
      <c r="AG36" s="14">
        <v>35347830.850000001</v>
      </c>
      <c r="AH36" s="14">
        <v>1745564</v>
      </c>
      <c r="AI36" s="3">
        <f t="shared" si="5"/>
        <v>33602266.850000001</v>
      </c>
      <c r="AJ36" s="3">
        <f t="shared" si="6"/>
        <v>33602.26685</v>
      </c>
      <c r="AK36" s="14"/>
      <c r="AL36" s="30">
        <v>40106979</v>
      </c>
      <c r="AM36" s="156">
        <v>2025143</v>
      </c>
      <c r="AN36" s="3">
        <f>AL36-AM36</f>
        <v>38081836</v>
      </c>
      <c r="AO36" s="3">
        <f t="shared" si="11"/>
        <v>38081.836000000003</v>
      </c>
      <c r="AQ36" s="3">
        <v>40330631</v>
      </c>
      <c r="AR36" s="3">
        <v>2034542</v>
      </c>
      <c r="AS36" s="3">
        <f>AQ36-AR36</f>
        <v>38296089</v>
      </c>
      <c r="AT36" s="3">
        <f t="shared" si="12"/>
        <v>38296.089</v>
      </c>
      <c r="AV36" s="3">
        <v>42922657</v>
      </c>
      <c r="AW36" s="3">
        <v>2150165</v>
      </c>
      <c r="AX36" s="3">
        <f>AV36-AW36</f>
        <v>40772492</v>
      </c>
      <c r="AY36" s="3">
        <f t="shared" si="13"/>
        <v>40772.491999999998</v>
      </c>
      <c r="BA36" s="3">
        <v>46110965.160000004</v>
      </c>
      <c r="BB36" s="3">
        <v>2241430</v>
      </c>
      <c r="BC36" s="3">
        <f>BA36-BB36</f>
        <v>43869535.160000004</v>
      </c>
      <c r="BD36" s="3">
        <f t="shared" si="14"/>
        <v>43869.535160000007</v>
      </c>
      <c r="BF36" s="3">
        <v>47685054.99000001</v>
      </c>
      <c r="BG36" s="3">
        <v>2774097</v>
      </c>
      <c r="BH36" s="3">
        <f>BF36-BG36</f>
        <v>44910957.99000001</v>
      </c>
      <c r="BI36" s="3">
        <f t="shared" si="15"/>
        <v>44910.95799000001</v>
      </c>
      <c r="BK36" s="3">
        <v>50060283.610000007</v>
      </c>
      <c r="BL36" s="3">
        <v>2887089</v>
      </c>
      <c r="BM36" s="3">
        <f>BK36-BL36</f>
        <v>47173194.610000007</v>
      </c>
      <c r="BN36" s="3">
        <f>BM36/1000</f>
        <v>47173.194610000006</v>
      </c>
      <c r="BP36" s="3">
        <v>52369625.549999997</v>
      </c>
      <c r="BQ36" s="280">
        <v>3108492.2</v>
      </c>
      <c r="BR36" s="3">
        <f>BP36-BQ36</f>
        <v>49261133.349999994</v>
      </c>
      <c r="BS36" s="3">
        <f>BR36/1000</f>
        <v>49261.133349999996</v>
      </c>
      <c r="BU36" s="3">
        <v>52530849.549999997</v>
      </c>
      <c r="BV36" s="3">
        <v>3541447.18</v>
      </c>
      <c r="BW36" s="3">
        <f>BU36-BV36</f>
        <v>48989402.369999997</v>
      </c>
      <c r="BX36" s="3">
        <f>BW36/1000</f>
        <v>48989.402369999996</v>
      </c>
      <c r="BZ36" s="3">
        <v>51113745.050000004</v>
      </c>
      <c r="CA36" s="3">
        <v>3628907.27</v>
      </c>
      <c r="CB36" s="3">
        <f t="shared" si="7"/>
        <v>47484837.780000001</v>
      </c>
      <c r="CC36" s="3">
        <f t="shared" si="8"/>
        <v>47484.837780000002</v>
      </c>
      <c r="CE36" s="3">
        <v>53667840.869999997</v>
      </c>
      <c r="CF36" s="3">
        <v>3392533.22</v>
      </c>
      <c r="CG36" s="3">
        <f t="shared" si="9"/>
        <v>50275307.649999999</v>
      </c>
      <c r="CH36" s="3">
        <f t="shared" si="10"/>
        <v>50275.307649999995</v>
      </c>
    </row>
    <row r="37" spans="1:86">
      <c r="A37" s="1" t="s">
        <v>27</v>
      </c>
      <c r="B37" s="14">
        <v>159438</v>
      </c>
      <c r="C37" s="14">
        <v>171589</v>
      </c>
      <c r="D37" s="14">
        <v>189549.33199999999</v>
      </c>
      <c r="E37" s="14">
        <v>204554.22872999997</v>
      </c>
      <c r="F37" s="14">
        <v>232378.16420000003</v>
      </c>
      <c r="G37" s="14">
        <v>239699.79889000001</v>
      </c>
      <c r="H37" s="14">
        <v>248756.32440000001</v>
      </c>
      <c r="I37" s="14">
        <v>251711.08924</v>
      </c>
      <c r="J37" s="14">
        <v>258561.54364000002</v>
      </c>
      <c r="K37" s="14">
        <v>260630.31489999994</v>
      </c>
      <c r="L37" s="239">
        <f>(K37-J37)*100/J37</f>
        <v>0.80010787020992935</v>
      </c>
      <c r="M37" s="239">
        <f t="shared" si="4"/>
        <v>63.4683223918572</v>
      </c>
      <c r="N37" s="14">
        <v>50697</v>
      </c>
      <c r="O37" s="14">
        <v>55155</v>
      </c>
      <c r="P37" s="14">
        <v>57715</v>
      </c>
      <c r="Q37" s="14">
        <v>63304</v>
      </c>
      <c r="R37" s="14">
        <v>68625</v>
      </c>
      <c r="S37" s="14">
        <f>84539-10243</f>
        <v>74296</v>
      </c>
      <c r="T37" s="14">
        <f>90248-11322</f>
        <v>78926</v>
      </c>
      <c r="U37" s="14">
        <v>83333</v>
      </c>
      <c r="V37" s="14">
        <f>98214.761-10998.266</f>
        <v>87216.494999999995</v>
      </c>
      <c r="W37" s="14">
        <v>94202</v>
      </c>
      <c r="X37" s="201">
        <v>99412</v>
      </c>
      <c r="Y37" s="14">
        <f>110582.043-9899.971</f>
        <v>100682.072</v>
      </c>
      <c r="Z37" s="14">
        <v>103725</v>
      </c>
      <c r="AA37" s="14">
        <v>109580</v>
      </c>
      <c r="AB37" s="14">
        <v>119573</v>
      </c>
      <c r="AC37" s="14">
        <v>126376</v>
      </c>
      <c r="AD37" s="14">
        <v>131291</v>
      </c>
      <c r="AE37" s="14">
        <v>142164.57455000002</v>
      </c>
      <c r="AF37" s="14">
        <v>159437.81099999999</v>
      </c>
      <c r="AG37" s="14">
        <v>149627653.55000001</v>
      </c>
      <c r="AH37" s="14">
        <v>7463079</v>
      </c>
      <c r="AI37" s="3">
        <f t="shared" si="5"/>
        <v>142164574.55000001</v>
      </c>
      <c r="AJ37" s="3">
        <f t="shared" si="6"/>
        <v>142164.57455000002</v>
      </c>
      <c r="AK37" s="14"/>
      <c r="AL37" s="30">
        <v>167660385</v>
      </c>
      <c r="AM37" s="156">
        <v>8222574</v>
      </c>
      <c r="AN37" s="3">
        <f>AL37-AM37</f>
        <v>159437811</v>
      </c>
      <c r="AO37" s="3">
        <f t="shared" si="11"/>
        <v>159437.81099999999</v>
      </c>
      <c r="AQ37" s="3">
        <v>180080802</v>
      </c>
      <c r="AR37" s="3">
        <v>8491439</v>
      </c>
      <c r="AS37" s="3">
        <f>AQ37-AR37</f>
        <v>171589363</v>
      </c>
      <c r="AT37" s="3">
        <f t="shared" si="12"/>
        <v>171589.36300000001</v>
      </c>
      <c r="AV37" s="3">
        <v>198228389</v>
      </c>
      <c r="AW37" s="3">
        <v>8679057</v>
      </c>
      <c r="AX37" s="3">
        <f>AV37-AW37</f>
        <v>189549332</v>
      </c>
      <c r="AY37" s="3">
        <f t="shared" si="13"/>
        <v>189549.33199999999</v>
      </c>
      <c r="BA37" s="3">
        <v>214168203.72999996</v>
      </c>
      <c r="BB37" s="3">
        <v>9613975</v>
      </c>
      <c r="BC37" s="3">
        <f>BA37-BB37</f>
        <v>204554228.72999996</v>
      </c>
      <c r="BD37" s="3">
        <f t="shared" si="14"/>
        <v>204554.22872999997</v>
      </c>
      <c r="BF37" s="3">
        <v>244887477.20000002</v>
      </c>
      <c r="BG37" s="3">
        <v>12509313</v>
      </c>
      <c r="BH37" s="3">
        <f>BF37-BG37</f>
        <v>232378164.20000002</v>
      </c>
      <c r="BI37" s="3">
        <f t="shared" si="15"/>
        <v>232378.16420000003</v>
      </c>
      <c r="BK37" s="3">
        <v>253140846.89000002</v>
      </c>
      <c r="BL37" s="3">
        <v>13441048</v>
      </c>
      <c r="BM37" s="3">
        <f>BK37-BL37</f>
        <v>239699798.89000002</v>
      </c>
      <c r="BN37" s="3">
        <f>BM37/1000</f>
        <v>239699.79889000001</v>
      </c>
      <c r="BP37" s="3">
        <v>264255325.56</v>
      </c>
      <c r="BQ37" s="280">
        <v>15499001.16</v>
      </c>
      <c r="BR37" s="3">
        <f>BP37-BQ37</f>
        <v>248756324.40000001</v>
      </c>
      <c r="BS37" s="3">
        <f>BR37/1000</f>
        <v>248756.32440000001</v>
      </c>
      <c r="BU37" s="3">
        <v>269187901.06</v>
      </c>
      <c r="BV37" s="3">
        <v>17476811.82</v>
      </c>
      <c r="BW37" s="3">
        <f>BU37-BV37</f>
        <v>251711089.24000001</v>
      </c>
      <c r="BX37" s="3">
        <f>BW37/1000</f>
        <v>251711.08924</v>
      </c>
      <c r="BZ37" s="3">
        <v>277014514.17000002</v>
      </c>
      <c r="CA37" s="3">
        <v>18452970.530000001</v>
      </c>
      <c r="CB37" s="3">
        <f t="shared" si="7"/>
        <v>258561543.64000002</v>
      </c>
      <c r="CC37" s="3">
        <f t="shared" si="8"/>
        <v>258561.54364000002</v>
      </c>
      <c r="CE37" s="3">
        <v>277662713.67999995</v>
      </c>
      <c r="CF37" s="3">
        <v>17032398.780000001</v>
      </c>
      <c r="CG37" s="3">
        <f t="shared" si="9"/>
        <v>260630314.89999995</v>
      </c>
      <c r="CH37" s="3">
        <f t="shared" si="10"/>
        <v>260630.31489999994</v>
      </c>
    </row>
    <row r="38" spans="1:86">
      <c r="A38" s="1" t="s">
        <v>28</v>
      </c>
      <c r="B38" s="14">
        <v>117454</v>
      </c>
      <c r="C38" s="14">
        <v>125513</v>
      </c>
      <c r="D38" s="14">
        <v>136809.283</v>
      </c>
      <c r="E38" s="14">
        <v>150517.81188000002</v>
      </c>
      <c r="F38" s="14">
        <v>165831.84765000001</v>
      </c>
      <c r="G38" s="14">
        <v>171070.73019000003</v>
      </c>
      <c r="H38" s="14">
        <v>174663.16193999999</v>
      </c>
      <c r="I38" s="14">
        <v>173221.13875000001</v>
      </c>
      <c r="J38" s="14">
        <v>167201.63373000003</v>
      </c>
      <c r="K38" s="14">
        <v>174506.72279999996</v>
      </c>
      <c r="L38" s="239">
        <f>(K38-J38)*100/J38</f>
        <v>4.369029720006389</v>
      </c>
      <c r="M38" s="239">
        <f t="shared" si="4"/>
        <v>48.574102680621351</v>
      </c>
      <c r="N38" s="14">
        <v>30174</v>
      </c>
      <c r="O38" s="14">
        <v>32256</v>
      </c>
      <c r="P38" s="14">
        <v>35004</v>
      </c>
      <c r="Q38" s="14">
        <v>39485</v>
      </c>
      <c r="R38" s="14">
        <v>42868</v>
      </c>
      <c r="S38" s="14">
        <f>55246-6404</f>
        <v>48842</v>
      </c>
      <c r="T38" s="14">
        <f>60831-7247</f>
        <v>53584</v>
      </c>
      <c r="U38" s="14">
        <v>55619</v>
      </c>
      <c r="V38" s="14">
        <f>65836.282-7822.439</f>
        <v>58013.843000000008</v>
      </c>
      <c r="W38" s="14">
        <v>63466</v>
      </c>
      <c r="X38" s="201">
        <v>66132</v>
      </c>
      <c r="Y38" s="14">
        <f>74391.684-6955.611</f>
        <v>67436.072999999989</v>
      </c>
      <c r="Z38" s="14">
        <v>71778</v>
      </c>
      <c r="AA38" s="14">
        <v>78871</v>
      </c>
      <c r="AB38" s="14">
        <v>84127</v>
      </c>
      <c r="AC38" s="14">
        <v>91345</v>
      </c>
      <c r="AD38" s="14">
        <v>98569</v>
      </c>
      <c r="AE38" s="14">
        <v>102585.30106000003</v>
      </c>
      <c r="AF38" s="14">
        <v>117454.334</v>
      </c>
      <c r="AG38" s="14">
        <v>108067218.06000003</v>
      </c>
      <c r="AH38" s="14">
        <v>5481917</v>
      </c>
      <c r="AI38" s="3">
        <f t="shared" si="5"/>
        <v>102585301.06000003</v>
      </c>
      <c r="AJ38" s="3">
        <f t="shared" si="6"/>
        <v>102585.30106000003</v>
      </c>
      <c r="AK38" s="14"/>
      <c r="AL38" s="30">
        <v>123648867</v>
      </c>
      <c r="AM38" s="156">
        <v>6194533</v>
      </c>
      <c r="AN38" s="3">
        <f>AL38-AM38</f>
        <v>117454334</v>
      </c>
      <c r="AO38" s="3">
        <f t="shared" si="11"/>
        <v>117454.334</v>
      </c>
      <c r="AQ38" s="3">
        <v>131981379</v>
      </c>
      <c r="AR38" s="3">
        <v>6468103</v>
      </c>
      <c r="AS38" s="3">
        <f>AQ38-AR38</f>
        <v>125513276</v>
      </c>
      <c r="AT38" s="3">
        <f t="shared" si="12"/>
        <v>125513.276</v>
      </c>
      <c r="AV38" s="3">
        <v>143591761</v>
      </c>
      <c r="AW38" s="3">
        <v>6782478</v>
      </c>
      <c r="AX38" s="3">
        <f>AV38-AW38</f>
        <v>136809283</v>
      </c>
      <c r="AY38" s="3">
        <f t="shared" si="13"/>
        <v>136809.283</v>
      </c>
      <c r="BA38" s="3">
        <v>157995793.88000003</v>
      </c>
      <c r="BB38" s="3">
        <v>7477982</v>
      </c>
      <c r="BC38" s="3">
        <f>BA38-BB38</f>
        <v>150517811.88000003</v>
      </c>
      <c r="BD38" s="3">
        <f t="shared" si="14"/>
        <v>150517.81188000002</v>
      </c>
      <c r="BF38" s="3">
        <v>175327218.65000001</v>
      </c>
      <c r="BG38" s="3">
        <v>9495371</v>
      </c>
      <c r="BH38" s="3">
        <f>BF38-BG38</f>
        <v>165831847.65000001</v>
      </c>
      <c r="BI38" s="3">
        <f t="shared" si="15"/>
        <v>165831.84765000001</v>
      </c>
      <c r="BK38" s="3">
        <v>181461183.19000003</v>
      </c>
      <c r="BL38" s="3">
        <v>10390453</v>
      </c>
      <c r="BM38" s="3">
        <f>BK38-BL38</f>
        <v>171070730.19000003</v>
      </c>
      <c r="BN38" s="3">
        <f>BM38/1000</f>
        <v>171070.73019000003</v>
      </c>
      <c r="BP38" s="3">
        <v>186184084.37</v>
      </c>
      <c r="BQ38" s="281">
        <v>11520922.43</v>
      </c>
      <c r="BR38" s="3">
        <f>BP38-BQ38</f>
        <v>174663161.94</v>
      </c>
      <c r="BS38" s="3">
        <f>BR38/1000</f>
        <v>174663.16193999999</v>
      </c>
      <c r="BU38" s="3">
        <v>186269358.02000001</v>
      </c>
      <c r="BV38" s="3">
        <v>13048219.27</v>
      </c>
      <c r="BW38" s="3">
        <f>BU38-BV38</f>
        <v>173221138.75</v>
      </c>
      <c r="BX38" s="3">
        <f>BW38/1000</f>
        <v>173221.13875000001</v>
      </c>
      <c r="BZ38" s="3">
        <v>180296309.74000001</v>
      </c>
      <c r="CA38" s="3">
        <v>13094676.01</v>
      </c>
      <c r="CB38" s="3">
        <f t="shared" si="7"/>
        <v>167201633.73000002</v>
      </c>
      <c r="CC38" s="3">
        <f t="shared" si="8"/>
        <v>167201.63373000003</v>
      </c>
      <c r="CE38" s="3">
        <v>186335725.29999995</v>
      </c>
      <c r="CF38" s="3">
        <v>11829002.5</v>
      </c>
      <c r="CG38" s="3">
        <f t="shared" si="9"/>
        <v>174506722.79999995</v>
      </c>
      <c r="CH38" s="3">
        <f t="shared" si="10"/>
        <v>174506.72279999996</v>
      </c>
    </row>
    <row r="39" spans="1:86">
      <c r="A39" s="17" t="s">
        <v>29</v>
      </c>
      <c r="B39" s="14">
        <v>66590</v>
      </c>
      <c r="C39" s="14">
        <v>72738</v>
      </c>
      <c r="D39" s="14">
        <v>76913.425000000003</v>
      </c>
      <c r="E39" s="14">
        <v>84478.43213000003</v>
      </c>
      <c r="F39" s="14">
        <v>90933.961820000026</v>
      </c>
      <c r="G39" s="14">
        <v>95938.999120000022</v>
      </c>
      <c r="H39" s="14">
        <v>96359.727479999987</v>
      </c>
      <c r="I39" s="14">
        <v>97979.266210000045</v>
      </c>
      <c r="J39" s="14">
        <v>98493.825660000031</v>
      </c>
      <c r="K39" s="14">
        <v>98818.350189999997</v>
      </c>
      <c r="L39" s="239">
        <f>(K39-J39)*100/J39</f>
        <v>0.32948718137949312</v>
      </c>
      <c r="M39" s="239">
        <f t="shared" si="4"/>
        <v>48.397329671463211</v>
      </c>
      <c r="N39" s="24">
        <v>16505</v>
      </c>
      <c r="O39" s="24">
        <v>18070</v>
      </c>
      <c r="P39" s="24">
        <v>20475</v>
      </c>
      <c r="Q39" s="24">
        <v>22506</v>
      </c>
      <c r="R39" s="24">
        <v>24102</v>
      </c>
      <c r="S39" s="24">
        <f>30221-3505</f>
        <v>26716</v>
      </c>
      <c r="T39" s="24">
        <f>33013-3907</f>
        <v>29106</v>
      </c>
      <c r="U39" s="24">
        <v>30853</v>
      </c>
      <c r="V39" s="24">
        <f>35280.245-4013.596</f>
        <v>31266.649000000001</v>
      </c>
      <c r="W39" s="24">
        <v>34806</v>
      </c>
      <c r="X39" s="201">
        <v>36028</v>
      </c>
      <c r="Y39" s="14">
        <f>41036.102-3658.713</f>
        <v>37377.388999999996</v>
      </c>
      <c r="Z39" s="24">
        <v>39739</v>
      </c>
      <c r="AA39" s="14">
        <v>42459</v>
      </c>
      <c r="AB39" s="14">
        <v>46028</v>
      </c>
      <c r="AC39" s="14">
        <v>48371</v>
      </c>
      <c r="AD39" s="14">
        <v>52562</v>
      </c>
      <c r="AE39" s="14">
        <v>58212.768400000001</v>
      </c>
      <c r="AF39" s="14">
        <v>66590.383000000002</v>
      </c>
      <c r="AG39" s="14">
        <v>61102315.399999999</v>
      </c>
      <c r="AH39" s="14">
        <v>2889547</v>
      </c>
      <c r="AI39" s="3">
        <f t="shared" si="5"/>
        <v>58212768.399999999</v>
      </c>
      <c r="AJ39" s="3">
        <f t="shared" si="6"/>
        <v>58212.768400000001</v>
      </c>
      <c r="AK39" s="14"/>
      <c r="AL39" s="3">
        <v>69982028</v>
      </c>
      <c r="AM39" s="107">
        <v>3391645</v>
      </c>
      <c r="AN39" s="3">
        <f>AL39-AM39</f>
        <v>66590383</v>
      </c>
      <c r="AO39" s="3">
        <f t="shared" si="11"/>
        <v>66590.383000000002</v>
      </c>
      <c r="AQ39" s="3">
        <v>76311579</v>
      </c>
      <c r="AR39" s="3">
        <v>3573389</v>
      </c>
      <c r="AS39" s="3">
        <f>AQ39-AR39</f>
        <v>72738190</v>
      </c>
      <c r="AT39" s="3">
        <f t="shared" si="12"/>
        <v>72738.19</v>
      </c>
      <c r="AV39" s="3">
        <v>80586529</v>
      </c>
      <c r="AW39" s="3">
        <v>3673104</v>
      </c>
      <c r="AX39" s="3">
        <f>AV39-AW39</f>
        <v>76913425</v>
      </c>
      <c r="AY39" s="3">
        <f t="shared" si="13"/>
        <v>76913.425000000003</v>
      </c>
      <c r="BA39" s="3">
        <v>88593319.130000025</v>
      </c>
      <c r="BB39" s="3">
        <v>4114887</v>
      </c>
      <c r="BC39" s="3">
        <f>BA39-BB39</f>
        <v>84478432.130000025</v>
      </c>
      <c r="BD39" s="3">
        <f t="shared" si="14"/>
        <v>84478.43213000003</v>
      </c>
      <c r="BF39" s="3">
        <v>96177302.820000023</v>
      </c>
      <c r="BG39" s="3">
        <v>5243341</v>
      </c>
      <c r="BH39" s="3">
        <f>BF39-BG39</f>
        <v>90933961.820000023</v>
      </c>
      <c r="BI39" s="3">
        <f t="shared" si="15"/>
        <v>90933.961820000026</v>
      </c>
      <c r="BK39" s="3">
        <v>101716563.12000002</v>
      </c>
      <c r="BL39" s="3">
        <v>5777564</v>
      </c>
      <c r="BM39" s="3">
        <f>BK39-BL39</f>
        <v>95938999.12000002</v>
      </c>
      <c r="BN39" s="3">
        <f>BM39/1000</f>
        <v>95938.999120000022</v>
      </c>
      <c r="BP39" s="3">
        <v>103102986.28999999</v>
      </c>
      <c r="BQ39" s="282">
        <v>6743258.8099999996</v>
      </c>
      <c r="BR39" s="3">
        <f>BP39-BQ39</f>
        <v>96359727.479999989</v>
      </c>
      <c r="BS39" s="3">
        <f>BR39/1000</f>
        <v>96359.727479999987</v>
      </c>
      <c r="BU39" s="3">
        <v>105647223.84000003</v>
      </c>
      <c r="BV39" s="3">
        <v>7667957.6299999999</v>
      </c>
      <c r="BW39" s="3">
        <f>BU39-BV39</f>
        <v>97979266.210000038</v>
      </c>
      <c r="BX39" s="3">
        <f>BW39/1000</f>
        <v>97979.266210000045</v>
      </c>
      <c r="BZ39" s="3">
        <v>105924461.37000002</v>
      </c>
      <c r="CA39" s="3">
        <v>7430635.71</v>
      </c>
      <c r="CB39" s="3">
        <f t="shared" si="7"/>
        <v>98493825.660000026</v>
      </c>
      <c r="CC39" s="3">
        <f t="shared" si="8"/>
        <v>98493.825660000031</v>
      </c>
      <c r="CE39" s="3">
        <v>105862262.45999999</v>
      </c>
      <c r="CF39" s="3">
        <v>7043912.2699999996</v>
      </c>
      <c r="CG39" s="3">
        <f t="shared" si="9"/>
        <v>98818350.189999998</v>
      </c>
      <c r="CH39" s="3">
        <f t="shared" si="10"/>
        <v>98818.350189999997</v>
      </c>
    </row>
    <row r="40" spans="1:86">
      <c r="A40" s="1" t="s">
        <v>325</v>
      </c>
      <c r="B40" s="19"/>
      <c r="C40" s="19"/>
      <c r="D40" s="19"/>
      <c r="E40" s="19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25"/>
      <c r="R40" s="19"/>
      <c r="S40" s="19"/>
      <c r="T40" s="19"/>
      <c r="X40" s="19"/>
      <c r="Y40" s="202"/>
      <c r="AA40" s="19"/>
      <c r="AB40" s="206"/>
      <c r="AD40" s="19"/>
      <c r="AE40" s="206"/>
      <c r="AF40" s="206"/>
      <c r="AG40" s="206"/>
      <c r="AH40" s="206"/>
      <c r="AI40" s="206"/>
      <c r="AJ40" s="206"/>
    </row>
    <row r="41" spans="1:86">
      <c r="B41" s="14"/>
      <c r="C41" s="14"/>
      <c r="D41" s="14"/>
      <c r="E41" s="14"/>
      <c r="P41" s="15"/>
      <c r="Q41" s="3"/>
      <c r="R41" s="14"/>
      <c r="S41" s="14"/>
      <c r="T41" s="14"/>
      <c r="X41" s="14"/>
      <c r="Y41" s="201"/>
      <c r="AA41" s="14"/>
      <c r="AB41" s="14"/>
      <c r="AD41" s="14"/>
      <c r="AE41" s="14"/>
      <c r="AF41" s="14"/>
      <c r="AG41" s="14"/>
      <c r="AH41" s="14"/>
      <c r="AI41" s="14"/>
      <c r="AJ41" s="14"/>
    </row>
    <row r="42" spans="1:86" ht="15.75">
      <c r="B42" s="14"/>
      <c r="C42" s="14"/>
      <c r="D42" s="14"/>
      <c r="E42" s="14"/>
      <c r="N42" s="11"/>
      <c r="O42" s="11"/>
      <c r="P42" s="74"/>
      <c r="R42" s="14"/>
      <c r="S42" s="14"/>
      <c r="T42" s="14"/>
      <c r="X42" s="14"/>
      <c r="Y42" s="201"/>
      <c r="AA42" s="14"/>
      <c r="AB42" s="14"/>
      <c r="AD42" s="14"/>
      <c r="AE42" s="14"/>
      <c r="AF42" s="14"/>
      <c r="AG42" s="14"/>
      <c r="AH42" s="14"/>
      <c r="AI42" s="14"/>
      <c r="AJ42" s="14"/>
    </row>
    <row r="43" spans="1:86" ht="15.75">
      <c r="N43" s="14"/>
      <c r="O43" s="14"/>
      <c r="P43" s="75"/>
    </row>
    <row r="44" spans="1:86" ht="15.75">
      <c r="N44" s="14"/>
      <c r="O44" s="14"/>
      <c r="P44" s="76"/>
    </row>
    <row r="45" spans="1:86" ht="15.75">
      <c r="G45" s="72"/>
      <c r="H45" s="72"/>
      <c r="I45" s="72"/>
      <c r="J45" s="72"/>
      <c r="K45" s="72"/>
      <c r="L45" s="72"/>
      <c r="M45" s="72"/>
      <c r="N45" s="14"/>
      <c r="O45" s="14"/>
      <c r="P45" s="76"/>
    </row>
    <row r="46" spans="1:86" ht="15.75">
      <c r="G46" s="72"/>
      <c r="H46" s="72"/>
      <c r="I46" s="72"/>
      <c r="J46" s="72"/>
      <c r="K46" s="72"/>
      <c r="L46" s="72"/>
      <c r="M46" s="72"/>
      <c r="N46" s="14"/>
      <c r="O46" s="14"/>
      <c r="P46" s="76"/>
    </row>
    <row r="47" spans="1:86" ht="15.75">
      <c r="G47" s="72"/>
      <c r="H47" s="72"/>
      <c r="I47" s="72"/>
      <c r="J47" s="72"/>
      <c r="K47" s="72"/>
      <c r="L47" s="72"/>
      <c r="M47" s="72"/>
      <c r="N47" s="14"/>
      <c r="O47" s="14"/>
      <c r="P47" s="76"/>
    </row>
    <row r="48" spans="1:86" ht="15.75">
      <c r="G48" s="72"/>
      <c r="H48" s="72"/>
      <c r="I48" s="72"/>
      <c r="J48" s="72"/>
      <c r="K48" s="72"/>
      <c r="L48" s="72"/>
      <c r="M48" s="72"/>
      <c r="N48" s="14"/>
      <c r="O48" s="14"/>
      <c r="P48" s="76"/>
    </row>
    <row r="49" spans="7:16" ht="15.75">
      <c r="G49" s="72"/>
      <c r="H49" s="72"/>
      <c r="I49" s="72"/>
      <c r="J49" s="72"/>
      <c r="K49" s="72"/>
      <c r="L49" s="72"/>
      <c r="M49" s="72"/>
      <c r="N49" s="14"/>
      <c r="O49" s="14"/>
      <c r="P49" s="76"/>
    </row>
    <row r="50" spans="7:16" ht="15.75">
      <c r="G50" s="72"/>
      <c r="H50" s="72"/>
      <c r="I50" s="72"/>
      <c r="J50" s="72"/>
      <c r="K50" s="72"/>
      <c r="L50" s="72"/>
      <c r="M50" s="72"/>
      <c r="N50" s="14"/>
      <c r="O50" s="14"/>
      <c r="P50" s="76"/>
    </row>
    <row r="51" spans="7:16" ht="15.75">
      <c r="G51" s="72"/>
      <c r="H51" s="72"/>
      <c r="I51" s="72"/>
      <c r="J51" s="72"/>
      <c r="K51" s="72"/>
      <c r="L51" s="72"/>
      <c r="M51" s="72"/>
      <c r="N51" s="14"/>
      <c r="O51" s="14"/>
      <c r="P51" s="76"/>
    </row>
    <row r="52" spans="7:16" ht="15.75">
      <c r="G52" s="72"/>
      <c r="H52" s="72"/>
      <c r="I52" s="72"/>
      <c r="J52" s="72"/>
      <c r="K52" s="72"/>
      <c r="L52" s="72"/>
      <c r="M52" s="72"/>
      <c r="N52" s="14"/>
      <c r="O52" s="14"/>
      <c r="P52" s="76"/>
    </row>
    <row r="53" spans="7:16" ht="15.75">
      <c r="G53" s="72"/>
      <c r="H53" s="72"/>
      <c r="I53" s="72"/>
      <c r="J53" s="72"/>
      <c r="K53" s="72"/>
      <c r="L53" s="72"/>
      <c r="M53" s="72"/>
      <c r="N53" s="14"/>
      <c r="O53" s="14"/>
      <c r="P53" s="76"/>
    </row>
    <row r="54" spans="7:16" ht="15.75">
      <c r="G54" s="72"/>
      <c r="H54" s="72"/>
      <c r="I54" s="72"/>
      <c r="J54" s="72"/>
      <c r="K54" s="72"/>
      <c r="L54" s="72"/>
      <c r="M54" s="72"/>
      <c r="N54" s="14"/>
      <c r="O54" s="14"/>
      <c r="P54" s="76"/>
    </row>
    <row r="55" spans="7:16" ht="15.75">
      <c r="G55" s="72"/>
      <c r="H55" s="72"/>
      <c r="I55" s="72"/>
      <c r="J55" s="72"/>
      <c r="K55" s="72"/>
      <c r="L55" s="72"/>
      <c r="M55" s="72"/>
      <c r="N55" s="14"/>
      <c r="O55" s="14"/>
      <c r="P55" s="76"/>
    </row>
    <row r="56" spans="7:16" ht="15.75">
      <c r="G56" s="72"/>
      <c r="H56" s="72"/>
      <c r="I56" s="72"/>
      <c r="J56" s="72"/>
      <c r="K56" s="72"/>
      <c r="L56" s="72"/>
      <c r="M56" s="72"/>
      <c r="N56" s="14"/>
      <c r="O56" s="14"/>
      <c r="P56" s="76"/>
    </row>
    <row r="57" spans="7:16" ht="15.75">
      <c r="G57" s="72"/>
      <c r="H57" s="72"/>
      <c r="I57" s="72"/>
      <c r="J57" s="72"/>
      <c r="K57" s="72"/>
      <c r="L57" s="72"/>
      <c r="M57" s="72"/>
      <c r="N57" s="14"/>
      <c r="O57" s="14"/>
      <c r="P57" s="76"/>
    </row>
    <row r="58" spans="7:16" ht="15.75">
      <c r="G58" s="72"/>
      <c r="H58" s="72"/>
      <c r="I58" s="72"/>
      <c r="J58" s="72"/>
      <c r="K58" s="72"/>
      <c r="L58" s="72"/>
      <c r="M58" s="72"/>
      <c r="N58" s="14"/>
      <c r="O58" s="14"/>
      <c r="P58" s="76"/>
    </row>
    <row r="59" spans="7:16" ht="15.75">
      <c r="G59" s="72"/>
      <c r="H59" s="72"/>
      <c r="I59" s="72"/>
      <c r="J59" s="72"/>
      <c r="K59" s="72"/>
      <c r="L59" s="72"/>
      <c r="M59" s="72"/>
      <c r="N59" s="14"/>
      <c r="O59" s="14"/>
      <c r="P59" s="76"/>
    </row>
    <row r="60" spans="7:16" ht="15.75">
      <c r="G60" s="72"/>
      <c r="H60" s="72"/>
      <c r="I60" s="72"/>
      <c r="J60" s="72"/>
      <c r="K60" s="72"/>
      <c r="L60" s="72"/>
      <c r="M60" s="72"/>
      <c r="N60" s="14"/>
      <c r="O60" s="14"/>
      <c r="P60" s="76"/>
    </row>
    <row r="61" spans="7:16" ht="15.75">
      <c r="G61" s="72"/>
      <c r="H61" s="72"/>
      <c r="I61" s="72"/>
      <c r="J61" s="72"/>
      <c r="K61" s="72"/>
      <c r="L61" s="72"/>
      <c r="M61" s="72"/>
      <c r="N61" s="14"/>
      <c r="O61" s="14"/>
      <c r="P61" s="76"/>
    </row>
    <row r="62" spans="7:16" ht="15.75">
      <c r="G62" s="72"/>
      <c r="H62" s="72"/>
      <c r="I62" s="72"/>
      <c r="J62" s="72"/>
      <c r="K62" s="72"/>
      <c r="L62" s="72"/>
      <c r="M62" s="72"/>
      <c r="N62" s="14"/>
      <c r="O62" s="14"/>
      <c r="P62" s="76"/>
    </row>
    <row r="63" spans="7:16" ht="15.75">
      <c r="G63" s="72"/>
      <c r="H63" s="72"/>
      <c r="I63" s="72"/>
      <c r="J63" s="72"/>
      <c r="K63" s="72"/>
      <c r="L63" s="72"/>
      <c r="M63" s="72"/>
      <c r="N63" s="14"/>
      <c r="O63" s="14"/>
      <c r="P63" s="76"/>
    </row>
    <row r="64" spans="7:16" ht="15.75">
      <c r="G64" s="72"/>
      <c r="H64" s="72"/>
      <c r="I64" s="72"/>
      <c r="J64" s="72"/>
      <c r="K64" s="72"/>
      <c r="L64" s="72"/>
      <c r="M64" s="72"/>
      <c r="N64" s="14"/>
      <c r="O64" s="14"/>
      <c r="P64" s="76"/>
    </row>
    <row r="65" spans="7:16" ht="15.75">
      <c r="G65" s="72"/>
      <c r="H65" s="72"/>
      <c r="I65" s="72"/>
      <c r="J65" s="72"/>
      <c r="K65" s="72"/>
      <c r="L65" s="72"/>
      <c r="M65" s="72"/>
      <c r="N65" s="14"/>
      <c r="O65" s="14"/>
      <c r="P65" s="76"/>
    </row>
    <row r="66" spans="7:16" ht="15.75">
      <c r="G66" s="72"/>
      <c r="H66" s="72"/>
      <c r="I66" s="72"/>
      <c r="J66" s="72"/>
      <c r="K66" s="72"/>
      <c r="L66" s="72"/>
      <c r="M66" s="72"/>
      <c r="N66" s="14"/>
      <c r="O66" s="14"/>
      <c r="P66" s="76"/>
    </row>
    <row r="67" spans="7:16" ht="15.75">
      <c r="G67" s="72"/>
      <c r="H67" s="72"/>
      <c r="I67" s="72"/>
      <c r="J67" s="72"/>
      <c r="K67" s="72"/>
      <c r="L67" s="72"/>
      <c r="M67" s="72"/>
      <c r="N67" s="14"/>
      <c r="O67" s="14"/>
      <c r="P67" s="76"/>
    </row>
    <row r="68" spans="7:16" ht="15.75">
      <c r="G68" s="72"/>
      <c r="H68" s="72"/>
      <c r="I68" s="72"/>
      <c r="J68" s="72"/>
      <c r="K68" s="72"/>
      <c r="L68" s="72"/>
      <c r="M68" s="72"/>
      <c r="N68" s="14"/>
      <c r="O68" s="14"/>
      <c r="P68" s="76"/>
    </row>
    <row r="69" spans="7:16" ht="15.75">
      <c r="G69" s="72"/>
      <c r="H69" s="72"/>
      <c r="I69" s="72"/>
      <c r="J69" s="72"/>
      <c r="K69" s="72"/>
      <c r="L69" s="72"/>
      <c r="M69" s="72"/>
      <c r="N69" s="14"/>
      <c r="O69" s="14"/>
      <c r="P69" s="76"/>
    </row>
    <row r="70" spans="7:16" ht="15.75">
      <c r="G70" s="72"/>
      <c r="H70" s="72"/>
      <c r="I70" s="72"/>
      <c r="J70" s="72"/>
      <c r="K70" s="72"/>
      <c r="L70" s="72"/>
      <c r="M70" s="72"/>
      <c r="N70" s="14"/>
      <c r="O70" s="14"/>
      <c r="P70" s="76"/>
    </row>
    <row r="71" spans="7:16" ht="15.75">
      <c r="G71" s="72"/>
      <c r="H71" s="72"/>
      <c r="I71" s="72"/>
      <c r="J71" s="72"/>
      <c r="K71" s="72"/>
      <c r="L71" s="72"/>
      <c r="M71" s="72"/>
      <c r="N71" s="14"/>
      <c r="O71" s="14"/>
      <c r="P71" s="77"/>
    </row>
    <row r="72" spans="7:16" ht="15.75">
      <c r="G72" s="73"/>
      <c r="H72" s="72"/>
      <c r="I72" s="72"/>
      <c r="J72" s="72"/>
      <c r="K72" s="72"/>
      <c r="L72" s="72"/>
      <c r="M72" s="72"/>
      <c r="N72" s="72"/>
      <c r="O72" s="72"/>
    </row>
  </sheetData>
  <sheetProtection password="CAF5" sheet="1" objects="1" scenarios="1"/>
  <mergeCells count="13">
    <mergeCell ref="A4:M4"/>
    <mergeCell ref="BK7:BN7"/>
    <mergeCell ref="L7:M7"/>
    <mergeCell ref="BF7:BI7"/>
    <mergeCell ref="BA7:BD7"/>
    <mergeCell ref="AV7:AY7"/>
    <mergeCell ref="AL7:AO7"/>
    <mergeCell ref="AQ7:AT7"/>
    <mergeCell ref="BZ7:CC7"/>
    <mergeCell ref="CE7:CH7"/>
    <mergeCell ref="AG7:AJ7"/>
    <mergeCell ref="BU7:BX7"/>
    <mergeCell ref="BP7:BS7"/>
  </mergeCells>
  <phoneticPr fontId="2" type="noConversion"/>
  <pageMargins left="0.54" right="0.45" top="1" bottom="1" header="0.5" footer="0.5"/>
  <pageSetup scale="82" orientation="landscape" horizontalDpi="4294967292" verticalDpi="4294967292" r:id="rId1"/>
  <headerFooter scaleWithDoc="0" alignWithMargins="0">
    <oddFooter>&amp;L&amp;"Arial,Italic"&amp;10MSDE - LFRO   12 / 2014&amp;C&amp;"Arial,Regular"&amp;10- 7 -&amp;R&amp;"Arial,Italic"&amp;10Selected Financial Data - Part 4</oddFooter>
  </headerFooter>
  <rowBreaks count="1" manualBreakCount="1">
    <brk id="41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DJ74"/>
  <sheetViews>
    <sheetView topLeftCell="A3" workbookViewId="0">
      <selection activeCell="A3" sqref="A3"/>
    </sheetView>
  </sheetViews>
  <sheetFormatPr defaultColWidth="10" defaultRowHeight="12.75"/>
  <cols>
    <col min="1" max="1" width="12.875" style="1" customWidth="1"/>
    <col min="2" max="11" width="12.625" style="1" customWidth="1"/>
    <col min="12" max="13" width="6.625" style="1" customWidth="1"/>
    <col min="14" max="14" width="9.125" style="1" customWidth="1"/>
    <col min="15" max="20" width="10.125" style="1" customWidth="1"/>
    <col min="21" max="21" width="10.125" style="3" customWidth="1"/>
    <col min="22" max="22" width="10.125" style="1" customWidth="1"/>
    <col min="23" max="23" width="12.5" style="3" bestFit="1" customWidth="1"/>
    <col min="24" max="24" width="12.625" style="1" customWidth="1"/>
    <col min="25" max="25" width="12.5" style="3" customWidth="1"/>
    <col min="26" max="26" width="10.875" style="3" bestFit="1" customWidth="1"/>
    <col min="27" max="28" width="12.625" style="1" customWidth="1"/>
    <col min="29" max="29" width="10.875" style="3" customWidth="1"/>
    <col min="30" max="37" width="12.625" style="1" customWidth="1"/>
    <col min="38" max="39" width="10.875" style="3" customWidth="1"/>
    <col min="40" max="40" width="12.5" style="3" bestFit="1" customWidth="1"/>
    <col min="41" max="43" width="10.875" style="3" customWidth="1"/>
    <col min="44" max="44" width="12.875" style="3" customWidth="1"/>
    <col min="45" max="45" width="10.875" style="3" customWidth="1"/>
    <col min="46" max="46" width="12.5" style="3" bestFit="1" customWidth="1"/>
    <col min="47" max="47" width="10.125" style="3" customWidth="1"/>
    <col min="48" max="48" width="11.5" style="3" customWidth="1"/>
    <col min="49" max="50" width="12.5" style="3" bestFit="1" customWidth="1"/>
    <col min="51" max="52" width="10.125" style="3" customWidth="1"/>
    <col min="53" max="53" width="13.375" style="3" customWidth="1"/>
    <col min="54" max="56" width="10.125" style="3" customWidth="1"/>
    <col min="57" max="57" width="12.75" style="3" customWidth="1"/>
    <col min="58" max="59" width="10.125" style="3" customWidth="1"/>
    <col min="60" max="60" width="12.5" style="3" bestFit="1" customWidth="1"/>
    <col min="61" max="61" width="10.125" style="3" customWidth="1"/>
    <col min="62" max="62" width="13.75" style="3" customWidth="1"/>
    <col min="63" max="63" width="11.25" style="3" bestFit="1" customWidth="1"/>
    <col min="64" max="64" width="12.5" style="3" bestFit="1" customWidth="1"/>
    <col min="65" max="66" width="10.125" style="3" customWidth="1"/>
    <col min="67" max="67" width="12.5" style="3" bestFit="1" customWidth="1"/>
    <col min="68" max="68" width="11.125" style="3" customWidth="1"/>
    <col min="69" max="69" width="11.75" style="3" customWidth="1"/>
    <col min="70" max="70" width="12" style="3" customWidth="1"/>
    <col min="71" max="71" width="12.5" style="3" bestFit="1" customWidth="1"/>
    <col min="72" max="72" width="11.75" style="3" customWidth="1"/>
    <col min="73" max="73" width="6.75" style="3" customWidth="1"/>
    <col min="74" max="74" width="12.625" style="3" customWidth="1"/>
    <col min="75" max="77" width="10" style="3" customWidth="1"/>
    <col min="78" max="78" width="12.375" style="3" customWidth="1"/>
    <col min="79" max="80" width="10" style="3"/>
    <col min="81" max="81" width="12.5" style="3" bestFit="1" customWidth="1"/>
    <col min="82" max="82" width="10" style="3"/>
    <col min="83" max="84" width="11.25" style="3" bestFit="1" customWidth="1"/>
    <col min="85" max="85" width="12.5" style="3" bestFit="1" customWidth="1"/>
    <col min="86" max="86" width="14.25" style="3" bestFit="1" customWidth="1"/>
    <col min="87" max="87" width="10" style="3" customWidth="1"/>
    <col min="88" max="88" width="12.5" style="3" bestFit="1" customWidth="1"/>
    <col min="89" max="89" width="10.25" style="3" bestFit="1" customWidth="1"/>
    <col min="90" max="90" width="11.25" style="3" bestFit="1" customWidth="1"/>
    <col min="91" max="91" width="11.75" style="3" customWidth="1"/>
    <col min="92" max="92" width="12.5" style="3" bestFit="1" customWidth="1"/>
    <col min="93" max="94" width="10" style="3"/>
    <col min="95" max="95" width="12.5" style="3" bestFit="1" customWidth="1"/>
    <col min="96" max="96" width="10" style="3"/>
    <col min="97" max="97" width="11.125" style="3" customWidth="1"/>
    <col min="98" max="98" width="10" style="3"/>
    <col min="99" max="99" width="12.5" style="3" bestFit="1" customWidth="1"/>
    <col min="100" max="100" width="10.5" style="3" customWidth="1"/>
    <col min="101" max="101" width="6.125" style="3" customWidth="1"/>
    <col min="102" max="102" width="13.375" style="3" customWidth="1"/>
    <col min="103" max="103" width="11.25" style="3" customWidth="1"/>
    <col min="104" max="105" width="10.625" style="3" customWidth="1"/>
    <col min="106" max="106" width="12.25" style="3" customWidth="1"/>
    <col min="107" max="110" width="10" style="3"/>
    <col min="111" max="111" width="11.25" style="3" bestFit="1" customWidth="1"/>
    <col min="112" max="16384" width="10" style="3"/>
  </cols>
  <sheetData>
    <row r="1" spans="1:114" ht="15.75" customHeight="1">
      <c r="A1" s="115" t="s">
        <v>79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1"/>
      <c r="P1" s="2"/>
      <c r="Q1" s="2"/>
      <c r="R1" s="2"/>
      <c r="V1" s="3"/>
      <c r="X1" s="199"/>
      <c r="AA1" s="199"/>
      <c r="AB1" s="199"/>
      <c r="AD1" s="115"/>
      <c r="AE1" s="115"/>
      <c r="AF1" s="115"/>
      <c r="AG1" s="115"/>
      <c r="AH1" s="115"/>
      <c r="AI1" s="115"/>
      <c r="AJ1" s="115"/>
      <c r="AK1" s="115"/>
    </row>
    <row r="2" spans="1:114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P2" s="2"/>
      <c r="Q2" s="2"/>
      <c r="R2" s="2"/>
      <c r="V2" s="2"/>
      <c r="X2" s="2"/>
      <c r="AA2" s="68"/>
      <c r="AB2" s="68"/>
      <c r="AD2" s="115"/>
      <c r="AE2" s="115"/>
      <c r="AF2" s="115"/>
      <c r="AG2" s="115"/>
      <c r="AH2" s="115"/>
      <c r="AI2" s="115"/>
      <c r="AJ2" s="115"/>
      <c r="AK2" s="115"/>
    </row>
    <row r="3" spans="1:114">
      <c r="A3" s="115" t="s">
        <v>229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0"/>
      <c r="P3" s="2"/>
      <c r="Q3" s="2"/>
      <c r="R3" s="2"/>
      <c r="V3" s="3"/>
      <c r="X3" s="10"/>
      <c r="AA3" s="68"/>
      <c r="AB3" s="68"/>
      <c r="AD3" s="115"/>
      <c r="AE3" s="115"/>
      <c r="AF3" s="115"/>
      <c r="AG3" s="115"/>
      <c r="AH3" s="115"/>
      <c r="AI3" s="115"/>
      <c r="AJ3" s="115"/>
      <c r="AK3" s="115"/>
    </row>
    <row r="4" spans="1:114">
      <c r="A4" s="405" t="s">
        <v>367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115"/>
      <c r="O4" s="199"/>
      <c r="P4" s="199"/>
      <c r="Q4" s="10"/>
      <c r="U4" s="1"/>
      <c r="W4" s="1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349"/>
      <c r="AL4" s="349"/>
      <c r="AM4" s="349"/>
      <c r="AN4" s="349"/>
      <c r="AO4" s="349"/>
      <c r="AP4" s="349"/>
      <c r="AQ4" s="349"/>
      <c r="AR4" s="349"/>
      <c r="AS4" s="349"/>
      <c r="AT4" s="2"/>
      <c r="AU4" s="2"/>
      <c r="AV4" s="2"/>
      <c r="AW4" s="2"/>
      <c r="AX4" s="1"/>
    </row>
    <row r="5" spans="1:114" ht="13.5" thickBot="1">
      <c r="AG5" s="413" t="s">
        <v>332</v>
      </c>
      <c r="AH5" s="413"/>
      <c r="AI5" s="413"/>
      <c r="AJ5" s="413"/>
      <c r="AK5" s="413"/>
      <c r="AL5" s="413"/>
      <c r="AM5" s="350"/>
      <c r="AN5" s="413" t="s">
        <v>352</v>
      </c>
      <c r="AO5" s="413"/>
      <c r="AP5" s="413"/>
      <c r="AQ5" s="413"/>
      <c r="AR5" s="413"/>
      <c r="AS5" s="413"/>
      <c r="AT5" s="413" t="s">
        <v>188</v>
      </c>
      <c r="AU5" s="413"/>
      <c r="AV5" s="413"/>
      <c r="AW5" s="413"/>
      <c r="AX5" s="413"/>
      <c r="AY5" s="413"/>
      <c r="BA5" s="413" t="s">
        <v>195</v>
      </c>
      <c r="BB5" s="413"/>
      <c r="BC5" s="413"/>
      <c r="BD5" s="413"/>
      <c r="BE5" s="413"/>
      <c r="BF5" s="413"/>
      <c r="BH5" s="413" t="s">
        <v>214</v>
      </c>
      <c r="BI5" s="413"/>
      <c r="BJ5" s="413"/>
      <c r="BK5" s="413"/>
      <c r="BL5" s="413"/>
      <c r="BM5" s="413"/>
      <c r="BO5" s="413" t="s">
        <v>258</v>
      </c>
      <c r="BP5" s="413"/>
      <c r="BQ5" s="413"/>
      <c r="BR5" s="413"/>
      <c r="BS5" s="413"/>
      <c r="BT5" s="413"/>
      <c r="BV5" s="413" t="s">
        <v>259</v>
      </c>
      <c r="BW5" s="413"/>
      <c r="BX5" s="413"/>
      <c r="BY5" s="413"/>
      <c r="BZ5" s="413"/>
      <c r="CA5" s="413"/>
      <c r="CC5" s="3" t="s">
        <v>271</v>
      </c>
      <c r="CJ5" s="3" t="s">
        <v>285</v>
      </c>
      <c r="CQ5" s="3" t="s">
        <v>311</v>
      </c>
      <c r="CX5" s="3" t="s">
        <v>344</v>
      </c>
      <c r="DE5" s="3" t="s">
        <v>361</v>
      </c>
    </row>
    <row r="6" spans="1:114" ht="13.5" customHeight="1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3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7"/>
      <c r="AG6" s="3" t="s">
        <v>170</v>
      </c>
      <c r="AH6" s="3" t="s">
        <v>170</v>
      </c>
      <c r="AI6" s="3" t="s">
        <v>173</v>
      </c>
      <c r="AJ6" s="3" t="s">
        <v>173</v>
      </c>
      <c r="AK6" s="414" t="s">
        <v>112</v>
      </c>
      <c r="AL6" s="414" t="s">
        <v>176</v>
      </c>
      <c r="AM6" s="350"/>
      <c r="AN6" s="3" t="s">
        <v>170</v>
      </c>
      <c r="AO6" s="3" t="s">
        <v>170</v>
      </c>
      <c r="AP6" s="3" t="s">
        <v>173</v>
      </c>
      <c r="AQ6" s="3" t="s">
        <v>173</v>
      </c>
      <c r="AR6" s="414" t="s">
        <v>112</v>
      </c>
      <c r="AS6" s="414" t="s">
        <v>176</v>
      </c>
      <c r="AT6" s="3" t="s">
        <v>170</v>
      </c>
      <c r="AU6" s="3" t="s">
        <v>170</v>
      </c>
      <c r="AV6" s="3" t="s">
        <v>173</v>
      </c>
      <c r="AW6" s="3" t="s">
        <v>173</v>
      </c>
      <c r="AX6" s="335" t="s">
        <v>112</v>
      </c>
      <c r="AY6" s="335" t="s">
        <v>176</v>
      </c>
      <c r="BA6" s="3" t="s">
        <v>170</v>
      </c>
      <c r="BB6" s="3" t="s">
        <v>170</v>
      </c>
      <c r="BC6" s="3" t="s">
        <v>173</v>
      </c>
      <c r="BD6" s="3" t="s">
        <v>173</v>
      </c>
      <c r="BE6" s="414" t="s">
        <v>112</v>
      </c>
      <c r="BF6" s="414" t="s">
        <v>176</v>
      </c>
      <c r="BH6" s="3" t="s">
        <v>170</v>
      </c>
      <c r="BI6" s="3" t="s">
        <v>170</v>
      </c>
      <c r="BJ6" s="3" t="s">
        <v>173</v>
      </c>
      <c r="BK6" s="3" t="s">
        <v>173</v>
      </c>
      <c r="BL6" s="414" t="s">
        <v>112</v>
      </c>
      <c r="BM6" s="414" t="s">
        <v>176</v>
      </c>
      <c r="BO6" s="3" t="s">
        <v>170</v>
      </c>
      <c r="BP6" s="3" t="s">
        <v>170</v>
      </c>
      <c r="BQ6" s="3" t="s">
        <v>173</v>
      </c>
      <c r="BR6" s="3" t="s">
        <v>173</v>
      </c>
      <c r="BS6" s="414" t="s">
        <v>112</v>
      </c>
      <c r="BT6" s="414" t="s">
        <v>176</v>
      </c>
      <c r="BV6" s="3" t="s">
        <v>170</v>
      </c>
      <c r="BW6" s="3" t="s">
        <v>170</v>
      </c>
      <c r="BX6" s="3" t="s">
        <v>173</v>
      </c>
      <c r="BY6" s="3" t="s">
        <v>173</v>
      </c>
      <c r="BZ6" s="414" t="s">
        <v>112</v>
      </c>
      <c r="CA6" s="414" t="s">
        <v>176</v>
      </c>
      <c r="CC6" s="3" t="s">
        <v>170</v>
      </c>
      <c r="CD6" s="3" t="s">
        <v>170</v>
      </c>
      <c r="CE6" s="3" t="s">
        <v>173</v>
      </c>
      <c r="CF6" s="3" t="s">
        <v>173</v>
      </c>
      <c r="CG6" s="3" t="s">
        <v>112</v>
      </c>
      <c r="CH6" s="3" t="s">
        <v>176</v>
      </c>
      <c r="CJ6" s="3" t="s">
        <v>170</v>
      </c>
      <c r="CK6" s="3" t="s">
        <v>170</v>
      </c>
      <c r="CL6" s="3" t="s">
        <v>173</v>
      </c>
      <c r="CM6" s="3" t="s">
        <v>173</v>
      </c>
      <c r="CN6" s="3" t="s">
        <v>112</v>
      </c>
      <c r="CO6" s="3" t="s">
        <v>176</v>
      </c>
      <c r="CQ6" s="3" t="s">
        <v>170</v>
      </c>
      <c r="CR6" s="3" t="s">
        <v>170</v>
      </c>
      <c r="CS6" s="3" t="s">
        <v>173</v>
      </c>
      <c r="CT6" s="3" t="s">
        <v>173</v>
      </c>
      <c r="CU6" s="314" t="s">
        <v>112</v>
      </c>
      <c r="CV6" s="412" t="s">
        <v>176</v>
      </c>
      <c r="CW6" s="358"/>
      <c r="CX6" s="3" t="s">
        <v>170</v>
      </c>
      <c r="CY6" s="3" t="s">
        <v>170</v>
      </c>
      <c r="CZ6" s="3" t="s">
        <v>173</v>
      </c>
      <c r="DA6" s="3" t="s">
        <v>173</v>
      </c>
      <c r="DB6" s="357" t="s">
        <v>112</v>
      </c>
      <c r="DC6" s="412" t="s">
        <v>176</v>
      </c>
      <c r="DE6" s="3" t="s">
        <v>170</v>
      </c>
      <c r="DF6" s="3" t="s">
        <v>170</v>
      </c>
      <c r="DG6" s="3" t="s">
        <v>173</v>
      </c>
      <c r="DH6" s="3" t="s">
        <v>173</v>
      </c>
      <c r="DI6" s="385" t="s">
        <v>112</v>
      </c>
      <c r="DJ6" s="412" t="s">
        <v>176</v>
      </c>
    </row>
    <row r="7" spans="1:114" ht="13.5" thickBot="1">
      <c r="A7" s="7"/>
      <c r="L7" s="406" t="s">
        <v>34</v>
      </c>
      <c r="M7" s="406"/>
      <c r="O7" s="7"/>
      <c r="P7" s="7"/>
      <c r="Q7" s="7"/>
      <c r="R7" s="7"/>
      <c r="S7" s="3"/>
      <c r="T7" s="7"/>
      <c r="U7" s="7"/>
      <c r="V7" s="7"/>
      <c r="W7" s="7"/>
      <c r="X7" s="7"/>
      <c r="Y7" s="7"/>
      <c r="Z7" s="7"/>
      <c r="AC7" s="1"/>
      <c r="AG7" s="3" t="s">
        <v>171</v>
      </c>
      <c r="AH7" s="3" t="s">
        <v>333</v>
      </c>
      <c r="AI7" s="3" t="s">
        <v>174</v>
      </c>
      <c r="AJ7" s="3" t="s">
        <v>334</v>
      </c>
      <c r="AK7" s="415"/>
      <c r="AL7" s="416"/>
      <c r="AM7" s="337"/>
      <c r="AN7" s="3" t="s">
        <v>171</v>
      </c>
      <c r="AO7" s="3" t="s">
        <v>333</v>
      </c>
      <c r="AP7" s="3" t="s">
        <v>174</v>
      </c>
      <c r="AQ7" s="3" t="s">
        <v>334</v>
      </c>
      <c r="AR7" s="415"/>
      <c r="AS7" s="416"/>
      <c r="AT7" s="3" t="s">
        <v>171</v>
      </c>
      <c r="AU7" s="3" t="s">
        <v>172</v>
      </c>
      <c r="AV7" s="3" t="s">
        <v>174</v>
      </c>
      <c r="AW7" s="3" t="s">
        <v>175</v>
      </c>
      <c r="AX7" s="336"/>
      <c r="AY7" s="337"/>
      <c r="BA7" s="3" t="s">
        <v>171</v>
      </c>
      <c r="BB7" s="3" t="s">
        <v>172</v>
      </c>
      <c r="BC7" s="3" t="s">
        <v>174</v>
      </c>
      <c r="BD7" s="3" t="s">
        <v>175</v>
      </c>
      <c r="BE7" s="415"/>
      <c r="BF7" s="416"/>
      <c r="BH7" s="3" t="s">
        <v>171</v>
      </c>
      <c r="BI7" s="3" t="s">
        <v>230</v>
      </c>
      <c r="BJ7" s="3" t="s">
        <v>241</v>
      </c>
      <c r="BK7" s="3" t="s">
        <v>215</v>
      </c>
      <c r="BL7" s="415"/>
      <c r="BM7" s="416"/>
      <c r="BO7" s="3" t="s">
        <v>171</v>
      </c>
      <c r="BP7" s="3" t="s">
        <v>230</v>
      </c>
      <c r="BQ7" s="3" t="s">
        <v>241</v>
      </c>
      <c r="BR7" s="3" t="s">
        <v>215</v>
      </c>
      <c r="BS7" s="415"/>
      <c r="BT7" s="416"/>
      <c r="BV7" s="3" t="s">
        <v>171</v>
      </c>
      <c r="BW7" s="3" t="s">
        <v>230</v>
      </c>
      <c r="BX7" s="3" t="s">
        <v>241</v>
      </c>
      <c r="BY7" s="3" t="s">
        <v>215</v>
      </c>
      <c r="BZ7" s="415"/>
      <c r="CA7" s="416"/>
      <c r="CC7" s="3" t="s">
        <v>171</v>
      </c>
      <c r="CD7" s="3" t="s">
        <v>230</v>
      </c>
      <c r="CE7" s="3" t="s">
        <v>241</v>
      </c>
      <c r="CF7" s="3" t="s">
        <v>215</v>
      </c>
      <c r="CJ7" s="3" t="s">
        <v>171</v>
      </c>
      <c r="CK7" s="3" t="s">
        <v>230</v>
      </c>
      <c r="CL7" s="3" t="s">
        <v>241</v>
      </c>
      <c r="CM7" s="3" t="s">
        <v>215</v>
      </c>
      <c r="CQ7" s="3" t="s">
        <v>171</v>
      </c>
      <c r="CR7" s="3" t="s">
        <v>230</v>
      </c>
      <c r="CS7" s="3" t="s">
        <v>241</v>
      </c>
      <c r="CT7" s="3" t="s">
        <v>215</v>
      </c>
      <c r="CV7" s="412"/>
      <c r="CW7" s="358"/>
      <c r="CX7" s="3" t="s">
        <v>171</v>
      </c>
      <c r="CY7" s="3" t="s">
        <v>230</v>
      </c>
      <c r="CZ7" s="3" t="s">
        <v>241</v>
      </c>
      <c r="DA7" s="3" t="s">
        <v>215</v>
      </c>
      <c r="DC7" s="412"/>
      <c r="DE7" s="3" t="s">
        <v>171</v>
      </c>
      <c r="DF7" s="3" t="s">
        <v>230</v>
      </c>
      <c r="DG7" s="3" t="s">
        <v>241</v>
      </c>
      <c r="DH7" s="3" t="s">
        <v>215</v>
      </c>
      <c r="DJ7" s="412"/>
    </row>
    <row r="8" spans="1:114">
      <c r="A8" s="7"/>
      <c r="B8" s="7"/>
      <c r="C8" s="7"/>
      <c r="D8" s="7"/>
      <c r="E8" s="7"/>
      <c r="F8" s="7"/>
      <c r="G8" s="7"/>
      <c r="H8" s="7"/>
      <c r="I8" s="7"/>
      <c r="L8" s="10" t="s">
        <v>85</v>
      </c>
      <c r="M8" s="10" t="s">
        <v>86</v>
      </c>
      <c r="O8" s="7"/>
      <c r="P8" s="7"/>
      <c r="Q8" s="7"/>
      <c r="R8" s="7"/>
      <c r="S8" s="3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3" t="s">
        <v>108</v>
      </c>
      <c r="AH8" s="3" t="s">
        <v>111</v>
      </c>
      <c r="AI8" s="3" t="s">
        <v>109</v>
      </c>
      <c r="AJ8" s="3" t="s">
        <v>109</v>
      </c>
      <c r="AK8" s="110" t="s">
        <v>113</v>
      </c>
      <c r="AL8" s="110" t="s">
        <v>113</v>
      </c>
      <c r="AM8" s="110"/>
      <c r="AN8" s="3" t="s">
        <v>108</v>
      </c>
      <c r="AO8" s="3" t="s">
        <v>111</v>
      </c>
      <c r="AP8" s="3" t="s">
        <v>109</v>
      </c>
      <c r="AQ8" s="3" t="s">
        <v>109</v>
      </c>
      <c r="AR8" s="110" t="s">
        <v>113</v>
      </c>
      <c r="AS8" s="110" t="s">
        <v>113</v>
      </c>
      <c r="AT8" s="3" t="s">
        <v>108</v>
      </c>
      <c r="AU8" s="3" t="s">
        <v>111</v>
      </c>
      <c r="AV8" s="3" t="s">
        <v>109</v>
      </c>
      <c r="AW8" s="3" t="s">
        <v>109</v>
      </c>
      <c r="AX8" s="110" t="s">
        <v>113</v>
      </c>
      <c r="AY8" s="110" t="s">
        <v>113</v>
      </c>
      <c r="BA8" s="3" t="s">
        <v>108</v>
      </c>
      <c r="BB8" s="3" t="s">
        <v>111</v>
      </c>
      <c r="BC8" s="3" t="s">
        <v>109</v>
      </c>
      <c r="BD8" s="3" t="s">
        <v>109</v>
      </c>
      <c r="BE8" s="110" t="s">
        <v>113</v>
      </c>
      <c r="BF8" s="110" t="s">
        <v>113</v>
      </c>
      <c r="BH8" s="3" t="s">
        <v>108</v>
      </c>
      <c r="BI8" s="3" t="s">
        <v>111</v>
      </c>
      <c r="BJ8" s="3" t="s">
        <v>109</v>
      </c>
      <c r="BK8" s="3" t="s">
        <v>109</v>
      </c>
      <c r="BL8" s="110" t="s">
        <v>113</v>
      </c>
      <c r="BM8" s="110" t="s">
        <v>113</v>
      </c>
      <c r="BO8" s="3" t="s">
        <v>108</v>
      </c>
      <c r="BP8" s="3" t="s">
        <v>111</v>
      </c>
      <c r="BQ8" s="3" t="s">
        <v>109</v>
      </c>
      <c r="BR8" s="3" t="s">
        <v>109</v>
      </c>
      <c r="BS8" s="110" t="s">
        <v>113</v>
      </c>
      <c r="BT8" s="110" t="s">
        <v>113</v>
      </c>
      <c r="BV8" s="3" t="s">
        <v>108</v>
      </c>
      <c r="BW8" s="3" t="s">
        <v>111</v>
      </c>
      <c r="BX8" s="3" t="s">
        <v>109</v>
      </c>
      <c r="BY8" s="3" t="s">
        <v>109</v>
      </c>
      <c r="BZ8" s="110" t="s">
        <v>113</v>
      </c>
      <c r="CA8" s="110" t="s">
        <v>113</v>
      </c>
      <c r="CC8" s="3" t="s">
        <v>108</v>
      </c>
      <c r="CD8" s="3" t="s">
        <v>111</v>
      </c>
      <c r="CE8" s="3" t="s">
        <v>109</v>
      </c>
      <c r="CF8" s="3" t="s">
        <v>109</v>
      </c>
      <c r="CG8" s="3" t="s">
        <v>113</v>
      </c>
      <c r="CH8" s="3" t="s">
        <v>113</v>
      </c>
      <c r="CJ8" s="3" t="s">
        <v>108</v>
      </c>
      <c r="CK8" s="3" t="s">
        <v>111</v>
      </c>
      <c r="CL8" s="3" t="s">
        <v>109</v>
      </c>
      <c r="CM8" s="3" t="s">
        <v>109</v>
      </c>
      <c r="CN8" s="3" t="s">
        <v>113</v>
      </c>
      <c r="CO8" s="3" t="s">
        <v>113</v>
      </c>
      <c r="CQ8" s="3" t="s">
        <v>108</v>
      </c>
      <c r="CR8" s="3" t="s">
        <v>111</v>
      </c>
      <c r="CS8" s="3" t="s">
        <v>109</v>
      </c>
      <c r="CT8" s="3" t="s">
        <v>109</v>
      </c>
      <c r="CU8" s="314" t="s">
        <v>141</v>
      </c>
      <c r="CV8" s="314" t="s">
        <v>141</v>
      </c>
      <c r="CW8" s="357"/>
      <c r="CX8" s="3" t="s">
        <v>108</v>
      </c>
      <c r="CY8" s="3" t="s">
        <v>111</v>
      </c>
      <c r="CZ8" s="3" t="s">
        <v>109</v>
      </c>
      <c r="DA8" s="3" t="s">
        <v>109</v>
      </c>
      <c r="DB8" s="357" t="s">
        <v>141</v>
      </c>
      <c r="DC8" s="357" t="s">
        <v>141</v>
      </c>
      <c r="DE8" s="3" t="s">
        <v>108</v>
      </c>
      <c r="DF8" s="3" t="s">
        <v>111</v>
      </c>
      <c r="DG8" s="3" t="s">
        <v>109</v>
      </c>
      <c r="DH8" s="3" t="s">
        <v>109</v>
      </c>
      <c r="DI8" s="385" t="s">
        <v>141</v>
      </c>
      <c r="DJ8" s="385" t="s">
        <v>141</v>
      </c>
    </row>
    <row r="9" spans="1:114" ht="13.5" thickBot="1">
      <c r="A9" s="8" t="s">
        <v>1</v>
      </c>
      <c r="B9" s="396" t="s">
        <v>184</v>
      </c>
      <c r="C9" s="396" t="s">
        <v>194</v>
      </c>
      <c r="D9" s="396" t="s">
        <v>208</v>
      </c>
      <c r="E9" s="396" t="s">
        <v>243</v>
      </c>
      <c r="F9" s="396" t="s">
        <v>256</v>
      </c>
      <c r="G9" s="397" t="s">
        <v>269</v>
      </c>
      <c r="H9" s="397" t="s">
        <v>283</v>
      </c>
      <c r="I9" s="397" t="s">
        <v>303</v>
      </c>
      <c r="J9" s="397" t="s">
        <v>330</v>
      </c>
      <c r="K9" s="397" t="s">
        <v>360</v>
      </c>
      <c r="L9" s="9" t="s">
        <v>84</v>
      </c>
      <c r="M9" s="9" t="s">
        <v>84</v>
      </c>
      <c r="N9" s="9" t="s">
        <v>2</v>
      </c>
      <c r="O9" s="9" t="s">
        <v>35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8" t="s">
        <v>65</v>
      </c>
      <c r="V9" s="8" t="s">
        <v>66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304" t="s">
        <v>183</v>
      </c>
      <c r="AC9" s="304" t="s">
        <v>104</v>
      </c>
      <c r="AD9" s="304" t="s">
        <v>105</v>
      </c>
      <c r="AE9" s="338" t="s">
        <v>161</v>
      </c>
      <c r="AF9" s="387" t="s">
        <v>168</v>
      </c>
      <c r="AG9" s="3" t="s">
        <v>112</v>
      </c>
      <c r="AH9" s="3" t="s">
        <v>110</v>
      </c>
      <c r="AI9" s="3" t="s">
        <v>112</v>
      </c>
      <c r="AJ9" s="3" t="s">
        <v>110</v>
      </c>
      <c r="AK9" s="110" t="s">
        <v>111</v>
      </c>
      <c r="AL9" s="110" t="s">
        <v>111</v>
      </c>
      <c r="AM9" s="110"/>
      <c r="AN9" s="3" t="s">
        <v>112</v>
      </c>
      <c r="AO9" s="3" t="s">
        <v>110</v>
      </c>
      <c r="AP9" s="3" t="s">
        <v>112</v>
      </c>
      <c r="AQ9" s="3" t="s">
        <v>110</v>
      </c>
      <c r="AR9" s="110" t="s">
        <v>111</v>
      </c>
      <c r="AS9" s="110" t="s">
        <v>111</v>
      </c>
      <c r="AT9" s="3" t="s">
        <v>112</v>
      </c>
      <c r="AU9" s="3" t="s">
        <v>110</v>
      </c>
      <c r="AV9" s="3" t="s">
        <v>112</v>
      </c>
      <c r="AW9" s="3" t="s">
        <v>110</v>
      </c>
      <c r="AX9" s="110" t="s">
        <v>111</v>
      </c>
      <c r="AY9" s="110" t="s">
        <v>111</v>
      </c>
      <c r="BA9" s="3" t="s">
        <v>112</v>
      </c>
      <c r="BB9" s="3" t="s">
        <v>110</v>
      </c>
      <c r="BC9" s="3" t="s">
        <v>112</v>
      </c>
      <c r="BD9" s="3" t="s">
        <v>110</v>
      </c>
      <c r="BE9" s="110" t="s">
        <v>111</v>
      </c>
      <c r="BF9" s="110" t="s">
        <v>111</v>
      </c>
      <c r="BH9" s="3" t="s">
        <v>112</v>
      </c>
      <c r="BI9" s="3" t="s">
        <v>110</v>
      </c>
      <c r="BJ9" s="3" t="s">
        <v>112</v>
      </c>
      <c r="BK9" s="3" t="s">
        <v>110</v>
      </c>
      <c r="BL9" s="110" t="s">
        <v>111</v>
      </c>
      <c r="BM9" s="110" t="s">
        <v>111</v>
      </c>
      <c r="BO9" s="3" t="s">
        <v>112</v>
      </c>
      <c r="BP9" s="3" t="s">
        <v>110</v>
      </c>
      <c r="BQ9" s="3" t="s">
        <v>112</v>
      </c>
      <c r="BR9" s="3" t="s">
        <v>110</v>
      </c>
      <c r="BS9" s="110" t="s">
        <v>111</v>
      </c>
      <c r="BT9" s="110" t="s">
        <v>111</v>
      </c>
      <c r="BV9" s="3" t="s">
        <v>112</v>
      </c>
      <c r="BW9" s="3" t="s">
        <v>110</v>
      </c>
      <c r="BX9" s="3" t="s">
        <v>112</v>
      </c>
      <c r="BY9" s="3" t="s">
        <v>110</v>
      </c>
      <c r="BZ9" s="110" t="s">
        <v>111</v>
      </c>
      <c r="CA9" s="110" t="s">
        <v>111</v>
      </c>
      <c r="CC9" s="3" t="s">
        <v>112</v>
      </c>
      <c r="CD9" s="3" t="s">
        <v>110</v>
      </c>
      <c r="CE9" s="3" t="s">
        <v>112</v>
      </c>
      <c r="CF9" s="3" t="s">
        <v>110</v>
      </c>
      <c r="CG9" s="3" t="s">
        <v>111</v>
      </c>
      <c r="CH9" s="3" t="s">
        <v>111</v>
      </c>
      <c r="CJ9" s="3" t="s">
        <v>112</v>
      </c>
      <c r="CK9" s="3" t="s">
        <v>110</v>
      </c>
      <c r="CL9" s="3" t="s">
        <v>112</v>
      </c>
      <c r="CM9" s="3" t="s">
        <v>110</v>
      </c>
      <c r="CN9" s="3" t="s">
        <v>111</v>
      </c>
      <c r="CO9" s="3" t="s">
        <v>111</v>
      </c>
      <c r="CQ9" s="3" t="s">
        <v>112</v>
      </c>
      <c r="CR9" s="3" t="s">
        <v>110</v>
      </c>
      <c r="CS9" s="3" t="s">
        <v>112</v>
      </c>
      <c r="CT9" s="3" t="s">
        <v>110</v>
      </c>
      <c r="CU9" s="314" t="s">
        <v>113</v>
      </c>
      <c r="CV9" s="314" t="s">
        <v>113</v>
      </c>
      <c r="CW9" s="357"/>
      <c r="CX9" s="3" t="s">
        <v>112</v>
      </c>
      <c r="CY9" s="3" t="s">
        <v>110</v>
      </c>
      <c r="CZ9" s="3" t="s">
        <v>112</v>
      </c>
      <c r="DA9" s="3" t="s">
        <v>110</v>
      </c>
      <c r="DB9" s="357" t="s">
        <v>113</v>
      </c>
      <c r="DC9" s="357" t="s">
        <v>113</v>
      </c>
      <c r="DE9" s="3" t="s">
        <v>112</v>
      </c>
      <c r="DF9" s="3" t="s">
        <v>110</v>
      </c>
      <c r="DG9" s="3" t="s">
        <v>112</v>
      </c>
      <c r="DH9" s="3" t="s">
        <v>110</v>
      </c>
      <c r="DI9" s="385" t="s">
        <v>113</v>
      </c>
      <c r="DJ9" s="385" t="s">
        <v>113</v>
      </c>
    </row>
    <row r="10" spans="1:114">
      <c r="A10" s="7" t="s">
        <v>5</v>
      </c>
      <c r="B10" s="11">
        <f>SUM(B12:B39)</f>
        <v>3384820</v>
      </c>
      <c r="C10" s="11">
        <f t="shared" ref="C10:K10" si="0">SUM(C12:C39)</f>
        <v>3514701</v>
      </c>
      <c r="D10" s="11">
        <f t="shared" si="0"/>
        <v>3746503.7002300001</v>
      </c>
      <c r="E10" s="11">
        <f t="shared" si="0"/>
        <v>4062037.7187800007</v>
      </c>
      <c r="F10" s="11">
        <f t="shared" si="0"/>
        <v>4386841.5347699998</v>
      </c>
      <c r="G10" s="11">
        <f t="shared" si="0"/>
        <v>4498059.4071000004</v>
      </c>
      <c r="H10" s="11">
        <f t="shared" si="0"/>
        <v>4538661.0946099991</v>
      </c>
      <c r="I10" s="11">
        <f t="shared" si="0"/>
        <v>4501688.0286400001</v>
      </c>
      <c r="J10" s="11">
        <f t="shared" si="0"/>
        <v>4376764.7927299989</v>
      </c>
      <c r="K10" s="11">
        <f t="shared" si="0"/>
        <v>4462035.5124500003</v>
      </c>
      <c r="L10" s="240">
        <f>(K10-J10)*100/J10</f>
        <v>1.9482591310741622</v>
      </c>
      <c r="M10" s="48">
        <f>(K10-AF10)*100/AF10</f>
        <v>34.151884988871323</v>
      </c>
      <c r="N10" s="11">
        <f>SUM(N12:N39)</f>
        <v>1206634</v>
      </c>
      <c r="O10" s="11">
        <f>SUM(O12:O39)</f>
        <v>1261604</v>
      </c>
      <c r="P10" s="11">
        <f>SUM(P12:P39)</f>
        <v>1377436</v>
      </c>
      <c r="Q10" s="11">
        <f>SUM(Q12:Q39)</f>
        <v>1507346</v>
      </c>
      <c r="R10" s="11">
        <f>SUM(R11:R39)</f>
        <v>1670447</v>
      </c>
      <c r="S10" s="11">
        <f>SUM(S11:S39)</f>
        <v>1824006</v>
      </c>
      <c r="T10" s="11">
        <f>SUM(T11:T39)</f>
        <v>1987318</v>
      </c>
      <c r="U10" s="11">
        <f t="shared" ref="U10:Y10" si="1">SUM(U12:U43)</f>
        <v>2017138</v>
      </c>
      <c r="V10" s="11">
        <f t="shared" si="1"/>
        <v>2095302</v>
      </c>
      <c r="W10" s="11">
        <f t="shared" si="1"/>
        <v>2190290</v>
      </c>
      <c r="X10" s="11">
        <f t="shared" si="1"/>
        <v>2350590.7229999998</v>
      </c>
      <c r="Y10" s="11">
        <f t="shared" si="1"/>
        <v>2438369</v>
      </c>
      <c r="Z10" s="11">
        <f t="shared" ref="Z10" si="2">SUM(Z12:Z43)</f>
        <v>2517398</v>
      </c>
      <c r="AA10" s="11">
        <f>SUM(AA12:AA43)</f>
        <v>2381073</v>
      </c>
      <c r="AB10" s="11">
        <f>SUM(AB12:AB43)</f>
        <v>2534562</v>
      </c>
      <c r="AC10" s="11">
        <v>2690895</v>
      </c>
      <c r="AD10" s="11">
        <v>2983563</v>
      </c>
      <c r="AE10" s="11">
        <f>SUM(AE12:AE43)</f>
        <v>3185253.5923499996</v>
      </c>
      <c r="AF10" s="11">
        <f>SUM(AF12:AF43)</f>
        <v>3326107.2051430005</v>
      </c>
      <c r="AG10" s="11">
        <f>SUM(AG12:AG43)</f>
        <v>3237115284.1500001</v>
      </c>
      <c r="AH10" s="11">
        <f>SUM(AH12:AH43)</f>
        <v>42832283.780000001</v>
      </c>
      <c r="AI10" s="11">
        <f>SUM(AI11:AI39)</f>
        <v>8392575.0800000001</v>
      </c>
      <c r="AJ10" s="11">
        <f>SUM(AJ11:AJ39)</f>
        <v>76518.509999999995</v>
      </c>
      <c r="AK10" s="11">
        <f>SUM(AK11:AK39)</f>
        <v>3185966943.8000007</v>
      </c>
      <c r="AL10" s="11">
        <f>SUM(AL11:AL39)</f>
        <v>3185966.9438000005</v>
      </c>
      <c r="AM10" s="11"/>
      <c r="AN10" s="11">
        <f>SUM(AN12:AN39)</f>
        <v>3362960709.8129992</v>
      </c>
      <c r="AO10" s="11">
        <f>SUM(AO12:AO39)</f>
        <v>29473871.640000004</v>
      </c>
      <c r="AP10" s="11">
        <f>SUM(AP12:AP39)</f>
        <v>7428900.290000001</v>
      </c>
      <c r="AQ10" s="11">
        <f>SUM(AQ12:AQ39)</f>
        <v>49267.26</v>
      </c>
      <c r="AR10" s="11">
        <f t="shared" ref="AR10:AS10" si="3">SUM(AR12:AR39)</f>
        <v>3326107205.1430006</v>
      </c>
      <c r="AS10" s="11">
        <f t="shared" si="3"/>
        <v>3326107.2051429995</v>
      </c>
      <c r="AT10" s="11">
        <f>SUM(AT12:AT43)</f>
        <v>3423706601</v>
      </c>
      <c r="AU10" s="11">
        <f>SUM(AU12:AU43)</f>
        <v>30515368.109999999</v>
      </c>
      <c r="AV10" s="11">
        <f>SUM(AV12:AV43)</f>
        <v>8408047.1399999987</v>
      </c>
      <c r="AW10" s="11">
        <f>SUM(AW11:AW39)</f>
        <v>35638.370000000003</v>
      </c>
      <c r="AX10" s="11">
        <f>SUM(AX11:AX39)</f>
        <v>3384818824.1199999</v>
      </c>
      <c r="AY10" s="11">
        <f>SUM(AY11:AY39)</f>
        <v>3384818.82412</v>
      </c>
      <c r="BA10" s="11">
        <f>SUM(BA12:BA43)</f>
        <v>3571803525</v>
      </c>
      <c r="BB10" s="11">
        <f>SUM(BB12:BB43)</f>
        <v>49907299.969999991</v>
      </c>
      <c r="BC10" s="11">
        <f>SUM(BC11:BC39)</f>
        <v>7268272.0300000003</v>
      </c>
      <c r="BD10" s="11">
        <f>SUM(BD11:BD39)</f>
        <v>71686.41</v>
      </c>
      <c r="BE10" s="11">
        <f>SUM(BE11:BE39)</f>
        <v>3514699639.4099998</v>
      </c>
      <c r="BF10" s="11">
        <f>SUM(BF11:BF39)</f>
        <v>3514699.6394100008</v>
      </c>
      <c r="BH10" s="11">
        <f t="shared" ref="BH10:BT10" si="4">SUM(BH12:BH39)</f>
        <v>3793591758.1799998</v>
      </c>
      <c r="BI10" s="11">
        <f t="shared" si="4"/>
        <v>40080907.039999992</v>
      </c>
      <c r="BJ10" s="11">
        <f t="shared" si="4"/>
        <v>7025936.1499999994</v>
      </c>
      <c r="BK10" s="11">
        <f t="shared" si="4"/>
        <v>18785.240000000002</v>
      </c>
      <c r="BL10" s="11">
        <f t="shared" si="4"/>
        <v>3746503700.2299995</v>
      </c>
      <c r="BM10" s="11">
        <f t="shared" si="4"/>
        <v>3746503.7002300001</v>
      </c>
      <c r="BO10" s="11">
        <f t="shared" si="4"/>
        <v>4116776614.7800002</v>
      </c>
      <c r="BP10" s="11">
        <f t="shared" si="4"/>
        <v>48679715.360000007</v>
      </c>
      <c r="BQ10" s="11">
        <f t="shared" si="4"/>
        <v>6063593.2899999991</v>
      </c>
      <c r="BR10" s="11">
        <f t="shared" si="4"/>
        <v>4412.6499999999996</v>
      </c>
      <c r="BS10" s="11">
        <f t="shared" si="4"/>
        <v>4062037718.7800002</v>
      </c>
      <c r="BT10" s="11">
        <f t="shared" si="4"/>
        <v>4062037.7187800007</v>
      </c>
      <c r="BV10" s="11">
        <f t="shared" ref="BV10:CA10" si="5">SUM(BV12:BV39)</f>
        <v>4449443870.9699993</v>
      </c>
      <c r="BW10" s="11">
        <f t="shared" si="5"/>
        <v>54835933.429999985</v>
      </c>
      <c r="BX10" s="11">
        <f t="shared" si="5"/>
        <v>6284711.79</v>
      </c>
      <c r="BY10" s="11">
        <f t="shared" si="5"/>
        <v>5801.85</v>
      </c>
      <c r="BZ10" s="11">
        <f t="shared" si="5"/>
        <v>4388329027.6000004</v>
      </c>
      <c r="CA10" s="11">
        <f t="shared" si="5"/>
        <v>4388329.0275999997</v>
      </c>
      <c r="CC10" s="11">
        <f t="shared" ref="CC10:CH10" si="6">SUM(CC12:CC39)</f>
        <v>4550101427.9500017</v>
      </c>
      <c r="CD10" s="11">
        <f t="shared" si="6"/>
        <v>46706718.560000002</v>
      </c>
      <c r="CE10" s="11">
        <f t="shared" si="6"/>
        <v>5374110.080000001</v>
      </c>
      <c r="CF10" s="11">
        <f t="shared" si="6"/>
        <v>38807.79</v>
      </c>
      <c r="CG10" s="11">
        <f t="shared" si="6"/>
        <v>4498059407.1000004</v>
      </c>
      <c r="CH10" s="11">
        <f t="shared" si="6"/>
        <v>4498059.4071000004</v>
      </c>
      <c r="CJ10" s="11">
        <f t="shared" ref="CJ10:CO10" si="7">SUM(CJ12:CJ39)</f>
        <v>4578273601.8900003</v>
      </c>
      <c r="CK10" s="11">
        <f t="shared" si="7"/>
        <v>35197318.120000005</v>
      </c>
      <c r="CL10" s="11">
        <f t="shared" si="7"/>
        <v>4419401.16</v>
      </c>
      <c r="CM10" s="11">
        <f t="shared" si="7"/>
        <v>4212</v>
      </c>
      <c r="CN10" s="11">
        <f t="shared" si="7"/>
        <v>4538661094.6099987</v>
      </c>
      <c r="CO10" s="11">
        <f t="shared" si="7"/>
        <v>4538661.0946099991</v>
      </c>
      <c r="CQ10" s="11">
        <f t="shared" ref="CQ10:CV10" si="8">SUM(CQ12:CQ39)</f>
        <v>4533457999.9899998</v>
      </c>
      <c r="CR10" s="11">
        <f t="shared" si="8"/>
        <v>29219899.060000002</v>
      </c>
      <c r="CS10" s="11">
        <f t="shared" si="8"/>
        <v>2550571.2900000005</v>
      </c>
      <c r="CT10" s="11">
        <f t="shared" si="8"/>
        <v>499</v>
      </c>
      <c r="CU10" s="11">
        <f t="shared" si="8"/>
        <v>4501688028.6400003</v>
      </c>
      <c r="CV10" s="11">
        <f t="shared" si="8"/>
        <v>4501688.0286400001</v>
      </c>
      <c r="CW10" s="11"/>
      <c r="CX10" s="11">
        <f t="shared" ref="CX10:DC10" si="9">SUM(CX12:CX39)</f>
        <v>4398925953.7200003</v>
      </c>
      <c r="CY10" s="11">
        <f t="shared" si="9"/>
        <v>19867548.879999999</v>
      </c>
      <c r="CZ10" s="11">
        <f t="shared" si="9"/>
        <v>2297611.1599999997</v>
      </c>
      <c r="DA10" s="11">
        <f t="shared" si="9"/>
        <v>3999.05</v>
      </c>
      <c r="DB10" s="11">
        <f t="shared" si="9"/>
        <v>4376764792.7299995</v>
      </c>
      <c r="DC10" s="11">
        <f t="shared" si="9"/>
        <v>4376764.7927299989</v>
      </c>
      <c r="DE10" s="3">
        <f>SUM(DE12:DE39)</f>
        <v>4499857123.8199997</v>
      </c>
      <c r="DF10" s="3">
        <f t="shared" ref="DF10:DJ10" si="10">SUM(DF12:DF39)</f>
        <v>35722987.100000001</v>
      </c>
      <c r="DG10" s="3">
        <f>SUM(DG12:DG39)</f>
        <v>2106130.2700000005</v>
      </c>
      <c r="DH10" s="3">
        <f t="shared" si="10"/>
        <v>7506</v>
      </c>
      <c r="DI10" s="3">
        <f t="shared" si="10"/>
        <v>4462035512.4500008</v>
      </c>
      <c r="DJ10" s="3">
        <f t="shared" si="10"/>
        <v>4462035.5124500003</v>
      </c>
    </row>
    <row r="11" spans="1:114">
      <c r="B11" s="14"/>
      <c r="C11" s="14"/>
      <c r="D11" s="14"/>
      <c r="E11" s="14"/>
      <c r="F11" s="14"/>
      <c r="G11" s="14"/>
      <c r="H11" s="14"/>
      <c r="I11" s="14"/>
      <c r="J11" s="14"/>
      <c r="K11" s="14"/>
      <c r="M11" s="14"/>
      <c r="O11" s="14"/>
      <c r="R11" s="14"/>
      <c r="S11" s="14"/>
      <c r="U11" s="1"/>
      <c r="W11" s="1"/>
      <c r="X11" s="14" t="s">
        <v>30</v>
      </c>
      <c r="Y11" s="1"/>
      <c r="Z11" s="14"/>
      <c r="AA11" s="14"/>
      <c r="AB11" s="14"/>
      <c r="AC11" s="14"/>
      <c r="AD11" s="14"/>
      <c r="AE11" s="14"/>
      <c r="AF11" s="14"/>
      <c r="AG11" s="3"/>
      <c r="AH11" s="3"/>
      <c r="AI11" s="3"/>
      <c r="AJ11" s="3"/>
      <c r="AK11" s="3"/>
    </row>
    <row r="12" spans="1:114">
      <c r="A12" s="1" t="s">
        <v>6</v>
      </c>
      <c r="B12" s="14">
        <v>37859</v>
      </c>
      <c r="C12" s="14">
        <v>38396</v>
      </c>
      <c r="D12" s="14">
        <v>40336.536640000006</v>
      </c>
      <c r="E12" s="14">
        <v>43173.756980000006</v>
      </c>
      <c r="F12" s="14">
        <v>44012.278049999994</v>
      </c>
      <c r="G12" s="14">
        <v>49864.163690000001</v>
      </c>
      <c r="H12" s="14">
        <v>49835.787939999995</v>
      </c>
      <c r="I12" s="14">
        <v>48669.407350000001</v>
      </c>
      <c r="J12" s="14">
        <v>44492.706789999989</v>
      </c>
      <c r="K12" s="14">
        <v>48075.042529999992</v>
      </c>
      <c r="L12" s="240">
        <f>(K12-J12)*100/J12</f>
        <v>8.0515122554988157</v>
      </c>
      <c r="M12" s="48">
        <f>(K12-AF12)*100/AF12</f>
        <v>34.893522177965473</v>
      </c>
      <c r="N12" s="14">
        <v>18788</v>
      </c>
      <c r="O12" s="14">
        <v>19226</v>
      </c>
      <c r="P12" s="14">
        <v>20230</v>
      </c>
      <c r="Q12" s="27">
        <v>21396</v>
      </c>
      <c r="R12" s="27">
        <v>23150</v>
      </c>
      <c r="S12" s="27">
        <v>24625</v>
      </c>
      <c r="T12" s="27">
        <v>26069</v>
      </c>
      <c r="U12" s="27">
        <v>26793</v>
      </c>
      <c r="V12" s="27">
        <v>27205</v>
      </c>
      <c r="W12" s="27">
        <v>28821</v>
      </c>
      <c r="X12" s="14">
        <f>30730.313-584.698</f>
        <v>30145.614999999998</v>
      </c>
      <c r="Y12" s="27">
        <v>31261</v>
      </c>
      <c r="Z12" s="14">
        <v>31479</v>
      </c>
      <c r="AA12" s="14">
        <v>30834</v>
      </c>
      <c r="AB12" s="14">
        <v>31322</v>
      </c>
      <c r="AC12" s="14">
        <v>32028</v>
      </c>
      <c r="AD12" s="14">
        <v>32727</v>
      </c>
      <c r="AE12" s="3">
        <v>35111.82310999999</v>
      </c>
      <c r="AF12" s="14">
        <v>35639.25217</v>
      </c>
      <c r="AG12" s="128">
        <v>35960914.259999998</v>
      </c>
      <c r="AH12" s="128">
        <v>693870.97</v>
      </c>
      <c r="AI12" s="128">
        <v>151488.14000000001</v>
      </c>
      <c r="AJ12" s="128">
        <v>7112.16</v>
      </c>
      <c r="AK12" s="3">
        <f>AG12-AH12-AI12+AJ12</f>
        <v>35122667.309999995</v>
      </c>
      <c r="AL12" s="3">
        <f>AK12/1000</f>
        <v>35122.667309999997</v>
      </c>
      <c r="AN12" s="3">
        <v>36654517.539999992</v>
      </c>
      <c r="AO12" s="3">
        <v>853291.75</v>
      </c>
      <c r="AP12" s="3">
        <v>167816.84</v>
      </c>
      <c r="AQ12" s="3">
        <v>5843.22</v>
      </c>
      <c r="AR12" s="3">
        <f>AN12-AO12-AP12+AQ12</f>
        <v>35639252.169999987</v>
      </c>
      <c r="AS12" s="3">
        <f>AR12/1000</f>
        <v>35639.252169999985</v>
      </c>
      <c r="AT12" s="3">
        <v>38604909</v>
      </c>
      <c r="AU12" s="92">
        <v>588479.93000000005</v>
      </c>
      <c r="AV12" s="41">
        <v>169183.38</v>
      </c>
      <c r="AW12" s="41">
        <v>12131.4</v>
      </c>
      <c r="AX12" s="3">
        <f>AT12-AU12-AV12+AW12</f>
        <v>37859377.089999996</v>
      </c>
      <c r="AY12" s="3">
        <f>AX12/1000</f>
        <v>37859.377089999994</v>
      </c>
      <c r="BA12" s="3">
        <v>39461952</v>
      </c>
      <c r="BB12" s="92">
        <v>902135</v>
      </c>
      <c r="BC12" s="41">
        <v>175299</v>
      </c>
      <c r="BD12" s="41">
        <v>11562</v>
      </c>
      <c r="BE12" s="3">
        <f>BA12-BB12-BC12+BD12</f>
        <v>38396080</v>
      </c>
      <c r="BF12" s="3">
        <f>BE12/1000</f>
        <v>38396.080000000002</v>
      </c>
      <c r="BH12" s="237">
        <v>41589515.300000012</v>
      </c>
      <c r="BI12" s="92">
        <v>1050410.1399999999</v>
      </c>
      <c r="BJ12" s="41">
        <v>202568.52</v>
      </c>
      <c r="BK12" s="41">
        <v>0</v>
      </c>
      <c r="BL12" s="3">
        <f>BH12-BI12-BJ12+BK12</f>
        <v>40336536.640000008</v>
      </c>
      <c r="BM12" s="3">
        <f>BL12/1000</f>
        <v>40336.536640000006</v>
      </c>
      <c r="BO12" s="3">
        <v>44759335.300000004</v>
      </c>
      <c r="BP12" s="3">
        <v>1348354.81</v>
      </c>
      <c r="BQ12" s="3">
        <v>238112.51</v>
      </c>
      <c r="BR12" s="3">
        <v>889</v>
      </c>
      <c r="BS12" s="3">
        <f>BO12-BP12-BQ12+BR12</f>
        <v>43173756.980000004</v>
      </c>
      <c r="BT12" s="3">
        <f>BS12/1000</f>
        <v>43173.756980000006</v>
      </c>
      <c r="BV12" s="3">
        <v>47618900.579999991</v>
      </c>
      <c r="BW12" s="3">
        <v>1848999.37</v>
      </c>
      <c r="BX12" s="3">
        <v>270130.33</v>
      </c>
      <c r="BY12" s="3">
        <v>0</v>
      </c>
      <c r="BZ12" s="3">
        <f>BV12-BW12-BX12+BY12</f>
        <v>45499770.879999995</v>
      </c>
      <c r="CA12" s="3">
        <f>BZ12/1000</f>
        <v>45499.770879999996</v>
      </c>
      <c r="CC12" s="3">
        <v>52176974.039999999</v>
      </c>
      <c r="CD12" s="3">
        <v>2015535.89</v>
      </c>
      <c r="CE12" s="3">
        <v>297899.45999999996</v>
      </c>
      <c r="CF12" s="3">
        <v>625</v>
      </c>
      <c r="CG12" s="3">
        <f>CC12-CD12-CE12+CF12</f>
        <v>49864163.689999998</v>
      </c>
      <c r="CH12" s="3">
        <f>CG12/1000</f>
        <v>49864.163690000001</v>
      </c>
      <c r="CJ12" s="128">
        <v>51867896.079999998</v>
      </c>
      <c r="CK12" s="3">
        <v>1784880.6099999999</v>
      </c>
      <c r="CL12" s="3">
        <v>247227.52999999997</v>
      </c>
      <c r="CM12" s="128">
        <v>0</v>
      </c>
      <c r="CN12" s="3">
        <f>CJ12-CK12-CL12+CM12</f>
        <v>49835787.939999998</v>
      </c>
      <c r="CO12" s="3">
        <f>CN12/1000</f>
        <v>49835.787939999995</v>
      </c>
      <c r="CQ12" s="128">
        <v>50630484.079999998</v>
      </c>
      <c r="CR12" s="3">
        <v>1722490.8199999998</v>
      </c>
      <c r="CS12" s="3">
        <v>239084.90999999997</v>
      </c>
      <c r="CT12" s="128">
        <v>499</v>
      </c>
      <c r="CU12" s="3">
        <f>CQ12-CR12-CS12+CT12</f>
        <v>48669407.350000001</v>
      </c>
      <c r="CV12" s="3">
        <f>CU12/1000</f>
        <v>48669.407350000001</v>
      </c>
      <c r="CX12" s="128">
        <v>46326856.699999996</v>
      </c>
      <c r="CY12" s="3">
        <v>1614242.84</v>
      </c>
      <c r="CZ12" s="3">
        <v>223185.87</v>
      </c>
      <c r="DA12" s="128">
        <v>3278.8</v>
      </c>
      <c r="DB12" s="3">
        <f>CX12-CY12-CZ12+DA12</f>
        <v>44492706.789999992</v>
      </c>
      <c r="DC12" s="3">
        <f>DB12/1000</f>
        <v>44492.706789999989</v>
      </c>
      <c r="DE12" s="3">
        <v>49545343.449999996</v>
      </c>
      <c r="DF12" s="3">
        <v>1227800.4600000002</v>
      </c>
      <c r="DG12" s="3">
        <v>247190.46000000002</v>
      </c>
      <c r="DH12" s="3">
        <v>4690</v>
      </c>
      <c r="DI12" s="3">
        <f>DE12-DF12-DG12+DH12</f>
        <v>48075042.529999994</v>
      </c>
      <c r="DJ12" s="3">
        <f>DI12/1000</f>
        <v>48075.042529999992</v>
      </c>
    </row>
    <row r="13" spans="1:114">
      <c r="A13" s="1" t="s">
        <v>7</v>
      </c>
      <c r="B13" s="14">
        <v>273306</v>
      </c>
      <c r="C13" s="14">
        <v>286572</v>
      </c>
      <c r="D13" s="14">
        <v>303113.61207999999</v>
      </c>
      <c r="E13" s="14">
        <v>335196.72911000013</v>
      </c>
      <c r="F13" s="14">
        <v>363895.21263999993</v>
      </c>
      <c r="G13" s="14">
        <v>380208.17903999996</v>
      </c>
      <c r="H13" s="14">
        <v>377735.37739000004</v>
      </c>
      <c r="I13" s="14">
        <v>392431.22044999991</v>
      </c>
      <c r="J13" s="14">
        <v>391954.34117999999</v>
      </c>
      <c r="K13" s="14">
        <v>402341.09694000008</v>
      </c>
      <c r="L13" s="240">
        <f>(K13-J13)*100/J13</f>
        <v>2.6499912537593513</v>
      </c>
      <c r="M13" s="48">
        <f t="shared" ref="M13:M39" si="11">(K13-AF13)*100/AF13</f>
        <v>51.531219911648442</v>
      </c>
      <c r="N13" s="14">
        <v>115809</v>
      </c>
      <c r="O13" s="14">
        <v>121249</v>
      </c>
      <c r="P13" s="14">
        <v>131218</v>
      </c>
      <c r="Q13" s="27">
        <v>142587</v>
      </c>
      <c r="R13" s="27">
        <v>155028</v>
      </c>
      <c r="S13" s="27">
        <v>170395</v>
      </c>
      <c r="T13" s="27">
        <v>187195</v>
      </c>
      <c r="U13" s="27">
        <v>185033</v>
      </c>
      <c r="V13" s="27">
        <v>190411</v>
      </c>
      <c r="W13" s="27">
        <v>197513</v>
      </c>
      <c r="X13" s="14">
        <f>212278.998-1642.945</f>
        <v>210636.05299999999</v>
      </c>
      <c r="Y13" s="27">
        <v>214800</v>
      </c>
      <c r="Z13" s="14">
        <v>218287</v>
      </c>
      <c r="AA13" s="14">
        <v>202244</v>
      </c>
      <c r="AB13" s="14">
        <v>207206</v>
      </c>
      <c r="AC13" s="14">
        <v>219371</v>
      </c>
      <c r="AD13" s="14">
        <v>243336</v>
      </c>
      <c r="AE13" s="3">
        <v>257266.34844</v>
      </c>
      <c r="AF13" s="14">
        <v>265516.96552999999</v>
      </c>
      <c r="AG13" s="128">
        <v>260930770.91999999</v>
      </c>
      <c r="AH13" s="128">
        <v>3664422.48</v>
      </c>
      <c r="AI13" s="128">
        <v>0</v>
      </c>
      <c r="AJ13" s="128">
        <v>0</v>
      </c>
      <c r="AK13" s="3">
        <f>AG13-AH13-AI13+AJ13</f>
        <v>257266348.44</v>
      </c>
      <c r="AL13" s="3">
        <f>AK13/1000</f>
        <v>257266.34844</v>
      </c>
      <c r="AN13" s="3">
        <v>267275975.32000002</v>
      </c>
      <c r="AO13" s="3">
        <v>1759009.79</v>
      </c>
      <c r="AP13" s="3">
        <v>0</v>
      </c>
      <c r="AQ13" s="3">
        <v>0</v>
      </c>
      <c r="AR13" s="3">
        <f t="shared" ref="AR13:AR39" si="12">AN13-AO13-AP13+AQ13</f>
        <v>265516965.53000003</v>
      </c>
      <c r="AS13" s="3">
        <f t="shared" ref="AS13:AS39" si="13">AR13/1000</f>
        <v>265516.96553000004</v>
      </c>
      <c r="AT13" s="3">
        <v>274887875</v>
      </c>
      <c r="AU13" s="92">
        <v>1581632.75</v>
      </c>
      <c r="AV13" s="41">
        <v>0</v>
      </c>
      <c r="AW13" s="41">
        <v>0</v>
      </c>
      <c r="AX13" s="3">
        <f>AT13-AU13-AV13+AW13</f>
        <v>273306242.25</v>
      </c>
      <c r="AY13" s="3">
        <f>AX13/1000</f>
        <v>273306.24225000001</v>
      </c>
      <c r="BA13" s="3">
        <v>287769056</v>
      </c>
      <c r="BB13" s="92">
        <v>1197036</v>
      </c>
      <c r="BC13" s="41">
        <v>0</v>
      </c>
      <c r="BD13" s="41">
        <v>0</v>
      </c>
      <c r="BE13" s="3">
        <f>BA13-BB13-BC13+BD13</f>
        <v>286572020</v>
      </c>
      <c r="BF13" s="3">
        <f>BE13/1000</f>
        <v>286572.02</v>
      </c>
      <c r="BH13" s="237">
        <v>304816381.41999996</v>
      </c>
      <c r="BI13" s="92">
        <v>1702769.34</v>
      </c>
      <c r="BJ13" s="41">
        <v>0</v>
      </c>
      <c r="BK13" s="41">
        <v>0</v>
      </c>
      <c r="BL13" s="3">
        <f>BH13-BI13-BJ13+BK13</f>
        <v>303113612.07999998</v>
      </c>
      <c r="BM13" s="3">
        <f>BL13/1000</f>
        <v>303113.61207999999</v>
      </c>
      <c r="BO13" s="3">
        <v>336806457.41000009</v>
      </c>
      <c r="BP13" s="3">
        <v>1419645.4</v>
      </c>
      <c r="BQ13" s="3">
        <v>190082.9</v>
      </c>
      <c r="BR13" s="3">
        <v>0</v>
      </c>
      <c r="BS13" s="3">
        <f>BO13-BP13-BQ13+BR13</f>
        <v>335196729.11000013</v>
      </c>
      <c r="BT13" s="3">
        <f>BS13/1000</f>
        <v>335196.72911000013</v>
      </c>
      <c r="BV13" s="3">
        <v>366343520.82999998</v>
      </c>
      <c r="BW13" s="3">
        <v>2174579.9700000002</v>
      </c>
      <c r="BX13" s="3">
        <v>273728.21999999997</v>
      </c>
      <c r="BY13" s="3">
        <v>0</v>
      </c>
      <c r="BZ13" s="3">
        <f>BV13-BW13-BX13+BY13</f>
        <v>363895212.63999993</v>
      </c>
      <c r="CA13" s="3">
        <f>BZ13/1000</f>
        <v>363895.21263999993</v>
      </c>
      <c r="CC13" s="3">
        <v>383902138.50999993</v>
      </c>
      <c r="CD13" s="3">
        <v>3443263.96</v>
      </c>
      <c r="CE13" s="3">
        <v>260650.77999999997</v>
      </c>
      <c r="CF13" s="3">
        <v>9955.27</v>
      </c>
      <c r="CG13" s="3">
        <f>CC13-CD13-CE13+CF13</f>
        <v>380208179.03999996</v>
      </c>
      <c r="CH13" s="3">
        <f>CG13/1000</f>
        <v>380208.17903999996</v>
      </c>
      <c r="CJ13" s="128">
        <v>380357906.33000004</v>
      </c>
      <c r="CK13" s="3">
        <v>2413180.36</v>
      </c>
      <c r="CL13" s="3">
        <v>209348.58000000002</v>
      </c>
      <c r="CM13" s="128">
        <v>0</v>
      </c>
      <c r="CN13" s="3">
        <f>CJ13-CK13-CL13+CM13</f>
        <v>377735377.39000005</v>
      </c>
      <c r="CO13" s="3">
        <f>CN13/1000</f>
        <v>377735.37739000004</v>
      </c>
      <c r="CQ13" s="128">
        <v>394892522.79999995</v>
      </c>
      <c r="CR13" s="3">
        <v>2245255.36</v>
      </c>
      <c r="CS13" s="3">
        <v>216046.99</v>
      </c>
      <c r="CT13" s="128">
        <v>0</v>
      </c>
      <c r="CU13" s="3">
        <f>CQ13-CR13-CS13+CT13</f>
        <v>392431220.44999993</v>
      </c>
      <c r="CV13" s="3">
        <f>CU13/1000</f>
        <v>392431.22044999991</v>
      </c>
      <c r="CX13" s="128">
        <v>393218497.29000002</v>
      </c>
      <c r="CY13" s="3">
        <v>1264156.1100000001</v>
      </c>
      <c r="CZ13" s="3">
        <v>0</v>
      </c>
      <c r="DA13" s="128">
        <v>0</v>
      </c>
      <c r="DB13" s="3">
        <f>CX13-CY13-CZ13+DA13</f>
        <v>391954341.18000001</v>
      </c>
      <c r="DC13" s="3">
        <f>DB13/1000</f>
        <v>391954.34117999999</v>
      </c>
      <c r="DE13" s="3">
        <v>403207492.30000007</v>
      </c>
      <c r="DF13" s="3">
        <v>866395.36</v>
      </c>
      <c r="DG13" s="3">
        <v>0</v>
      </c>
      <c r="DH13" s="3">
        <v>0</v>
      </c>
      <c r="DI13" s="3">
        <f t="shared" ref="DI13:DI39" si="14">DE13-DF13-DG13+DH13</f>
        <v>402341096.94000006</v>
      </c>
      <c r="DJ13" s="3">
        <f t="shared" ref="DJ13:DJ39" si="15">DI13/1000</f>
        <v>402341.09694000008</v>
      </c>
    </row>
    <row r="14" spans="1:114">
      <c r="A14" s="1" t="s">
        <v>8</v>
      </c>
      <c r="B14" s="14">
        <v>346151</v>
      </c>
      <c r="C14" s="14">
        <v>337032</v>
      </c>
      <c r="D14" s="14">
        <v>364629.63851000002</v>
      </c>
      <c r="E14" s="14">
        <v>419586.30356000015</v>
      </c>
      <c r="F14" s="14">
        <v>452899.30894000013</v>
      </c>
      <c r="G14" s="14">
        <v>465363.73735999991</v>
      </c>
      <c r="H14" s="14">
        <v>462354.17922000011</v>
      </c>
      <c r="I14" s="14">
        <v>484305.45586999977</v>
      </c>
      <c r="J14" s="14">
        <v>467216.42977999995</v>
      </c>
      <c r="K14" s="14">
        <v>466766.41392000002</v>
      </c>
      <c r="L14" s="240">
        <f>(K14-J14)*100/J14</f>
        <v>-9.6318500659710857E-2</v>
      </c>
      <c r="M14" s="48">
        <f t="shared" si="11"/>
        <v>24.477947043181238</v>
      </c>
      <c r="N14" s="14">
        <v>157929</v>
      </c>
      <c r="O14" s="14">
        <v>165616</v>
      </c>
      <c r="P14" s="14">
        <v>175520</v>
      </c>
      <c r="Q14" s="27">
        <v>190613</v>
      </c>
      <c r="R14" s="27">
        <v>204939</v>
      </c>
      <c r="S14" s="27">
        <v>215074</v>
      </c>
      <c r="T14" s="27">
        <v>236878</v>
      </c>
      <c r="U14" s="27">
        <v>242644</v>
      </c>
      <c r="V14" s="27">
        <v>256055</v>
      </c>
      <c r="W14" s="27">
        <v>265478</v>
      </c>
      <c r="X14" s="14">
        <f>288733.843-7202.757</f>
        <v>281531.08600000001</v>
      </c>
      <c r="Y14" s="27">
        <v>292917</v>
      </c>
      <c r="Z14" s="14">
        <v>284915</v>
      </c>
      <c r="AA14" s="14">
        <v>275051</v>
      </c>
      <c r="AB14" s="14">
        <v>295088</v>
      </c>
      <c r="AC14" s="14">
        <v>307002</v>
      </c>
      <c r="AD14" s="14">
        <v>337427</v>
      </c>
      <c r="AE14" s="3">
        <v>368094.01716000016</v>
      </c>
      <c r="AF14" s="14">
        <v>374979.20315000002</v>
      </c>
      <c r="AG14" s="128">
        <v>372048875.31000012</v>
      </c>
      <c r="AH14" s="128">
        <v>3638372.03</v>
      </c>
      <c r="AI14" s="128">
        <v>281492.01</v>
      </c>
      <c r="AJ14" s="128">
        <v>0</v>
      </c>
      <c r="AK14" s="3">
        <f>AG14-AH14-AI14+AJ14</f>
        <v>368129011.27000016</v>
      </c>
      <c r="AL14" s="3">
        <f>AK14/1000</f>
        <v>368129.01127000013</v>
      </c>
      <c r="AN14" s="3">
        <v>377273751.62999988</v>
      </c>
      <c r="AO14" s="3">
        <v>2255548.71</v>
      </c>
      <c r="AP14" s="3">
        <v>38999.769999999997</v>
      </c>
      <c r="AQ14" s="3">
        <v>0</v>
      </c>
      <c r="AR14" s="3">
        <f t="shared" si="12"/>
        <v>374979203.14999992</v>
      </c>
      <c r="AS14" s="3">
        <f t="shared" si="13"/>
        <v>374979.2031499999</v>
      </c>
      <c r="AT14" s="3">
        <v>348122129</v>
      </c>
      <c r="AU14" s="92">
        <v>1971021.12</v>
      </c>
      <c r="AV14" s="41">
        <v>0</v>
      </c>
      <c r="AW14" s="41">
        <v>0</v>
      </c>
      <c r="AX14" s="3">
        <f>AT14-AU14-AV14+AW14</f>
        <v>346151107.88</v>
      </c>
      <c r="AY14" s="3">
        <f>AX14/1000</f>
        <v>346151.10787999997</v>
      </c>
      <c r="BA14" s="3">
        <v>341535114</v>
      </c>
      <c r="BB14" s="92">
        <v>4503261.3099999996</v>
      </c>
      <c r="BC14" s="41">
        <v>0</v>
      </c>
      <c r="BD14" s="41">
        <v>0</v>
      </c>
      <c r="BE14" s="3">
        <f>BA14-BB14-BC14+BD14</f>
        <v>337031852.69</v>
      </c>
      <c r="BF14" s="3">
        <f>BE14/1000</f>
        <v>337031.85268999997</v>
      </c>
      <c r="BH14" s="237">
        <v>371594543.48000002</v>
      </c>
      <c r="BI14" s="92">
        <v>6964904.9700000007</v>
      </c>
      <c r="BJ14" s="41">
        <v>0</v>
      </c>
      <c r="BK14" s="41">
        <v>0</v>
      </c>
      <c r="BL14" s="3">
        <f>BH14-BI14-BJ14+BK14</f>
        <v>364629638.50999999</v>
      </c>
      <c r="BM14" s="3">
        <f>BL14/1000</f>
        <v>364629.63851000002</v>
      </c>
      <c r="BO14" s="3">
        <v>427918501.18000013</v>
      </c>
      <c r="BP14" s="3">
        <v>8332197.6199999982</v>
      </c>
      <c r="BQ14" s="3">
        <v>0</v>
      </c>
      <c r="BR14" s="3">
        <v>0</v>
      </c>
      <c r="BS14" s="3">
        <f>BO14-BP14-BQ14+BR14</f>
        <v>419586303.56000012</v>
      </c>
      <c r="BT14" s="3">
        <f>BS14/1000</f>
        <v>419586.30356000015</v>
      </c>
      <c r="BV14" s="3">
        <v>459963278.47000009</v>
      </c>
      <c r="BW14" s="3">
        <v>7063969.5300000003</v>
      </c>
      <c r="BX14" s="3">
        <v>0</v>
      </c>
      <c r="BY14" s="3">
        <v>0</v>
      </c>
      <c r="BZ14" s="3">
        <f>BV14-BW14-BX14+BY14</f>
        <v>452899308.94000012</v>
      </c>
      <c r="CA14" s="3">
        <f>BZ14/1000</f>
        <v>452899.30894000013</v>
      </c>
      <c r="CC14" s="3">
        <v>475108013.36999989</v>
      </c>
      <c r="CD14" s="3">
        <v>9744276.0099999998</v>
      </c>
      <c r="CE14" s="3">
        <v>0</v>
      </c>
      <c r="CF14" s="3">
        <v>0</v>
      </c>
      <c r="CG14" s="3">
        <f>CC14-CD14-CE14+CF14</f>
        <v>465363737.3599999</v>
      </c>
      <c r="CH14" s="3">
        <f>CG14/1000</f>
        <v>465363.73735999991</v>
      </c>
      <c r="CJ14" s="128">
        <v>474498201.29000008</v>
      </c>
      <c r="CK14" s="3">
        <v>12144022.07</v>
      </c>
      <c r="CL14" s="3">
        <v>0</v>
      </c>
      <c r="CM14" s="128">
        <v>0</v>
      </c>
      <c r="CN14" s="3">
        <f>CJ14-CK14-CL14+CM14</f>
        <v>462354179.22000009</v>
      </c>
      <c r="CO14" s="3">
        <f>CN14/1000</f>
        <v>462354.17922000011</v>
      </c>
      <c r="CQ14" s="128">
        <v>489229938.71999979</v>
      </c>
      <c r="CR14" s="3">
        <v>4924482.8499999996</v>
      </c>
      <c r="CS14" s="3">
        <v>0</v>
      </c>
      <c r="CT14" s="128">
        <v>0</v>
      </c>
      <c r="CU14" s="3">
        <f>CQ14-CR14-CS14+CT14</f>
        <v>484305455.86999977</v>
      </c>
      <c r="CV14" s="3">
        <f>CU14/1000</f>
        <v>484305.45586999977</v>
      </c>
      <c r="CX14" s="128">
        <v>468825673.25</v>
      </c>
      <c r="CY14" s="3">
        <v>1609243.47</v>
      </c>
      <c r="CZ14" s="3">
        <v>0</v>
      </c>
      <c r="DA14" s="128">
        <v>0</v>
      </c>
      <c r="DB14" s="3">
        <f>CX14-CY14-CZ14+DA14</f>
        <v>467216429.77999997</v>
      </c>
      <c r="DC14" s="3">
        <f>DB14/1000</f>
        <v>467216.42977999995</v>
      </c>
      <c r="DE14" s="3">
        <v>468016428.42000002</v>
      </c>
      <c r="DF14" s="3">
        <v>1250014.5</v>
      </c>
      <c r="DG14" s="3">
        <v>0</v>
      </c>
      <c r="DH14" s="3">
        <v>0</v>
      </c>
      <c r="DI14" s="3">
        <f t="shared" si="14"/>
        <v>466766413.92000002</v>
      </c>
      <c r="DJ14" s="3">
        <f t="shared" si="15"/>
        <v>466766.41392000002</v>
      </c>
    </row>
    <row r="15" spans="1:114">
      <c r="A15" s="1" t="s">
        <v>9</v>
      </c>
      <c r="B15" s="14">
        <v>408882</v>
      </c>
      <c r="C15" s="14">
        <v>421506</v>
      </c>
      <c r="D15" s="14">
        <v>437312.19723000011</v>
      </c>
      <c r="E15" s="14">
        <v>464994.94165000005</v>
      </c>
      <c r="F15" s="14">
        <v>477131.83534000017</v>
      </c>
      <c r="G15" s="14">
        <v>477840.71733000001</v>
      </c>
      <c r="H15" s="14">
        <v>514960.2102899999</v>
      </c>
      <c r="I15" s="14">
        <v>505022.96893000003</v>
      </c>
      <c r="J15" s="14">
        <v>487670.85905000003</v>
      </c>
      <c r="K15" s="14">
        <v>503129.30984000006</v>
      </c>
      <c r="L15" s="240">
        <f>(K15-J15)*100/J15</f>
        <v>3.1698532941077588</v>
      </c>
      <c r="M15" s="48">
        <f t="shared" si="11"/>
        <v>27.117186034776974</v>
      </c>
      <c r="N15" s="14">
        <v>177284</v>
      </c>
      <c r="O15" s="14">
        <v>181784</v>
      </c>
      <c r="P15" s="14">
        <v>197093</v>
      </c>
      <c r="Q15" s="27">
        <v>204662</v>
      </c>
      <c r="R15" s="27">
        <v>231996</v>
      </c>
      <c r="S15" s="27">
        <v>244647</v>
      </c>
      <c r="T15" s="27">
        <v>259500</v>
      </c>
      <c r="U15" s="27">
        <v>265312</v>
      </c>
      <c r="V15" s="27">
        <v>267403</v>
      </c>
      <c r="W15" s="27">
        <v>277269</v>
      </c>
      <c r="X15" s="14">
        <f>318765.127-15349.669-345.811</f>
        <v>303069.647</v>
      </c>
      <c r="Y15" s="27">
        <v>313903</v>
      </c>
      <c r="Z15" s="14">
        <v>327231</v>
      </c>
      <c r="AA15" s="14">
        <v>304029</v>
      </c>
      <c r="AB15" s="14">
        <v>318266</v>
      </c>
      <c r="AC15" s="14">
        <v>337310</v>
      </c>
      <c r="AD15" s="14">
        <v>387731</v>
      </c>
      <c r="AE15" s="3">
        <v>390366.73995000013</v>
      </c>
      <c r="AF15" s="14">
        <v>395799.59684000001</v>
      </c>
      <c r="AG15" s="128">
        <v>401641069.75000012</v>
      </c>
      <c r="AH15" s="128">
        <v>11180491.92</v>
      </c>
      <c r="AI15" s="128">
        <v>88132.3</v>
      </c>
      <c r="AJ15" s="128">
        <v>0</v>
      </c>
      <c r="AK15" s="3">
        <f>AG15-AH15-AI15+AJ15</f>
        <v>390372445.53000009</v>
      </c>
      <c r="AL15" s="3">
        <f>AK15/1000</f>
        <v>390372.44553000008</v>
      </c>
      <c r="AN15" s="3">
        <v>402505002.29999995</v>
      </c>
      <c r="AO15" s="3">
        <v>6549077.3600000013</v>
      </c>
      <c r="AP15" s="3">
        <v>162668.09999999998</v>
      </c>
      <c r="AQ15" s="3">
        <v>6340</v>
      </c>
      <c r="AR15" s="3">
        <f t="shared" si="12"/>
        <v>395799596.83999991</v>
      </c>
      <c r="AS15" s="3">
        <f t="shared" si="13"/>
        <v>395799.5968399999</v>
      </c>
      <c r="AT15" s="3">
        <v>417545377</v>
      </c>
      <c r="AU15" s="92">
        <v>8479289</v>
      </c>
      <c r="AV15" s="41">
        <v>184547.14</v>
      </c>
      <c r="AW15" s="41">
        <v>0</v>
      </c>
      <c r="AX15" s="3">
        <f>AT15-AU15-AV15+AW15</f>
        <v>408881540.86000001</v>
      </c>
      <c r="AY15" s="3">
        <f>AX15/1000</f>
        <v>408881.54086000001</v>
      </c>
      <c r="BA15" s="3">
        <v>430116774</v>
      </c>
      <c r="BB15" s="92">
        <v>8438585</v>
      </c>
      <c r="BC15" s="41">
        <v>172054.15</v>
      </c>
      <c r="BD15" s="41">
        <v>0</v>
      </c>
      <c r="BE15" s="3">
        <f>BA15-BB15-BC15+BD15</f>
        <v>421506134.85000002</v>
      </c>
      <c r="BF15" s="3">
        <f>BE15/1000</f>
        <v>421506.13485000003</v>
      </c>
      <c r="BH15" s="237">
        <v>445978903.34000003</v>
      </c>
      <c r="BI15" s="92">
        <v>8430799.2699999996</v>
      </c>
      <c r="BJ15" s="41">
        <v>235906.84</v>
      </c>
      <c r="BK15" s="41">
        <v>0</v>
      </c>
      <c r="BL15" s="3">
        <f>BH15-BI15-BJ15+BK15</f>
        <v>437312197.23000008</v>
      </c>
      <c r="BM15" s="3">
        <f>BL15/1000</f>
        <v>437312.19723000011</v>
      </c>
      <c r="BO15" s="3">
        <v>472346379.89000005</v>
      </c>
      <c r="BP15" s="3">
        <v>7021289.3500000006</v>
      </c>
      <c r="BQ15" s="3">
        <v>330148.89</v>
      </c>
      <c r="BR15" s="3">
        <v>0</v>
      </c>
      <c r="BS15" s="3">
        <f>BO15-BP15-BQ15+BR15</f>
        <v>464994941.65000004</v>
      </c>
      <c r="BT15" s="3">
        <f>BS15/1000</f>
        <v>464994.94165000005</v>
      </c>
      <c r="BV15" s="3">
        <v>490228965.22000015</v>
      </c>
      <c r="BW15" s="3">
        <v>12729756.829999998</v>
      </c>
      <c r="BX15" s="3">
        <v>367373.05</v>
      </c>
      <c r="BY15" s="3">
        <v>0</v>
      </c>
      <c r="BZ15" s="3">
        <f>BV15-BW15-BX15+BY15</f>
        <v>477131835.34000015</v>
      </c>
      <c r="CA15" s="3">
        <f>BZ15/1000</f>
        <v>477131.83534000017</v>
      </c>
      <c r="CC15" s="3">
        <v>490025906.29000002</v>
      </c>
      <c r="CD15" s="3">
        <v>11824257.139999999</v>
      </c>
      <c r="CE15" s="3">
        <v>360931.82000000007</v>
      </c>
      <c r="CF15" s="3">
        <v>0</v>
      </c>
      <c r="CG15" s="3">
        <f>CC15-CD15-CE15+CF15</f>
        <v>477840717.33000004</v>
      </c>
      <c r="CH15" s="3">
        <f>CG15/1000</f>
        <v>477840.71733000001</v>
      </c>
      <c r="CJ15" s="128">
        <v>515914274.45999992</v>
      </c>
      <c r="CK15" s="3">
        <v>629007.17000000004</v>
      </c>
      <c r="CL15" s="3">
        <v>325057</v>
      </c>
      <c r="CM15" s="128">
        <v>0</v>
      </c>
      <c r="CN15" s="3">
        <f>CJ15-CK15-CL15+CM15</f>
        <v>514960210.2899999</v>
      </c>
      <c r="CO15" s="3">
        <f>CN15/1000</f>
        <v>514960.2102899999</v>
      </c>
      <c r="CQ15" s="128">
        <v>506242524.07000005</v>
      </c>
      <c r="CR15" s="3">
        <v>999764.17</v>
      </c>
      <c r="CS15" s="3">
        <v>219790.97</v>
      </c>
      <c r="CT15" s="128">
        <v>0</v>
      </c>
      <c r="CU15" s="3">
        <f>CQ15-CR15-CS15+CT15</f>
        <v>505022968.93000001</v>
      </c>
      <c r="CV15" s="3">
        <f>CU15/1000</f>
        <v>505022.96893000003</v>
      </c>
      <c r="CX15" s="128">
        <v>488369357.83999997</v>
      </c>
      <c r="CY15" s="3">
        <v>416958.45</v>
      </c>
      <c r="CZ15" s="3">
        <v>281540.33999999997</v>
      </c>
      <c r="DA15" s="128">
        <v>0</v>
      </c>
      <c r="DB15" s="3">
        <f>CX15-CY15-CZ15+DA15</f>
        <v>487670859.05000001</v>
      </c>
      <c r="DC15" s="3">
        <f>DB15/1000</f>
        <v>487670.85905000003</v>
      </c>
      <c r="DE15" s="3">
        <v>503500839.54000008</v>
      </c>
      <c r="DF15" s="3">
        <v>362424.6</v>
      </c>
      <c r="DG15" s="3">
        <v>9105.1</v>
      </c>
      <c r="DH15" s="3">
        <v>0</v>
      </c>
      <c r="DI15" s="3">
        <f t="shared" si="14"/>
        <v>503129309.84000003</v>
      </c>
      <c r="DJ15" s="3">
        <f t="shared" si="15"/>
        <v>503129.30984000006</v>
      </c>
    </row>
    <row r="16" spans="1:114">
      <c r="A16" s="1" t="s">
        <v>10</v>
      </c>
      <c r="B16" s="14">
        <v>65950</v>
      </c>
      <c r="C16" s="14">
        <v>68625</v>
      </c>
      <c r="D16" s="14">
        <v>73739.377030000003</v>
      </c>
      <c r="E16" s="14">
        <v>77027.137109999996</v>
      </c>
      <c r="F16" s="14">
        <v>83121.523889999997</v>
      </c>
      <c r="G16" s="14">
        <v>85613.638310000009</v>
      </c>
      <c r="H16" s="14">
        <v>86524.981489999976</v>
      </c>
      <c r="I16" s="14">
        <v>88070.224530000007</v>
      </c>
      <c r="J16" s="14">
        <v>86610.894220000002</v>
      </c>
      <c r="K16" s="14">
        <v>84312.735570000004</v>
      </c>
      <c r="L16" s="240">
        <f>(K16-J16)*100/J16</f>
        <v>-2.6534290757493548</v>
      </c>
      <c r="M16" s="48">
        <f t="shared" si="11"/>
        <v>37.552697965640562</v>
      </c>
      <c r="N16" s="14">
        <v>14010</v>
      </c>
      <c r="O16" s="14">
        <v>14579</v>
      </c>
      <c r="P16" s="14">
        <v>16026</v>
      </c>
      <c r="Q16" s="27">
        <v>17772</v>
      </c>
      <c r="R16" s="27">
        <v>20446</v>
      </c>
      <c r="S16" s="27">
        <v>22676</v>
      </c>
      <c r="T16" s="27">
        <v>25397</v>
      </c>
      <c r="U16" s="27">
        <v>28682</v>
      </c>
      <c r="V16" s="27">
        <v>31276</v>
      </c>
      <c r="W16" s="27">
        <v>33816</v>
      </c>
      <c r="X16" s="14">
        <f>36750.293-608.007</f>
        <v>36142.286</v>
      </c>
      <c r="Y16" s="27">
        <v>39089</v>
      </c>
      <c r="Z16" s="14">
        <v>42068</v>
      </c>
      <c r="AA16" s="14">
        <v>40417</v>
      </c>
      <c r="AB16" s="14">
        <v>43224</v>
      </c>
      <c r="AC16" s="14">
        <v>46865</v>
      </c>
      <c r="AD16" s="14">
        <v>52284</v>
      </c>
      <c r="AE16" s="3">
        <v>55631.317290000006</v>
      </c>
      <c r="AF16" s="14">
        <v>61294.861400000002</v>
      </c>
      <c r="AG16" s="128">
        <v>57229030.930000007</v>
      </c>
      <c r="AH16" s="128">
        <v>1369291.86</v>
      </c>
      <c r="AI16" s="128">
        <v>211868.2</v>
      </c>
      <c r="AJ16" s="128">
        <v>0</v>
      </c>
      <c r="AK16" s="3">
        <f>AG16-AH16-AI16+AJ16</f>
        <v>55647870.870000005</v>
      </c>
      <c r="AL16" s="3">
        <f>AK16/1000</f>
        <v>55647.870870000006</v>
      </c>
      <c r="AN16" s="3">
        <v>63041514.979999989</v>
      </c>
      <c r="AO16" s="3">
        <v>1519053.72</v>
      </c>
      <c r="AP16" s="3">
        <v>227599.86</v>
      </c>
      <c r="AQ16" s="3">
        <v>0</v>
      </c>
      <c r="AR16" s="3">
        <f t="shared" si="12"/>
        <v>61294861.399999991</v>
      </c>
      <c r="AS16" s="3">
        <f t="shared" si="13"/>
        <v>61294.861399999994</v>
      </c>
      <c r="AT16" s="3">
        <v>67308631</v>
      </c>
      <c r="AU16" s="92">
        <v>1155769.74</v>
      </c>
      <c r="AV16" s="41">
        <v>203183.87</v>
      </c>
      <c r="AW16" s="41">
        <v>0</v>
      </c>
      <c r="AX16" s="3">
        <f>AT16-AU16-AV16+AW16</f>
        <v>65949677.390000001</v>
      </c>
      <c r="AY16" s="3">
        <f>AX16/1000</f>
        <v>65949.677389999997</v>
      </c>
      <c r="BA16" s="3">
        <v>69630424</v>
      </c>
      <c r="BB16" s="92">
        <v>773961.8</v>
      </c>
      <c r="BC16" s="41">
        <v>245459.19</v>
      </c>
      <c r="BD16" s="41">
        <v>13955</v>
      </c>
      <c r="BE16" s="3">
        <f>BA16-BB16-BC16+BD16</f>
        <v>68624958.010000005</v>
      </c>
      <c r="BF16" s="3">
        <f>BE16/1000</f>
        <v>68624.958010000002</v>
      </c>
      <c r="BH16" s="237">
        <v>74945115.640000001</v>
      </c>
      <c r="BI16" s="92">
        <v>1002363.51</v>
      </c>
      <c r="BJ16" s="41">
        <v>208247.94</v>
      </c>
      <c r="BK16" s="41">
        <v>4872.84</v>
      </c>
      <c r="BL16" s="3">
        <f>BH16-BI16-BJ16+BK16</f>
        <v>73739377.030000001</v>
      </c>
      <c r="BM16" s="3">
        <f>BL16/1000</f>
        <v>73739.377030000003</v>
      </c>
      <c r="BO16" s="3">
        <v>78211453.00999999</v>
      </c>
      <c r="BP16" s="3">
        <v>835088.07</v>
      </c>
      <c r="BQ16" s="3">
        <v>349227.83</v>
      </c>
      <c r="BR16" s="3">
        <v>0</v>
      </c>
      <c r="BS16" s="3">
        <f>BO16-BP16-BQ16+BR16</f>
        <v>77027137.109999999</v>
      </c>
      <c r="BT16" s="3">
        <f>BS16/1000</f>
        <v>77027.137109999996</v>
      </c>
      <c r="BV16" s="3">
        <v>84958728.800000012</v>
      </c>
      <c r="BW16" s="3">
        <v>1426624.87</v>
      </c>
      <c r="BX16" s="3">
        <v>410580.04</v>
      </c>
      <c r="BY16" s="3">
        <v>0</v>
      </c>
      <c r="BZ16" s="3">
        <f>BV16-BW16-BX16+BY16</f>
        <v>83121523.890000001</v>
      </c>
      <c r="CA16" s="3">
        <f>BZ16/1000</f>
        <v>83121.523889999997</v>
      </c>
      <c r="CC16" s="3">
        <v>87022622.340000004</v>
      </c>
      <c r="CD16" s="3">
        <v>1000243.9099999998</v>
      </c>
      <c r="CE16" s="3">
        <v>417674.06</v>
      </c>
      <c r="CF16" s="3">
        <v>8933.94</v>
      </c>
      <c r="CG16" s="3">
        <f>CC16-CD16-CE16+CF16</f>
        <v>85613638.310000002</v>
      </c>
      <c r="CH16" s="3">
        <f>CG16/1000</f>
        <v>85613.638310000009</v>
      </c>
      <c r="CJ16" s="128">
        <v>87778245.049999982</v>
      </c>
      <c r="CK16" s="3">
        <v>905221.55999999994</v>
      </c>
      <c r="CL16" s="3">
        <v>352254</v>
      </c>
      <c r="CM16" s="281">
        <v>4212</v>
      </c>
      <c r="CN16" s="3">
        <f>CJ16-CK16-CL16+CM16</f>
        <v>86524981.48999998</v>
      </c>
      <c r="CO16" s="3">
        <f>CN16/1000</f>
        <v>86524.981489999976</v>
      </c>
      <c r="CQ16" s="128">
        <v>89657800.13000001</v>
      </c>
      <c r="CR16" s="3">
        <v>1312044.23</v>
      </c>
      <c r="CS16" s="3">
        <v>275531.37</v>
      </c>
      <c r="CT16" s="281">
        <v>0</v>
      </c>
      <c r="CU16" s="3">
        <f>CQ16-CR16-CS16+CT16</f>
        <v>88070224.530000001</v>
      </c>
      <c r="CV16" s="3">
        <f>CU16/1000</f>
        <v>88070.224530000007</v>
      </c>
      <c r="CX16" s="128">
        <v>88047830.980000004</v>
      </c>
      <c r="CY16" s="3">
        <v>1116409.43</v>
      </c>
      <c r="CZ16" s="3">
        <v>321247.58</v>
      </c>
      <c r="DA16" s="281">
        <v>720.25</v>
      </c>
      <c r="DB16" s="3">
        <f>CX16-CY16-CZ16+DA16</f>
        <v>86610894.219999999</v>
      </c>
      <c r="DC16" s="3">
        <f>DB16/1000</f>
        <v>86610.894220000002</v>
      </c>
      <c r="DE16" s="3">
        <v>86059297.030000001</v>
      </c>
      <c r="DF16" s="3">
        <v>1423086.4400000002</v>
      </c>
      <c r="DG16" s="3">
        <v>326291.01999999996</v>
      </c>
      <c r="DH16" s="3">
        <v>2816</v>
      </c>
      <c r="DI16" s="3">
        <f t="shared" si="14"/>
        <v>84312735.570000008</v>
      </c>
      <c r="DJ16" s="3">
        <f t="shared" si="15"/>
        <v>84312.735570000004</v>
      </c>
    </row>
    <row r="17" spans="1:114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48"/>
      <c r="M17" s="48"/>
      <c r="N17" s="14"/>
      <c r="P17" s="14"/>
      <c r="Q17" s="27"/>
      <c r="R17" s="27"/>
      <c r="S17" s="27"/>
      <c r="T17" s="27"/>
      <c r="U17" s="27"/>
      <c r="V17" s="27"/>
      <c r="W17" s="27"/>
      <c r="X17" s="14"/>
      <c r="Y17" s="27"/>
      <c r="Z17" s="14"/>
      <c r="AA17" s="14"/>
      <c r="AB17" s="14"/>
      <c r="AC17" s="14"/>
      <c r="AD17" s="14"/>
      <c r="AE17" s="3"/>
      <c r="AF17" s="14"/>
      <c r="AG17" s="128"/>
      <c r="AH17" s="128"/>
      <c r="AI17" s="128"/>
      <c r="AJ17" s="128"/>
      <c r="AK17" s="3"/>
      <c r="AU17" s="92"/>
      <c r="AV17" s="41"/>
      <c r="AW17" s="41"/>
      <c r="BB17" s="92"/>
      <c r="BC17" s="41"/>
      <c r="BD17" s="41"/>
      <c r="BH17" s="237"/>
      <c r="BI17" s="92"/>
      <c r="BJ17" s="41"/>
      <c r="BK17" s="41"/>
      <c r="CJ17" s="128"/>
      <c r="CM17" s="128"/>
      <c r="CQ17" s="128"/>
      <c r="CT17" s="128"/>
      <c r="CX17" s="128"/>
      <c r="DA17" s="128"/>
    </row>
    <row r="18" spans="1:114">
      <c r="A18" s="1" t="s">
        <v>11</v>
      </c>
      <c r="B18" s="14">
        <v>20349</v>
      </c>
      <c r="C18" s="14">
        <v>20774</v>
      </c>
      <c r="D18" s="14">
        <v>21846.192040000002</v>
      </c>
      <c r="E18" s="14">
        <v>23659.952529999999</v>
      </c>
      <c r="F18" s="14">
        <v>26103.333389999996</v>
      </c>
      <c r="G18" s="14">
        <v>26356.091750000003</v>
      </c>
      <c r="H18" s="14">
        <v>26571.685600000001</v>
      </c>
      <c r="I18" s="14">
        <v>27016.784450000003</v>
      </c>
      <c r="J18" s="14">
        <v>27406.023619999996</v>
      </c>
      <c r="K18" s="14">
        <v>26006.955539999999</v>
      </c>
      <c r="L18" s="240">
        <f>(K18-J18)*100/J18</f>
        <v>-5.1049656068274141</v>
      </c>
      <c r="M18" s="48">
        <f t="shared" si="11"/>
        <v>33.044843919446031</v>
      </c>
      <c r="N18" s="14">
        <v>6314</v>
      </c>
      <c r="O18" s="14">
        <v>6498</v>
      </c>
      <c r="P18" s="14">
        <v>7512</v>
      </c>
      <c r="Q18" s="27">
        <v>8393</v>
      </c>
      <c r="R18" s="27">
        <v>9417</v>
      </c>
      <c r="S18" s="27">
        <v>10279</v>
      </c>
      <c r="T18" s="27">
        <v>11390</v>
      </c>
      <c r="U18" s="27">
        <v>11947</v>
      </c>
      <c r="V18" s="27">
        <v>12477</v>
      </c>
      <c r="W18" s="27">
        <v>13387</v>
      </c>
      <c r="X18" s="14">
        <f>14937.162-599.746-1.537</f>
        <v>14335.879000000001</v>
      </c>
      <c r="Y18" s="27">
        <v>15198</v>
      </c>
      <c r="Z18" s="14">
        <v>16583</v>
      </c>
      <c r="AA18" s="14">
        <v>15043</v>
      </c>
      <c r="AB18" s="14">
        <v>16143</v>
      </c>
      <c r="AC18" s="14">
        <v>16548</v>
      </c>
      <c r="AD18" s="14">
        <v>17745</v>
      </c>
      <c r="AE18" s="3">
        <v>18588.512630000001</v>
      </c>
      <c r="AF18" s="14">
        <v>19547.511030000001</v>
      </c>
      <c r="AG18" s="128">
        <v>19145143.550000004</v>
      </c>
      <c r="AH18" s="128">
        <v>556630.92000000004</v>
      </c>
      <c r="AI18" s="128">
        <v>0</v>
      </c>
      <c r="AJ18" s="128">
        <v>0</v>
      </c>
      <c r="AK18" s="3">
        <f>AG18-AH18-AI18+AJ18</f>
        <v>18588512.630000003</v>
      </c>
      <c r="AL18" s="3">
        <f>AK18/1000</f>
        <v>18588.512630000001</v>
      </c>
      <c r="AN18" s="3">
        <v>20167709.16</v>
      </c>
      <c r="AO18" s="3">
        <v>620198.13</v>
      </c>
      <c r="AP18" s="3">
        <v>0</v>
      </c>
      <c r="AQ18" s="3">
        <v>0</v>
      </c>
      <c r="AR18" s="3">
        <f t="shared" si="12"/>
        <v>19547511.030000001</v>
      </c>
      <c r="AS18" s="3">
        <f t="shared" si="13"/>
        <v>19547.511030000001</v>
      </c>
      <c r="AT18" s="3">
        <v>20669177</v>
      </c>
      <c r="AU18" s="92">
        <v>320194.17</v>
      </c>
      <c r="AV18" s="41">
        <v>0</v>
      </c>
      <c r="AW18" s="41">
        <v>0</v>
      </c>
      <c r="AX18" s="3">
        <f>AT18-AU18-AV18+AW18</f>
        <v>20348982.829999998</v>
      </c>
      <c r="AY18" s="3">
        <f>AX18/1000</f>
        <v>20348.982829999997</v>
      </c>
      <c r="BA18" s="3">
        <v>21005929</v>
      </c>
      <c r="BB18" s="92">
        <v>232396.94</v>
      </c>
      <c r="BC18" s="41">
        <v>0</v>
      </c>
      <c r="BD18" s="41">
        <v>0</v>
      </c>
      <c r="BE18" s="3">
        <f>BA18-BB18-BC18+BD18</f>
        <v>20773532.059999999</v>
      </c>
      <c r="BF18" s="3">
        <f>BE18/1000</f>
        <v>20773.532059999998</v>
      </c>
      <c r="BH18" s="237">
        <v>22130667.980000004</v>
      </c>
      <c r="BI18" s="92">
        <v>284475.94</v>
      </c>
      <c r="BJ18" s="41">
        <v>0</v>
      </c>
      <c r="BK18" s="41">
        <v>0</v>
      </c>
      <c r="BL18" s="3">
        <f>BH18-BI18-BJ18+BK18</f>
        <v>21846192.040000003</v>
      </c>
      <c r="BM18" s="3">
        <f>BL18/1000</f>
        <v>21846.192040000002</v>
      </c>
      <c r="BO18" s="3">
        <v>24126023.929999996</v>
      </c>
      <c r="BP18" s="3">
        <v>466071.4</v>
      </c>
      <c r="BQ18" s="3">
        <v>0</v>
      </c>
      <c r="BR18" s="3">
        <v>0</v>
      </c>
      <c r="BS18" s="3">
        <f>BO18-BP18-BQ18+BR18</f>
        <v>23659952.529999997</v>
      </c>
      <c r="BT18" s="3">
        <f>BS18/1000</f>
        <v>23659.952529999999</v>
      </c>
      <c r="BV18" s="3">
        <v>26786227.369999997</v>
      </c>
      <c r="BW18" s="3">
        <v>682893.98</v>
      </c>
      <c r="BX18" s="3">
        <v>0</v>
      </c>
      <c r="BY18" s="3">
        <v>0</v>
      </c>
      <c r="BZ18" s="3">
        <f>BV18-BW18-BX18+BY18</f>
        <v>26103333.389999997</v>
      </c>
      <c r="CA18" s="3">
        <f>BZ18/1000</f>
        <v>26103.333389999996</v>
      </c>
      <c r="CC18" s="3">
        <v>27384558.950000003</v>
      </c>
      <c r="CD18" s="3">
        <v>1028467.2</v>
      </c>
      <c r="CE18" s="3">
        <v>0</v>
      </c>
      <c r="CF18" s="3">
        <v>0</v>
      </c>
      <c r="CG18" s="3">
        <f>CC18-CD18-CE18+CF18</f>
        <v>26356091.750000004</v>
      </c>
      <c r="CH18" s="3">
        <f>CG18/1000</f>
        <v>26356.091750000003</v>
      </c>
      <c r="CJ18" s="128">
        <v>27875272.5</v>
      </c>
      <c r="CK18" s="3">
        <v>1303586.8999999999</v>
      </c>
      <c r="CL18" s="3">
        <v>0</v>
      </c>
      <c r="CM18" s="128">
        <v>0</v>
      </c>
      <c r="CN18" s="3">
        <f>CJ18-CK18-CL18+CM18</f>
        <v>26571685.600000001</v>
      </c>
      <c r="CO18" s="3">
        <f>CN18/1000</f>
        <v>26571.685600000001</v>
      </c>
      <c r="CQ18" s="128">
        <v>27654117.680000003</v>
      </c>
      <c r="CR18" s="3">
        <v>637333.23</v>
      </c>
      <c r="CS18" s="3">
        <v>0</v>
      </c>
      <c r="CT18" s="128">
        <v>0</v>
      </c>
      <c r="CU18" s="3">
        <f>CQ18-CR18-CS18+CT18</f>
        <v>27016784.450000003</v>
      </c>
      <c r="CV18" s="3">
        <f>CU18/1000</f>
        <v>27016.784450000003</v>
      </c>
      <c r="CX18" s="128">
        <v>27999011.759999998</v>
      </c>
      <c r="CY18" s="3">
        <v>592988.14</v>
      </c>
      <c r="CZ18" s="3">
        <v>0</v>
      </c>
      <c r="DA18" s="128">
        <v>0</v>
      </c>
      <c r="DB18" s="3">
        <f>CX18-CY18-CZ18+DA18</f>
        <v>27406023.619999997</v>
      </c>
      <c r="DC18" s="3">
        <f>DB18/1000</f>
        <v>27406.023619999996</v>
      </c>
      <c r="DE18" s="3">
        <v>27259362.370000001</v>
      </c>
      <c r="DF18" s="3">
        <v>1252406.83</v>
      </c>
      <c r="DG18" s="3">
        <v>0</v>
      </c>
      <c r="DH18" s="3">
        <v>0</v>
      </c>
      <c r="DI18" s="3">
        <f t="shared" si="14"/>
        <v>26006955.539999999</v>
      </c>
      <c r="DJ18" s="3">
        <f t="shared" si="15"/>
        <v>26006.955539999999</v>
      </c>
    </row>
    <row r="19" spans="1:114">
      <c r="A19" s="1" t="s">
        <v>12</v>
      </c>
      <c r="B19" s="14">
        <v>102919</v>
      </c>
      <c r="C19" s="14">
        <v>109682</v>
      </c>
      <c r="D19" s="14">
        <v>116405.52960999997</v>
      </c>
      <c r="E19" s="14">
        <v>122968.61026999998</v>
      </c>
      <c r="F19" s="14">
        <v>133248.72446000003</v>
      </c>
      <c r="G19" s="14">
        <v>137681.44178999995</v>
      </c>
      <c r="H19" s="14">
        <v>136876.46855000002</v>
      </c>
      <c r="I19" s="14">
        <v>132981.14410999999</v>
      </c>
      <c r="J19" s="14">
        <v>131565.04366000002</v>
      </c>
      <c r="K19" s="14">
        <v>131338.68421000001</v>
      </c>
      <c r="L19" s="240">
        <f>(K19-J19)*100/J19</f>
        <v>-0.17205136235502852</v>
      </c>
      <c r="M19" s="48">
        <f t="shared" si="11"/>
        <v>34.078253051798413</v>
      </c>
      <c r="N19" s="14">
        <v>30023</v>
      </c>
      <c r="O19" s="14">
        <v>31815</v>
      </c>
      <c r="P19" s="14">
        <v>34743</v>
      </c>
      <c r="Q19" s="27">
        <v>39526</v>
      </c>
      <c r="R19" s="27">
        <v>45617</v>
      </c>
      <c r="S19" s="27">
        <v>50563</v>
      </c>
      <c r="T19" s="27">
        <v>55504</v>
      </c>
      <c r="U19" s="27">
        <v>57671</v>
      </c>
      <c r="V19" s="27">
        <v>59591</v>
      </c>
      <c r="W19" s="27">
        <v>63426</v>
      </c>
      <c r="X19" s="14">
        <f>71141.464-2057.375</f>
        <v>69084.089000000007</v>
      </c>
      <c r="Y19" s="27">
        <v>70589</v>
      </c>
      <c r="Z19" s="14">
        <v>73093</v>
      </c>
      <c r="AA19" s="14">
        <v>68675</v>
      </c>
      <c r="AB19" s="14">
        <v>73468</v>
      </c>
      <c r="AC19" s="14">
        <v>77431</v>
      </c>
      <c r="AD19" s="14">
        <v>84984</v>
      </c>
      <c r="AE19" s="3">
        <v>90411.646670000002</v>
      </c>
      <c r="AF19" s="14">
        <v>97956.738859999896</v>
      </c>
      <c r="AG19" s="128">
        <v>92212767.719999999</v>
      </c>
      <c r="AH19" s="128">
        <v>1397252.33</v>
      </c>
      <c r="AI19" s="128">
        <v>375146.29</v>
      </c>
      <c r="AJ19" s="128">
        <v>4294.84</v>
      </c>
      <c r="AK19" s="3">
        <f>AG19-AH19-AI19+AJ19</f>
        <v>90444663.939999998</v>
      </c>
      <c r="AL19" s="3">
        <f>AK19/1000</f>
        <v>90444.663939999999</v>
      </c>
      <c r="AN19" s="3">
        <v>100048966.16999988</v>
      </c>
      <c r="AO19" s="3">
        <v>1675359.22</v>
      </c>
      <c r="AP19" s="3">
        <v>421664.09</v>
      </c>
      <c r="AQ19" s="3">
        <v>4796</v>
      </c>
      <c r="AR19" s="3">
        <f t="shared" si="12"/>
        <v>97956738.85999988</v>
      </c>
      <c r="AS19" s="3">
        <f t="shared" si="13"/>
        <v>97956.738859999881</v>
      </c>
      <c r="AT19" s="3">
        <v>104868715</v>
      </c>
      <c r="AU19" s="92">
        <v>1514553.54</v>
      </c>
      <c r="AV19" s="41">
        <v>442401.12</v>
      </c>
      <c r="AW19" s="41">
        <v>7322</v>
      </c>
      <c r="AX19" s="3">
        <f>AT19-AU19-AV19+AW19</f>
        <v>102919082.33999999</v>
      </c>
      <c r="AY19" s="3">
        <f>AX19/1000</f>
        <v>102919.08233999999</v>
      </c>
      <c r="BA19" s="3">
        <v>112113038</v>
      </c>
      <c r="BB19" s="92">
        <v>1959508.12</v>
      </c>
      <c r="BC19" s="41">
        <v>482403.78</v>
      </c>
      <c r="BD19" s="41">
        <v>10819.14</v>
      </c>
      <c r="BE19" s="3">
        <f>BA19-BB19-BC19+BD19</f>
        <v>109681945.23999999</v>
      </c>
      <c r="BF19" s="3">
        <f>BE19/1000</f>
        <v>109681.94524</v>
      </c>
      <c r="BH19" s="237">
        <v>118318464.09999998</v>
      </c>
      <c r="BI19" s="92">
        <v>1417983.93</v>
      </c>
      <c r="BJ19" s="41">
        <v>496503.56</v>
      </c>
      <c r="BK19" s="41">
        <v>1553</v>
      </c>
      <c r="BL19" s="3">
        <f>BH19-BI19-BJ19+BK19</f>
        <v>116405529.60999997</v>
      </c>
      <c r="BM19" s="3">
        <f>BL19/1000</f>
        <v>116405.52960999997</v>
      </c>
      <c r="BO19" s="3">
        <v>125138312.20999999</v>
      </c>
      <c r="BP19" s="3">
        <v>1553258.51</v>
      </c>
      <c r="BQ19" s="3">
        <v>616443.43000000005</v>
      </c>
      <c r="BR19" s="3">
        <v>0</v>
      </c>
      <c r="BS19" s="3">
        <f>BO19-BP19-BQ19+BR19</f>
        <v>122968610.26999998</v>
      </c>
      <c r="BT19" s="3">
        <f>BS19/1000</f>
        <v>122968.61026999998</v>
      </c>
      <c r="BV19" s="3">
        <v>134809298.98000002</v>
      </c>
      <c r="BW19" s="3">
        <v>1213903.6599999999</v>
      </c>
      <c r="BX19" s="3">
        <v>346670.86</v>
      </c>
      <c r="BY19" s="3">
        <v>0</v>
      </c>
      <c r="BZ19" s="3">
        <f>BV19-BW19-BX19+BY19</f>
        <v>133248724.46000002</v>
      </c>
      <c r="CA19" s="3">
        <f>BZ19/1000</f>
        <v>133248.72446000003</v>
      </c>
      <c r="CC19" s="3">
        <v>139645316.89999998</v>
      </c>
      <c r="CD19" s="3">
        <v>1963875.1099999999</v>
      </c>
      <c r="CE19" s="3">
        <v>0</v>
      </c>
      <c r="CF19" s="3">
        <v>0</v>
      </c>
      <c r="CG19" s="3">
        <f>CC19-CD19-CE19+CF19</f>
        <v>137681441.78999996</v>
      </c>
      <c r="CH19" s="3">
        <f>CG19/1000</f>
        <v>137681.44178999995</v>
      </c>
      <c r="CJ19" s="128">
        <v>137326443.46000001</v>
      </c>
      <c r="CK19" s="3">
        <v>449974.91000000003</v>
      </c>
      <c r="CL19" s="3">
        <v>0</v>
      </c>
      <c r="CM19" s="128">
        <v>0</v>
      </c>
      <c r="CN19" s="3">
        <f>CJ19-CK19-CL19+CM19</f>
        <v>136876468.55000001</v>
      </c>
      <c r="CO19" s="3">
        <f>CN19/1000</f>
        <v>136876.46855000002</v>
      </c>
      <c r="CQ19" s="128">
        <v>133124700.19999999</v>
      </c>
      <c r="CR19" s="3">
        <v>143556.09000000003</v>
      </c>
      <c r="CS19" s="3">
        <v>0</v>
      </c>
      <c r="CT19" s="128">
        <v>0</v>
      </c>
      <c r="CU19" s="3">
        <f>CQ19-CR19-CS19+CT19</f>
        <v>132981144.10999998</v>
      </c>
      <c r="CV19" s="3">
        <f>CU19/1000</f>
        <v>132981.14410999999</v>
      </c>
      <c r="CX19" s="128">
        <v>132111404.26000002</v>
      </c>
      <c r="CY19" s="3">
        <v>546360.6</v>
      </c>
      <c r="CZ19" s="3">
        <v>0</v>
      </c>
      <c r="DA19" s="128">
        <v>0</v>
      </c>
      <c r="DB19" s="3">
        <f>CX19-CY19-CZ19+DA19</f>
        <v>131565043.66000003</v>
      </c>
      <c r="DC19" s="3">
        <f>DB19/1000</f>
        <v>131565.04366000002</v>
      </c>
      <c r="DE19" s="3">
        <v>131474622.83</v>
      </c>
      <c r="DF19" s="3">
        <v>135938.62</v>
      </c>
      <c r="DG19" s="3">
        <v>0</v>
      </c>
      <c r="DH19" s="3">
        <v>0</v>
      </c>
      <c r="DI19" s="3">
        <f t="shared" si="14"/>
        <v>131338684.20999999</v>
      </c>
      <c r="DJ19" s="3">
        <f t="shared" si="15"/>
        <v>131338.68421000001</v>
      </c>
    </row>
    <row r="20" spans="1:114">
      <c r="A20" s="1" t="s">
        <v>13</v>
      </c>
      <c r="B20" s="14">
        <v>54880</v>
      </c>
      <c r="C20" s="14">
        <v>58287</v>
      </c>
      <c r="D20" s="14">
        <v>62697.687170000012</v>
      </c>
      <c r="E20" s="14">
        <v>66912.511659999989</v>
      </c>
      <c r="F20" s="14">
        <v>70186.464019999999</v>
      </c>
      <c r="G20" s="14">
        <v>72386.029569999984</v>
      </c>
      <c r="H20" s="14">
        <v>73635.39439999999</v>
      </c>
      <c r="I20" s="14">
        <v>73326.212369999994</v>
      </c>
      <c r="J20" s="14">
        <v>71382.765670000023</v>
      </c>
      <c r="K20" s="14">
        <v>74026.339460000003</v>
      </c>
      <c r="L20" s="240">
        <f>(K20-J20)*100/J20</f>
        <v>3.7033782106750075</v>
      </c>
      <c r="M20" s="48">
        <f t="shared" si="11"/>
        <v>40.371237886321701</v>
      </c>
      <c r="N20" s="14">
        <v>18712</v>
      </c>
      <c r="O20" s="14">
        <v>19522</v>
      </c>
      <c r="P20" s="14">
        <v>21055</v>
      </c>
      <c r="Q20" s="27">
        <v>23708</v>
      </c>
      <c r="R20" s="27">
        <v>26117</v>
      </c>
      <c r="S20" s="27">
        <v>28942</v>
      </c>
      <c r="T20" s="27">
        <v>31223</v>
      </c>
      <c r="U20" s="27">
        <v>33039</v>
      </c>
      <c r="V20" s="27">
        <v>33760</v>
      </c>
      <c r="W20" s="27">
        <v>35248</v>
      </c>
      <c r="X20" s="14">
        <f>39098.097-710.151</f>
        <v>38387.946000000004</v>
      </c>
      <c r="Y20" s="27">
        <v>39673</v>
      </c>
      <c r="Z20" s="14">
        <v>41709</v>
      </c>
      <c r="AA20" s="14">
        <v>38973</v>
      </c>
      <c r="AB20" s="14">
        <v>41833</v>
      </c>
      <c r="AC20" s="14">
        <v>43844</v>
      </c>
      <c r="AD20" s="14">
        <v>47999</v>
      </c>
      <c r="AE20" s="3">
        <v>50135.097070000018</v>
      </c>
      <c r="AF20" s="14">
        <v>52736.116439999998</v>
      </c>
      <c r="AG20" s="128">
        <v>50692866.030000016</v>
      </c>
      <c r="AH20" s="128">
        <v>557768.95999999996</v>
      </c>
      <c r="AI20" s="128">
        <v>0</v>
      </c>
      <c r="AJ20" s="128">
        <v>0</v>
      </c>
      <c r="AK20" s="3">
        <f>AG20-AH20-AI20+AJ20</f>
        <v>50135097.070000015</v>
      </c>
      <c r="AL20" s="3">
        <f>AK20/1000</f>
        <v>50135.097070000018</v>
      </c>
      <c r="AN20" s="3">
        <v>53335661.219999999</v>
      </c>
      <c r="AO20" s="3">
        <v>599544.78</v>
      </c>
      <c r="AP20" s="3">
        <v>0</v>
      </c>
      <c r="AQ20" s="3">
        <v>0</v>
      </c>
      <c r="AR20" s="3">
        <f t="shared" si="12"/>
        <v>52736116.439999998</v>
      </c>
      <c r="AS20" s="3">
        <f t="shared" si="13"/>
        <v>52736.116439999998</v>
      </c>
      <c r="AT20" s="3">
        <v>55891093</v>
      </c>
      <c r="AU20" s="92">
        <v>1011234.98</v>
      </c>
      <c r="AV20" s="41">
        <v>0</v>
      </c>
      <c r="AW20" s="41"/>
      <c r="AX20" s="3">
        <f>AT20-AU20-AV20+AW20</f>
        <v>54879858.020000003</v>
      </c>
      <c r="AY20" s="3">
        <f>AX20/1000</f>
        <v>54879.85802</v>
      </c>
      <c r="BA20" s="3">
        <v>59122471</v>
      </c>
      <c r="BB20" s="92">
        <v>835124.58</v>
      </c>
      <c r="BC20" s="41">
        <v>0</v>
      </c>
      <c r="BD20" s="41">
        <v>0</v>
      </c>
      <c r="BE20" s="3">
        <f>BA20-BB20-BC20+BD20</f>
        <v>58287346.420000002</v>
      </c>
      <c r="BF20" s="3">
        <f>BE20/1000</f>
        <v>58287.346420000002</v>
      </c>
      <c r="BH20" s="237">
        <v>64109941.710000008</v>
      </c>
      <c r="BI20" s="92">
        <v>1412254.54</v>
      </c>
      <c r="BJ20" s="41">
        <v>0</v>
      </c>
      <c r="BK20" s="41">
        <v>0</v>
      </c>
      <c r="BL20" s="3">
        <f>BH20-BI20-BJ20+BK20</f>
        <v>62697687.170000009</v>
      </c>
      <c r="BM20" s="3">
        <f>BL20/1000</f>
        <v>62697.687170000012</v>
      </c>
      <c r="BO20" s="3">
        <v>68706666.229999989</v>
      </c>
      <c r="BP20" s="3">
        <v>1794154.57</v>
      </c>
      <c r="BQ20" s="3">
        <v>0</v>
      </c>
      <c r="BR20" s="3">
        <v>0</v>
      </c>
      <c r="BS20" s="3">
        <f>BO20-BP20-BQ20+BR20</f>
        <v>66912511.659999989</v>
      </c>
      <c r="BT20" s="3">
        <f>BS20/1000</f>
        <v>66912.511659999989</v>
      </c>
      <c r="BV20" s="3">
        <v>71184953.899999991</v>
      </c>
      <c r="BW20" s="3">
        <v>998489.88</v>
      </c>
      <c r="BX20" s="3">
        <v>0</v>
      </c>
      <c r="BY20" s="3">
        <v>0</v>
      </c>
      <c r="BZ20" s="3">
        <f>BV20-BW20-BX20+BY20</f>
        <v>70186464.019999996</v>
      </c>
      <c r="CA20" s="3">
        <f>BZ20/1000</f>
        <v>70186.464019999999</v>
      </c>
      <c r="CC20" s="3">
        <v>73864009.499999985</v>
      </c>
      <c r="CD20" s="3">
        <v>1477979.93</v>
      </c>
      <c r="CE20" s="3">
        <v>0</v>
      </c>
      <c r="CF20" s="3">
        <v>0</v>
      </c>
      <c r="CG20" s="3">
        <f>CC20-CD20-CE20+CF20</f>
        <v>72386029.569999978</v>
      </c>
      <c r="CH20" s="3">
        <f>CG20/1000</f>
        <v>72386.029569999984</v>
      </c>
      <c r="CJ20" s="128">
        <v>75938899.429999992</v>
      </c>
      <c r="CK20" s="3">
        <v>2303505.0299999998</v>
      </c>
      <c r="CL20" s="3">
        <v>0</v>
      </c>
      <c r="CM20" s="128">
        <v>0</v>
      </c>
      <c r="CN20" s="3">
        <f>CJ20-CK20-CL20+CM20</f>
        <v>73635394.399999991</v>
      </c>
      <c r="CO20" s="3">
        <f>CN20/1000</f>
        <v>73635.39439999999</v>
      </c>
      <c r="CQ20" s="128">
        <v>77325046.079999983</v>
      </c>
      <c r="CR20" s="3">
        <v>3998833.71</v>
      </c>
      <c r="CS20" s="3">
        <v>0</v>
      </c>
      <c r="CT20" s="128">
        <v>0</v>
      </c>
      <c r="CU20" s="3">
        <f>CQ20-CR20-CS20+CT20</f>
        <v>73326212.36999999</v>
      </c>
      <c r="CV20" s="3">
        <f>CU20/1000</f>
        <v>73326.212369999994</v>
      </c>
      <c r="CX20" s="128">
        <v>72297976.74000001</v>
      </c>
      <c r="CY20" s="3">
        <v>915211.07</v>
      </c>
      <c r="CZ20" s="3">
        <v>0</v>
      </c>
      <c r="DA20" s="128">
        <v>0</v>
      </c>
      <c r="DB20" s="3">
        <f>CX20-CY20-CZ20+DA20</f>
        <v>71382765.670000017</v>
      </c>
      <c r="DC20" s="3">
        <f>DB20/1000</f>
        <v>71382.765670000023</v>
      </c>
      <c r="DE20" s="3">
        <v>74966498.290000007</v>
      </c>
      <c r="DF20" s="3">
        <v>940158.83000000007</v>
      </c>
      <c r="DG20" s="3">
        <v>0</v>
      </c>
      <c r="DH20" s="3">
        <v>0</v>
      </c>
      <c r="DI20" s="3">
        <f t="shared" si="14"/>
        <v>74026339.460000008</v>
      </c>
      <c r="DJ20" s="3">
        <f t="shared" si="15"/>
        <v>74026.339460000003</v>
      </c>
    </row>
    <row r="21" spans="1:114">
      <c r="A21" s="1" t="s">
        <v>14</v>
      </c>
      <c r="B21" s="14">
        <v>90185</v>
      </c>
      <c r="C21" s="14">
        <v>98119</v>
      </c>
      <c r="D21" s="14">
        <v>107776.78188000002</v>
      </c>
      <c r="E21" s="14">
        <v>119633.32745000001</v>
      </c>
      <c r="F21" s="14">
        <v>129970.60878</v>
      </c>
      <c r="G21" s="14">
        <v>133652.93028999996</v>
      </c>
      <c r="H21" s="14">
        <v>134706.69519</v>
      </c>
      <c r="I21" s="14">
        <v>129699.08231</v>
      </c>
      <c r="J21" s="14">
        <v>132442.41595999998</v>
      </c>
      <c r="K21" s="14">
        <v>132670.11227999997</v>
      </c>
      <c r="L21" s="240">
        <f>(K21-J21)*100/J21</f>
        <v>0.1719209955130663</v>
      </c>
      <c r="M21" s="48">
        <f t="shared" si="11"/>
        <v>55.371482683922956</v>
      </c>
      <c r="N21" s="14">
        <v>25149</v>
      </c>
      <c r="O21" s="14">
        <v>26203</v>
      </c>
      <c r="P21" s="14">
        <v>29211</v>
      </c>
      <c r="Q21" s="27">
        <v>32875</v>
      </c>
      <c r="R21" s="27">
        <v>36911</v>
      </c>
      <c r="S21" s="27">
        <v>41745</v>
      </c>
      <c r="T21" s="27">
        <v>45678</v>
      </c>
      <c r="U21" s="27">
        <v>47510</v>
      </c>
      <c r="V21" s="27">
        <v>50839</v>
      </c>
      <c r="W21" s="27">
        <v>54251</v>
      </c>
      <c r="X21" s="14">
        <f>57151.192-118.053-23.321</f>
        <v>57009.817999999999</v>
      </c>
      <c r="Y21" s="27">
        <v>57715</v>
      </c>
      <c r="Z21" s="14">
        <v>60078</v>
      </c>
      <c r="AA21" s="14">
        <v>56612</v>
      </c>
      <c r="AB21" s="14">
        <v>60747</v>
      </c>
      <c r="AC21" s="14">
        <v>66034</v>
      </c>
      <c r="AD21" s="14">
        <v>72793</v>
      </c>
      <c r="AE21" s="3">
        <v>79520.301940000034</v>
      </c>
      <c r="AF21" s="14">
        <v>85388.972280000002</v>
      </c>
      <c r="AG21" s="128">
        <v>81062770.330000028</v>
      </c>
      <c r="AH21" s="128">
        <v>804673.45</v>
      </c>
      <c r="AI21" s="128">
        <v>688763.14</v>
      </c>
      <c r="AJ21" s="128">
        <v>6496</v>
      </c>
      <c r="AK21" s="3">
        <f>AG21-AH21-AI21+AJ21</f>
        <v>79575829.740000024</v>
      </c>
      <c r="AL21" s="3">
        <f>AK21/1000</f>
        <v>79575.82974000003</v>
      </c>
      <c r="AN21" s="3">
        <v>86799589.309999987</v>
      </c>
      <c r="AO21" s="3">
        <v>681492.72</v>
      </c>
      <c r="AP21" s="3">
        <v>731922.31</v>
      </c>
      <c r="AQ21" s="3">
        <v>2798</v>
      </c>
      <c r="AR21" s="3">
        <f t="shared" si="12"/>
        <v>85388972.279999986</v>
      </c>
      <c r="AS21" s="3">
        <f t="shared" si="13"/>
        <v>85388.972279999987</v>
      </c>
      <c r="AT21" s="3">
        <v>91630733</v>
      </c>
      <c r="AU21" s="92">
        <v>812318.79</v>
      </c>
      <c r="AV21" s="41">
        <v>632771.39</v>
      </c>
      <c r="AW21" s="41">
        <v>-337.15</v>
      </c>
      <c r="AX21" s="3">
        <f>AT21-AU21-AV21+AW21</f>
        <v>90185305.669999987</v>
      </c>
      <c r="AY21" s="3">
        <f>AX21/1000</f>
        <v>90185.305669999987</v>
      </c>
      <c r="BA21" s="3">
        <v>99894932</v>
      </c>
      <c r="BB21" s="92">
        <v>1069852.49</v>
      </c>
      <c r="BC21" s="41">
        <v>706268.06</v>
      </c>
      <c r="BD21" s="41">
        <v>0</v>
      </c>
      <c r="BE21" s="3">
        <f>BA21-BB21-BC21+BD21</f>
        <v>98118811.450000003</v>
      </c>
      <c r="BF21" s="3">
        <f>BE21/1000</f>
        <v>98118.811450000008</v>
      </c>
      <c r="BH21" s="237">
        <v>109179784.71000002</v>
      </c>
      <c r="BI21" s="92">
        <v>647941.69999999995</v>
      </c>
      <c r="BJ21" s="41">
        <v>755061.13</v>
      </c>
      <c r="BK21" s="41">
        <v>0</v>
      </c>
      <c r="BL21" s="3">
        <f>BH21-BI21-BJ21+BK21</f>
        <v>107776781.88000003</v>
      </c>
      <c r="BM21" s="3">
        <f>BL21/1000</f>
        <v>107776.78188000002</v>
      </c>
      <c r="BO21" s="3">
        <v>121220133.07000002</v>
      </c>
      <c r="BP21" s="3">
        <v>850665.68</v>
      </c>
      <c r="BQ21" s="3">
        <v>736139.94</v>
      </c>
      <c r="BR21" s="3">
        <v>0</v>
      </c>
      <c r="BS21" s="3">
        <f>BO21-BP21-BQ21+BR21</f>
        <v>119633327.45000002</v>
      </c>
      <c r="BT21" s="3">
        <f>BS21/1000</f>
        <v>119633.32745000001</v>
      </c>
      <c r="BV21" s="3">
        <v>131494013.58</v>
      </c>
      <c r="BW21" s="3">
        <v>691612.24</v>
      </c>
      <c r="BX21" s="3">
        <v>831792.56</v>
      </c>
      <c r="BY21" s="3">
        <v>0</v>
      </c>
      <c r="BZ21" s="3">
        <f>BV21-BW21-BX21+BY21</f>
        <v>129970608.78</v>
      </c>
      <c r="CA21" s="3">
        <f>BZ21/1000</f>
        <v>129970.60878</v>
      </c>
      <c r="CC21" s="3">
        <v>135515180.93999997</v>
      </c>
      <c r="CD21" s="3">
        <v>980327.72</v>
      </c>
      <c r="CE21" s="3">
        <v>884024.93</v>
      </c>
      <c r="CF21" s="3">
        <v>2102</v>
      </c>
      <c r="CG21" s="3">
        <f>CC21-CD21-CE21+CF21</f>
        <v>133652930.28999996</v>
      </c>
      <c r="CH21" s="3">
        <f>CG21/1000</f>
        <v>133652.93028999996</v>
      </c>
      <c r="CJ21" s="128">
        <v>135594432.51999998</v>
      </c>
      <c r="CK21" s="3">
        <v>218645.95</v>
      </c>
      <c r="CL21" s="3">
        <v>669091.37999999989</v>
      </c>
      <c r="CM21" s="128">
        <v>0</v>
      </c>
      <c r="CN21" s="3">
        <f>CJ21-CK21-CL21+CM21</f>
        <v>134706695.19</v>
      </c>
      <c r="CO21" s="3">
        <f>CN21/1000</f>
        <v>134706.69519</v>
      </c>
      <c r="CQ21" s="128">
        <v>130885662.67</v>
      </c>
      <c r="CR21" s="3">
        <v>508279.98</v>
      </c>
      <c r="CS21" s="3">
        <v>678300.38</v>
      </c>
      <c r="CT21" s="128">
        <v>0</v>
      </c>
      <c r="CU21" s="3">
        <f>CQ21-CR21-CS21+CT21</f>
        <v>129699082.31</v>
      </c>
      <c r="CV21" s="3">
        <f>CU21/1000</f>
        <v>129699.08231</v>
      </c>
      <c r="CX21" s="128">
        <v>133136781.2</v>
      </c>
      <c r="CY21" s="3">
        <v>9374.31</v>
      </c>
      <c r="CZ21" s="3">
        <v>684990.92999999993</v>
      </c>
      <c r="DA21" s="128">
        <v>0</v>
      </c>
      <c r="DB21" s="3">
        <f>CX21-CY21-CZ21+DA21</f>
        <v>132442415.95999999</v>
      </c>
      <c r="DC21" s="3">
        <f>DB21/1000</f>
        <v>132442.41595999998</v>
      </c>
      <c r="DE21" s="3">
        <v>133494720.16999999</v>
      </c>
      <c r="DF21" s="3">
        <v>86222.1</v>
      </c>
      <c r="DG21" s="3">
        <v>738385.79</v>
      </c>
      <c r="DH21" s="3">
        <v>0</v>
      </c>
      <c r="DI21" s="3">
        <f t="shared" si="14"/>
        <v>132670112.27999999</v>
      </c>
      <c r="DJ21" s="3">
        <f t="shared" si="15"/>
        <v>132670.11227999997</v>
      </c>
    </row>
    <row r="22" spans="1:114">
      <c r="A22" s="1" t="s">
        <v>15</v>
      </c>
      <c r="B22" s="14">
        <v>18797</v>
      </c>
      <c r="C22" s="14">
        <v>19507</v>
      </c>
      <c r="D22" s="14">
        <v>20450.568839999996</v>
      </c>
      <c r="E22" s="14">
        <v>21645.090809999991</v>
      </c>
      <c r="F22" s="14">
        <v>23776.07349000001</v>
      </c>
      <c r="G22" s="14">
        <v>23899.5435</v>
      </c>
      <c r="H22" s="14">
        <v>23158.346610000004</v>
      </c>
      <c r="I22" s="14">
        <v>23199.36665</v>
      </c>
      <c r="J22" s="14">
        <v>23530.367349999997</v>
      </c>
      <c r="K22" s="14">
        <v>24393.357049999999</v>
      </c>
      <c r="L22" s="240">
        <f>(K22-J22)*100/J22</f>
        <v>3.6675572767885498</v>
      </c>
      <c r="M22" s="48">
        <f t="shared" si="11"/>
        <v>34.046382075161425</v>
      </c>
      <c r="N22" s="14">
        <v>8506</v>
      </c>
      <c r="O22" s="14">
        <v>8672</v>
      </c>
      <c r="P22" s="14">
        <v>9145</v>
      </c>
      <c r="Q22" s="27">
        <v>10054</v>
      </c>
      <c r="R22" s="27">
        <v>10969</v>
      </c>
      <c r="S22" s="27">
        <v>11962</v>
      </c>
      <c r="T22" s="27">
        <v>12669</v>
      </c>
      <c r="U22" s="27">
        <v>12445</v>
      </c>
      <c r="V22" s="27">
        <v>12971</v>
      </c>
      <c r="W22" s="27">
        <v>13637</v>
      </c>
      <c r="X22" s="14">
        <f>14952.289-196.886</f>
        <v>14755.403</v>
      </c>
      <c r="Y22" s="27">
        <v>14843</v>
      </c>
      <c r="Z22" s="14">
        <v>15911</v>
      </c>
      <c r="AA22" s="14">
        <v>15280</v>
      </c>
      <c r="AB22" s="14">
        <v>15616</v>
      </c>
      <c r="AC22" s="14">
        <v>16967</v>
      </c>
      <c r="AD22" s="14">
        <v>17696</v>
      </c>
      <c r="AE22" s="3">
        <v>17284.553980000001</v>
      </c>
      <c r="AF22" s="14">
        <v>18197.698939999998</v>
      </c>
      <c r="AG22" s="128">
        <v>17759864.060000002</v>
      </c>
      <c r="AH22" s="128">
        <v>160024.87</v>
      </c>
      <c r="AI22" s="128">
        <v>284855</v>
      </c>
      <c r="AJ22" s="164">
        <v>6166</v>
      </c>
      <c r="AK22" s="3">
        <f>AG22-AH22-AI22+AJ22</f>
        <v>17321150.190000001</v>
      </c>
      <c r="AL22" s="3">
        <f>AK22/1000</f>
        <v>17321.15019</v>
      </c>
      <c r="AN22" s="3">
        <v>18613322.720000003</v>
      </c>
      <c r="AO22" s="3">
        <v>63256.42</v>
      </c>
      <c r="AP22" s="3">
        <v>352367.35999999999</v>
      </c>
      <c r="AQ22" s="3">
        <v>0</v>
      </c>
      <c r="AR22" s="3">
        <f t="shared" si="12"/>
        <v>18197698.940000001</v>
      </c>
      <c r="AS22" s="3">
        <f t="shared" si="13"/>
        <v>18197.698940000002</v>
      </c>
      <c r="AT22" s="3">
        <v>19124644</v>
      </c>
      <c r="AU22" s="92">
        <v>49278.81</v>
      </c>
      <c r="AV22" s="41">
        <v>278664.81</v>
      </c>
      <c r="AW22" s="83">
        <v>0</v>
      </c>
      <c r="AX22" s="3">
        <f>AT22-AU22-AV22+AW22</f>
        <v>18796700.380000003</v>
      </c>
      <c r="AY22" s="3">
        <f>AX22/1000</f>
        <v>18796.700380000002</v>
      </c>
      <c r="BA22" s="3">
        <v>20244326</v>
      </c>
      <c r="BB22" s="92">
        <v>441667.1</v>
      </c>
      <c r="BC22" s="41">
        <v>309026.42</v>
      </c>
      <c r="BD22" s="83">
        <v>13752</v>
      </c>
      <c r="BE22" s="3">
        <f>BA22-BB22-BC22+BD22</f>
        <v>19507384.479999997</v>
      </c>
      <c r="BF22" s="3">
        <f>BE22/1000</f>
        <v>19507.384479999997</v>
      </c>
      <c r="BH22" s="237">
        <v>20786097.889999997</v>
      </c>
      <c r="BI22" s="92">
        <v>62767.64</v>
      </c>
      <c r="BJ22" s="41">
        <v>272761.40999999997</v>
      </c>
      <c r="BK22" s="83">
        <v>0</v>
      </c>
      <c r="BL22" s="3">
        <f>BH22-BI22-BJ22+BK22</f>
        <v>20450568.839999996</v>
      </c>
      <c r="BM22" s="3">
        <f>BL22/1000</f>
        <v>20450.568839999996</v>
      </c>
      <c r="BO22" s="3">
        <v>22233943.019999992</v>
      </c>
      <c r="BP22" s="3">
        <v>191959.43</v>
      </c>
      <c r="BQ22" s="3">
        <v>396892.78</v>
      </c>
      <c r="BR22" s="3">
        <v>0</v>
      </c>
      <c r="BS22" s="3">
        <f>BO22-BP22-BQ22+BR22</f>
        <v>21645090.809999991</v>
      </c>
      <c r="BT22" s="3">
        <f>BS22/1000</f>
        <v>21645.090809999991</v>
      </c>
      <c r="BV22" s="3">
        <v>24303907.580000009</v>
      </c>
      <c r="BW22" s="3">
        <v>55182.26</v>
      </c>
      <c r="BX22" s="3">
        <v>472651.83</v>
      </c>
      <c r="BY22" s="3">
        <v>0</v>
      </c>
      <c r="BZ22" s="3">
        <f>BV22-BW22-BX22+BY22</f>
        <v>23776073.49000001</v>
      </c>
      <c r="CA22" s="3">
        <f>BZ22/1000</f>
        <v>23776.07349000001</v>
      </c>
      <c r="CC22" s="3">
        <v>24127185.530000001</v>
      </c>
      <c r="CD22" s="3">
        <v>92111.340000000011</v>
      </c>
      <c r="CE22" s="3">
        <v>135530.69</v>
      </c>
      <c r="CF22" s="3">
        <v>0</v>
      </c>
      <c r="CG22" s="3">
        <f>CC22-CD22-CE22+CF22</f>
        <v>23899543.5</v>
      </c>
      <c r="CH22" s="3">
        <f>CG22/1000</f>
        <v>23899.5435</v>
      </c>
      <c r="CJ22" s="128">
        <v>23243279.600000001</v>
      </c>
      <c r="CK22" s="3">
        <v>31604.989999999998</v>
      </c>
      <c r="CL22" s="3">
        <v>53328</v>
      </c>
      <c r="CM22" s="128">
        <v>0</v>
      </c>
      <c r="CN22" s="3">
        <f>CJ22-CK22-CL22+CM22</f>
        <v>23158346.610000003</v>
      </c>
      <c r="CO22" s="3">
        <f>CN22/1000</f>
        <v>23158.346610000004</v>
      </c>
      <c r="CQ22" s="128">
        <v>23261191.149999999</v>
      </c>
      <c r="CR22" s="3">
        <v>4061.5</v>
      </c>
      <c r="CS22" s="3">
        <v>57763</v>
      </c>
      <c r="CT22" s="128">
        <v>0</v>
      </c>
      <c r="CU22" s="3">
        <f>CQ22-CR22-CS22+CT22</f>
        <v>23199366.649999999</v>
      </c>
      <c r="CV22" s="3">
        <f>CU22/1000</f>
        <v>23199.36665</v>
      </c>
      <c r="CX22" s="128">
        <v>23696676.559999999</v>
      </c>
      <c r="CY22" s="3">
        <v>91030.75</v>
      </c>
      <c r="CZ22" s="3">
        <v>75278.459999999992</v>
      </c>
      <c r="DA22" s="128">
        <v>0</v>
      </c>
      <c r="DB22" s="3">
        <f>CX22-CY22-CZ22+DA22</f>
        <v>23530367.349999998</v>
      </c>
      <c r="DC22" s="3">
        <f>DB22/1000</f>
        <v>23530.367349999997</v>
      </c>
      <c r="DE22" s="3">
        <v>24705485.849999998</v>
      </c>
      <c r="DF22" s="3">
        <v>230181.95</v>
      </c>
      <c r="DG22" s="3">
        <v>81946.850000000006</v>
      </c>
      <c r="DH22" s="3">
        <v>0</v>
      </c>
      <c r="DI22" s="3">
        <f t="shared" si="14"/>
        <v>24393357.049999997</v>
      </c>
      <c r="DJ22" s="3">
        <f t="shared" si="15"/>
        <v>24393.357049999999</v>
      </c>
    </row>
    <row r="23" spans="1:114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48"/>
      <c r="M23" s="48"/>
      <c r="N23" s="14"/>
      <c r="P23" s="14"/>
      <c r="Q23" s="27"/>
      <c r="R23" s="27"/>
      <c r="S23" s="27"/>
      <c r="T23" s="27"/>
      <c r="U23" s="27"/>
      <c r="V23" s="27"/>
      <c r="W23" s="27"/>
      <c r="X23" s="14"/>
      <c r="Y23" s="27"/>
      <c r="Z23" s="14"/>
      <c r="AA23" s="14"/>
      <c r="AB23" s="14"/>
      <c r="AC23" s="14"/>
      <c r="AD23" s="14"/>
      <c r="AE23" s="3"/>
      <c r="AF23" s="14"/>
      <c r="AG23" s="128"/>
      <c r="AH23" s="128"/>
      <c r="AI23" s="128"/>
      <c r="AJ23" s="128"/>
      <c r="AK23" s="3"/>
      <c r="AU23" s="92"/>
      <c r="AV23" s="41"/>
      <c r="AW23" s="41"/>
      <c r="BB23" s="92"/>
      <c r="BC23" s="41"/>
      <c r="BD23" s="41"/>
      <c r="BH23" s="237"/>
      <c r="BI23" s="92"/>
      <c r="BJ23" s="41"/>
      <c r="BK23" s="41"/>
      <c r="CJ23" s="128"/>
      <c r="CM23" s="128"/>
      <c r="CQ23" s="128"/>
      <c r="CT23" s="128"/>
      <c r="CX23" s="128"/>
      <c r="DA23" s="128"/>
    </row>
    <row r="24" spans="1:114">
      <c r="A24" s="1" t="s">
        <v>16</v>
      </c>
      <c r="B24" s="14">
        <v>145690</v>
      </c>
      <c r="C24" s="14">
        <v>152390</v>
      </c>
      <c r="D24" s="14">
        <v>163936.94832000005</v>
      </c>
      <c r="E24" s="14">
        <v>177579.09077999997</v>
      </c>
      <c r="F24" s="14">
        <v>197732.48006999999</v>
      </c>
      <c r="G24" s="14">
        <v>203162.62230000002</v>
      </c>
      <c r="H24" s="14">
        <v>200565.01957999999</v>
      </c>
      <c r="I24" s="14">
        <v>200958.91186000005</v>
      </c>
      <c r="J24" s="14">
        <v>200325.02476999999</v>
      </c>
      <c r="K24" s="14">
        <v>198222.58344999995</v>
      </c>
      <c r="L24" s="240">
        <f>(K24-J24)*100/J24</f>
        <v>-1.0495150680320278</v>
      </c>
      <c r="M24" s="48">
        <f t="shared" si="11"/>
        <v>43.99692970903277</v>
      </c>
      <c r="N24" s="14">
        <v>39001</v>
      </c>
      <c r="O24" s="14">
        <v>40266</v>
      </c>
      <c r="P24" s="14">
        <v>44692</v>
      </c>
      <c r="Q24" s="27">
        <v>50258</v>
      </c>
      <c r="R24" s="27">
        <v>56947</v>
      </c>
      <c r="S24" s="27">
        <v>63873</v>
      </c>
      <c r="T24" s="27">
        <v>70050</v>
      </c>
      <c r="U24" s="27">
        <v>74463</v>
      </c>
      <c r="V24" s="27">
        <v>78553</v>
      </c>
      <c r="W24" s="27">
        <v>83685</v>
      </c>
      <c r="X24" s="14">
        <f>93077.869-1239.561</f>
        <v>91838.308000000005</v>
      </c>
      <c r="Y24" s="27">
        <v>94258</v>
      </c>
      <c r="Z24" s="14">
        <v>97520</v>
      </c>
      <c r="AA24" s="14">
        <v>94705</v>
      </c>
      <c r="AB24" s="14">
        <v>102448</v>
      </c>
      <c r="AC24" s="14">
        <v>108256</v>
      </c>
      <c r="AD24" s="14">
        <v>119479</v>
      </c>
      <c r="AE24" s="3">
        <v>131671.84048000001</v>
      </c>
      <c r="AF24" s="14">
        <v>137657.50690000001</v>
      </c>
      <c r="AG24" s="128">
        <v>133196273.37000002</v>
      </c>
      <c r="AH24" s="128">
        <v>806099.19</v>
      </c>
      <c r="AI24" s="128">
        <v>662543.14</v>
      </c>
      <c r="AJ24" s="128">
        <v>0</v>
      </c>
      <c r="AK24" s="3">
        <f>AG24-AH24-AI24+AJ24</f>
        <v>131727631.04000002</v>
      </c>
      <c r="AL24" s="3">
        <f>AK24/1000</f>
        <v>131727.63104000001</v>
      </c>
      <c r="AN24" s="3">
        <v>139115641.78000003</v>
      </c>
      <c r="AO24" s="3">
        <v>806006.65</v>
      </c>
      <c r="AP24" s="3">
        <v>659940.23</v>
      </c>
      <c r="AQ24" s="3">
        <v>7812</v>
      </c>
      <c r="AR24" s="3">
        <f t="shared" si="12"/>
        <v>137657506.90000004</v>
      </c>
      <c r="AS24" s="3">
        <f t="shared" si="13"/>
        <v>137657.50690000004</v>
      </c>
      <c r="AT24" s="3">
        <v>146985677</v>
      </c>
      <c r="AU24" s="92">
        <v>654078.30000000005</v>
      </c>
      <c r="AV24" s="41">
        <v>641935.5</v>
      </c>
      <c r="AW24" s="41">
        <v>0</v>
      </c>
      <c r="AX24" s="3">
        <f>AT24-AU24-AV24+AW24</f>
        <v>145689663.19999999</v>
      </c>
      <c r="AY24" s="3">
        <f>AX24/1000</f>
        <v>145689.66319999998</v>
      </c>
      <c r="BA24" s="3">
        <v>153988856</v>
      </c>
      <c r="BB24" s="92">
        <v>852859.48</v>
      </c>
      <c r="BC24" s="41">
        <v>751022.9</v>
      </c>
      <c r="BD24" s="41">
        <v>4749</v>
      </c>
      <c r="BE24" s="3">
        <f>BA24-BB24-BC24+BD24</f>
        <v>152389722.62</v>
      </c>
      <c r="BF24" s="3">
        <f>BE24/1000</f>
        <v>152389.72262000002</v>
      </c>
      <c r="BH24" s="237">
        <v>165479896.99000004</v>
      </c>
      <c r="BI24" s="92">
        <v>681759.44</v>
      </c>
      <c r="BJ24" s="41">
        <v>862332.23</v>
      </c>
      <c r="BK24" s="41">
        <v>1143</v>
      </c>
      <c r="BL24" s="3">
        <f>BH24-BI24-BJ24+BK24</f>
        <v>163936948.32000005</v>
      </c>
      <c r="BM24" s="3">
        <f>BL24/1000</f>
        <v>163936.94832000005</v>
      </c>
      <c r="BO24" s="3">
        <v>178939717.73999995</v>
      </c>
      <c r="BP24" s="3">
        <v>431517.94</v>
      </c>
      <c r="BQ24" s="3">
        <v>931379.67</v>
      </c>
      <c r="BR24" s="3">
        <v>2270.65</v>
      </c>
      <c r="BS24" s="3">
        <f>BO24-BP24-BQ24+BR24</f>
        <v>177579090.77999997</v>
      </c>
      <c r="BT24" s="3">
        <f>BS24/1000</f>
        <v>177579.09077999997</v>
      </c>
      <c r="BV24" s="3">
        <v>199921348.5</v>
      </c>
      <c r="BW24" s="3">
        <v>1115729.06</v>
      </c>
      <c r="BX24" s="3">
        <v>1073139.3700000001</v>
      </c>
      <c r="BY24" s="3">
        <v>0</v>
      </c>
      <c r="BZ24" s="3">
        <f>BV24-BW24-BX24+BY24</f>
        <v>197732480.06999999</v>
      </c>
      <c r="CA24" s="3">
        <f>BZ24/1000</f>
        <v>197732.48006999999</v>
      </c>
      <c r="CC24" s="3">
        <v>204927225.70000002</v>
      </c>
      <c r="CD24" s="3">
        <v>685107.37000000011</v>
      </c>
      <c r="CE24" s="3">
        <v>1079496.03</v>
      </c>
      <c r="CF24" s="3">
        <v>0</v>
      </c>
      <c r="CG24" s="3">
        <f>CC24-CD24-CE24+CF24</f>
        <v>203162622.30000001</v>
      </c>
      <c r="CH24" s="3">
        <f>CG24/1000</f>
        <v>203162.62230000002</v>
      </c>
      <c r="CJ24" s="128">
        <v>202245999.42999998</v>
      </c>
      <c r="CK24" s="3">
        <v>494812.99999999994</v>
      </c>
      <c r="CL24" s="3">
        <v>1186166.8500000001</v>
      </c>
      <c r="CM24" s="128">
        <v>0</v>
      </c>
      <c r="CN24" s="3">
        <f>CJ24-CK24-CL24+CM24</f>
        <v>200565019.57999998</v>
      </c>
      <c r="CO24" s="3">
        <f>CN24/1000</f>
        <v>200565.01957999999</v>
      </c>
      <c r="CQ24" s="128">
        <v>201893270.73000005</v>
      </c>
      <c r="CR24" s="3">
        <v>714521.69</v>
      </c>
      <c r="CS24" s="3">
        <v>219837.18</v>
      </c>
      <c r="CT24" s="128">
        <v>0</v>
      </c>
      <c r="CU24" s="3">
        <f>CQ24-CR24-CS24+CT24</f>
        <v>200958911.86000004</v>
      </c>
      <c r="CV24" s="3">
        <f>CU24/1000</f>
        <v>200958.91186000005</v>
      </c>
      <c r="CX24" s="128">
        <v>200969471.47999999</v>
      </c>
      <c r="CY24" s="3">
        <v>588980.6</v>
      </c>
      <c r="CZ24" s="3">
        <v>55466.11</v>
      </c>
      <c r="DA24" s="128">
        <v>0</v>
      </c>
      <c r="DB24" s="3">
        <f>CX24-CY24-CZ24+DA24</f>
        <v>200325024.76999998</v>
      </c>
      <c r="DC24" s="3">
        <f>DB24/1000</f>
        <v>200325.02476999999</v>
      </c>
      <c r="DE24" s="3">
        <v>199391389.67999995</v>
      </c>
      <c r="DF24" s="3">
        <v>1168806.23</v>
      </c>
      <c r="DG24" s="3">
        <v>0</v>
      </c>
      <c r="DH24" s="3">
        <v>0</v>
      </c>
      <c r="DI24" s="3">
        <f t="shared" si="14"/>
        <v>198222583.44999996</v>
      </c>
      <c r="DJ24" s="3">
        <f t="shared" si="15"/>
        <v>198222.58344999995</v>
      </c>
    </row>
    <row r="25" spans="1:114">
      <c r="A25" s="1" t="s">
        <v>17</v>
      </c>
      <c r="B25" s="14">
        <v>19111</v>
      </c>
      <c r="C25" s="14">
        <v>19516</v>
      </c>
      <c r="D25" s="14">
        <v>20181.505269999998</v>
      </c>
      <c r="E25" s="14">
        <v>21899.718960000006</v>
      </c>
      <c r="F25" s="14">
        <v>23273.995669999997</v>
      </c>
      <c r="G25" s="14">
        <v>23405.149750000004</v>
      </c>
      <c r="H25" s="14">
        <v>23653.108029999996</v>
      </c>
      <c r="I25" s="14">
        <v>22586.855459999999</v>
      </c>
      <c r="J25" s="14">
        <v>21780.392030000003</v>
      </c>
      <c r="K25" s="14">
        <v>20211.447519999994</v>
      </c>
      <c r="L25" s="240">
        <f>(K25-J25)*100/J25</f>
        <v>-7.2034723150940838</v>
      </c>
      <c r="M25" s="48">
        <f t="shared" si="11"/>
        <v>9.8214362871767324</v>
      </c>
      <c r="N25" s="14">
        <v>7694</v>
      </c>
      <c r="O25" s="14">
        <v>7925</v>
      </c>
      <c r="P25" s="14">
        <v>8842</v>
      </c>
      <c r="Q25" s="27">
        <v>9694</v>
      </c>
      <c r="R25" s="27">
        <v>10726</v>
      </c>
      <c r="S25" s="27">
        <v>11383</v>
      </c>
      <c r="T25" s="27">
        <v>12358</v>
      </c>
      <c r="U25" s="27">
        <v>12764</v>
      </c>
      <c r="V25" s="27">
        <v>13203</v>
      </c>
      <c r="W25" s="27">
        <v>13548</v>
      </c>
      <c r="X25" s="14">
        <f>14523.025-222.993</f>
        <v>14300.031999999999</v>
      </c>
      <c r="Y25" s="27">
        <v>14987</v>
      </c>
      <c r="Z25" s="14">
        <v>16150</v>
      </c>
      <c r="AA25" s="14">
        <v>14901</v>
      </c>
      <c r="AB25" s="14">
        <v>15703</v>
      </c>
      <c r="AC25" s="14">
        <v>16729</v>
      </c>
      <c r="AD25" s="14">
        <v>17901</v>
      </c>
      <c r="AE25" s="3">
        <v>18539.763189999991</v>
      </c>
      <c r="AF25" s="14">
        <v>18403.918399999999</v>
      </c>
      <c r="AG25" s="128">
        <v>18790529.219999991</v>
      </c>
      <c r="AH25" s="128">
        <v>250766.03</v>
      </c>
      <c r="AI25" s="128">
        <v>0</v>
      </c>
      <c r="AJ25" s="128">
        <v>0</v>
      </c>
      <c r="AK25" s="3">
        <f>AG25-AH25-AI25+AJ25</f>
        <v>18539763.18999999</v>
      </c>
      <c r="AL25" s="3">
        <f>AK25/1000</f>
        <v>18539.763189999991</v>
      </c>
      <c r="AN25" s="3">
        <v>18687730.18</v>
      </c>
      <c r="AO25" s="3">
        <v>283811.78000000003</v>
      </c>
      <c r="AP25" s="3">
        <v>0</v>
      </c>
      <c r="AQ25" s="3">
        <v>0</v>
      </c>
      <c r="AR25" s="3">
        <f t="shared" si="12"/>
        <v>18403918.399999999</v>
      </c>
      <c r="AS25" s="3">
        <f t="shared" si="13"/>
        <v>18403.918399999999</v>
      </c>
      <c r="AT25" s="3">
        <v>19317121</v>
      </c>
      <c r="AU25" s="92">
        <v>205872.94</v>
      </c>
      <c r="AV25" s="41">
        <v>0</v>
      </c>
      <c r="AW25" s="41">
        <v>0</v>
      </c>
      <c r="AX25" s="3">
        <f>AT25-AU25-AV25+AW25</f>
        <v>19111248.059999999</v>
      </c>
      <c r="AY25" s="3">
        <f>AX25/1000</f>
        <v>19111.248059999998</v>
      </c>
      <c r="BA25" s="3">
        <v>19701903</v>
      </c>
      <c r="BB25" s="92">
        <v>186051.01</v>
      </c>
      <c r="BC25" s="41">
        <v>0</v>
      </c>
      <c r="BD25" s="41">
        <v>0</v>
      </c>
      <c r="BE25" s="3">
        <f>BA25-BB25-BC25+BD25</f>
        <v>19515851.989999998</v>
      </c>
      <c r="BF25" s="3">
        <f>BE25/1000</f>
        <v>19515.851989999999</v>
      </c>
      <c r="BH25" s="237">
        <v>20468100.599999998</v>
      </c>
      <c r="BI25" s="92">
        <v>286595.33</v>
      </c>
      <c r="BJ25" s="41">
        <v>0</v>
      </c>
      <c r="BK25" s="41">
        <v>0</v>
      </c>
      <c r="BL25" s="3">
        <f>BH25-BI25-BJ25+BK25</f>
        <v>20181505.27</v>
      </c>
      <c r="BM25" s="3">
        <f>BL25/1000</f>
        <v>20181.505269999998</v>
      </c>
      <c r="BO25" s="3">
        <v>22194779.500000004</v>
      </c>
      <c r="BP25" s="3">
        <v>295060.53999999998</v>
      </c>
      <c r="BQ25" s="3">
        <v>0</v>
      </c>
      <c r="BR25" s="3">
        <v>0</v>
      </c>
      <c r="BS25" s="3">
        <f>BO25-BP25-BQ25+BR25</f>
        <v>21899718.960000005</v>
      </c>
      <c r="BT25" s="3">
        <f>BS25/1000</f>
        <v>21899.718960000006</v>
      </c>
      <c r="BV25" s="3">
        <v>23709802.869999997</v>
      </c>
      <c r="BW25" s="3">
        <v>435807.2</v>
      </c>
      <c r="BX25" s="3">
        <v>0</v>
      </c>
      <c r="BY25" s="3">
        <v>0</v>
      </c>
      <c r="BZ25" s="3">
        <f>BV25-BW25-BX25+BY25</f>
        <v>23273995.669999998</v>
      </c>
      <c r="CA25" s="3">
        <f>BZ25/1000</f>
        <v>23273.995669999997</v>
      </c>
      <c r="CC25" s="3">
        <v>23652233.160000004</v>
      </c>
      <c r="CD25" s="3">
        <v>247083.41</v>
      </c>
      <c r="CE25" s="3">
        <v>0</v>
      </c>
      <c r="CF25" s="3">
        <v>0</v>
      </c>
      <c r="CG25" s="3">
        <f>CC25-CD25-CE25+CF25</f>
        <v>23405149.750000004</v>
      </c>
      <c r="CH25" s="3">
        <f>CG25/1000</f>
        <v>23405.149750000004</v>
      </c>
      <c r="CJ25" s="128">
        <v>23898776.219999999</v>
      </c>
      <c r="CK25" s="3">
        <v>245668.18999999997</v>
      </c>
      <c r="CL25" s="3">
        <v>0</v>
      </c>
      <c r="CM25" s="128">
        <v>0</v>
      </c>
      <c r="CN25" s="3">
        <f>CJ25-CK25-CL25+CM25</f>
        <v>23653108.029999997</v>
      </c>
      <c r="CO25" s="3">
        <f>CN25/1000</f>
        <v>23653.108029999996</v>
      </c>
      <c r="CQ25" s="128">
        <v>22806177.499999996</v>
      </c>
      <c r="CR25" s="3">
        <v>219322.03999999998</v>
      </c>
      <c r="CS25" s="3">
        <v>0</v>
      </c>
      <c r="CT25" s="128">
        <v>0</v>
      </c>
      <c r="CU25" s="3">
        <f>CQ25-CR25-CS25+CT25</f>
        <v>22586855.459999997</v>
      </c>
      <c r="CV25" s="3">
        <f>CU25/1000</f>
        <v>22586.855459999999</v>
      </c>
      <c r="CX25" s="128">
        <v>22026137.59</v>
      </c>
      <c r="CY25" s="3">
        <v>245745.56</v>
      </c>
      <c r="CZ25" s="3">
        <v>0</v>
      </c>
      <c r="DA25" s="128">
        <v>0</v>
      </c>
      <c r="DB25" s="3">
        <f>CX25-CY25-CZ25+DA25</f>
        <v>21780392.030000001</v>
      </c>
      <c r="DC25" s="3">
        <f>DB25/1000</f>
        <v>21780.392030000003</v>
      </c>
      <c r="DE25" s="3">
        <v>20985380.149999995</v>
      </c>
      <c r="DF25" s="3">
        <v>773932.62999999989</v>
      </c>
      <c r="DG25" s="3">
        <v>0</v>
      </c>
      <c r="DH25" s="3">
        <v>0</v>
      </c>
      <c r="DI25" s="3">
        <f t="shared" si="14"/>
        <v>20211447.519999996</v>
      </c>
      <c r="DJ25" s="3">
        <f t="shared" si="15"/>
        <v>20211.447519999994</v>
      </c>
    </row>
    <row r="26" spans="1:114">
      <c r="A26" s="1" t="s">
        <v>18</v>
      </c>
      <c r="B26" s="14">
        <v>137801</v>
      </c>
      <c r="C26" s="14">
        <v>140547</v>
      </c>
      <c r="D26" s="14">
        <v>158258.00561999998</v>
      </c>
      <c r="E26" s="14">
        <v>175228.43623000002</v>
      </c>
      <c r="F26" s="14">
        <v>184380.83917000005</v>
      </c>
      <c r="G26" s="14">
        <v>184848.13799000002</v>
      </c>
      <c r="H26" s="14">
        <v>181531.80219999995</v>
      </c>
      <c r="I26" s="14">
        <v>181875.71985000008</v>
      </c>
      <c r="J26" s="14">
        <v>180670.65906000003</v>
      </c>
      <c r="K26" s="14">
        <v>177411.11211000002</v>
      </c>
      <c r="L26" s="240">
        <f>(K26-J26)*100/J26</f>
        <v>-1.8041374105562624</v>
      </c>
      <c r="M26" s="48">
        <f t="shared" si="11"/>
        <v>29.636918083644712</v>
      </c>
      <c r="N26" s="14">
        <v>44168</v>
      </c>
      <c r="O26" s="14">
        <v>47264</v>
      </c>
      <c r="P26" s="14">
        <v>52376</v>
      </c>
      <c r="Q26" s="27">
        <v>57089</v>
      </c>
      <c r="R26" s="27">
        <v>64880</v>
      </c>
      <c r="S26" s="27">
        <v>71405</v>
      </c>
      <c r="T26" s="27">
        <v>77883</v>
      </c>
      <c r="U26" s="27">
        <v>81808</v>
      </c>
      <c r="V26" s="27">
        <v>86842</v>
      </c>
      <c r="W26" s="27">
        <v>92867</v>
      </c>
      <c r="X26" s="14">
        <f>101340.503-897.475</f>
        <v>100443.02799999999</v>
      </c>
      <c r="Y26" s="27">
        <v>103451</v>
      </c>
      <c r="Z26" s="14">
        <v>108332</v>
      </c>
      <c r="AA26" s="14">
        <v>103838</v>
      </c>
      <c r="AB26" s="14">
        <v>109117</v>
      </c>
      <c r="AC26" s="14">
        <v>113775</v>
      </c>
      <c r="AD26" s="14">
        <v>121499</v>
      </c>
      <c r="AE26" s="3">
        <v>131400.05176999999</v>
      </c>
      <c r="AF26" s="14">
        <v>136852.30622</v>
      </c>
      <c r="AG26" s="128">
        <v>132637134.61999999</v>
      </c>
      <c r="AH26" s="128">
        <v>1237082.8500000001</v>
      </c>
      <c r="AI26" s="128">
        <v>0</v>
      </c>
      <c r="AJ26" s="128">
        <v>0</v>
      </c>
      <c r="AK26" s="3">
        <f>AG26-AH26-AI26+AJ26</f>
        <v>131400051.77</v>
      </c>
      <c r="AL26" s="3">
        <f>AK26/1000</f>
        <v>131400.05176999999</v>
      </c>
      <c r="AN26" s="3">
        <v>138520807.71999994</v>
      </c>
      <c r="AO26" s="3">
        <v>1668501.5</v>
      </c>
      <c r="AP26" s="3">
        <v>0</v>
      </c>
      <c r="AQ26" s="3">
        <v>0</v>
      </c>
      <c r="AR26" s="3">
        <f t="shared" si="12"/>
        <v>136852306.21999994</v>
      </c>
      <c r="AS26" s="3">
        <f t="shared" si="13"/>
        <v>136852.30621999994</v>
      </c>
      <c r="AT26" s="3">
        <v>139046609</v>
      </c>
      <c r="AU26" s="92">
        <v>1245668.07</v>
      </c>
      <c r="AV26" s="41">
        <v>0</v>
      </c>
      <c r="AW26" s="41">
        <v>0</v>
      </c>
      <c r="AX26" s="3">
        <f>AT26-AU26-AV26+AW26</f>
        <v>137800940.93000001</v>
      </c>
      <c r="AY26" s="3">
        <f>AX26/1000</f>
        <v>137800.94093000001</v>
      </c>
      <c r="BA26" s="3">
        <v>142327929</v>
      </c>
      <c r="BB26" s="92">
        <v>1781024.58</v>
      </c>
      <c r="BC26" s="41">
        <v>0</v>
      </c>
      <c r="BD26" s="41">
        <v>0</v>
      </c>
      <c r="BE26" s="3">
        <f>BA26-BB26-BC26+BD26</f>
        <v>140546904.41999999</v>
      </c>
      <c r="BF26" s="3">
        <f>BE26/1000</f>
        <v>140546.90441999998</v>
      </c>
      <c r="BH26" s="237">
        <v>160758235.91999999</v>
      </c>
      <c r="BI26" s="92">
        <v>2500230.2999999998</v>
      </c>
      <c r="BJ26" s="41">
        <v>0</v>
      </c>
      <c r="BK26" s="41">
        <v>0</v>
      </c>
      <c r="BL26" s="3">
        <f>BH26-BI26-BJ26+BK26</f>
        <v>158258005.61999997</v>
      </c>
      <c r="BM26" s="3">
        <f>BL26/1000</f>
        <v>158258.00561999998</v>
      </c>
      <c r="BO26" s="3">
        <v>177649225.46000001</v>
      </c>
      <c r="BP26" s="3">
        <v>2420789.23</v>
      </c>
      <c r="BQ26" s="3">
        <v>0</v>
      </c>
      <c r="BR26" s="3">
        <v>0</v>
      </c>
      <c r="BS26" s="3">
        <f>BO26-BP26-BQ26+BR26</f>
        <v>175228436.23000002</v>
      </c>
      <c r="BT26" s="3">
        <f>BS26/1000</f>
        <v>175228.43623000002</v>
      </c>
      <c r="BV26" s="3">
        <v>186642925.91000006</v>
      </c>
      <c r="BW26" s="3">
        <v>2262086.7400000002</v>
      </c>
      <c r="BX26" s="3">
        <v>0</v>
      </c>
      <c r="BY26" s="3">
        <v>0</v>
      </c>
      <c r="BZ26" s="3">
        <f>BV26-BW26-BX26+BY26</f>
        <v>184380839.17000005</v>
      </c>
      <c r="CA26" s="3">
        <f>BZ26/1000</f>
        <v>184380.83917000005</v>
      </c>
      <c r="CC26" s="3">
        <v>186876061.03</v>
      </c>
      <c r="CD26" s="3">
        <v>2027923.0399999998</v>
      </c>
      <c r="CE26" s="3">
        <v>0</v>
      </c>
      <c r="CF26" s="3">
        <v>0</v>
      </c>
      <c r="CG26" s="3">
        <f>CC26-CD26-CE26+CF26</f>
        <v>184848137.99000001</v>
      </c>
      <c r="CH26" s="3">
        <f>CG26/1000</f>
        <v>184848.13799000002</v>
      </c>
      <c r="CJ26" s="128">
        <v>183326294.46999997</v>
      </c>
      <c r="CK26" s="3">
        <v>1794492.27</v>
      </c>
      <c r="CL26" s="3">
        <v>0</v>
      </c>
      <c r="CM26" s="128">
        <v>0</v>
      </c>
      <c r="CN26" s="3">
        <f>CJ26-CK26-CL26+CM26</f>
        <v>181531802.19999996</v>
      </c>
      <c r="CO26" s="3">
        <f>CN26/1000</f>
        <v>181531.80219999995</v>
      </c>
      <c r="CQ26" s="128">
        <v>183495980.86000007</v>
      </c>
      <c r="CR26" s="3">
        <v>1620261.01</v>
      </c>
      <c r="CS26" s="3">
        <v>0</v>
      </c>
      <c r="CT26" s="128">
        <v>0</v>
      </c>
      <c r="CU26" s="3">
        <f>CQ26-CR26-CS26+CT26</f>
        <v>181875719.85000008</v>
      </c>
      <c r="CV26" s="3">
        <f>CU26/1000</f>
        <v>181875.71985000008</v>
      </c>
      <c r="CX26" s="128">
        <v>182161141.79000002</v>
      </c>
      <c r="CY26" s="3">
        <v>1490482.73</v>
      </c>
      <c r="CZ26" s="3">
        <v>0</v>
      </c>
      <c r="DA26" s="128">
        <v>0</v>
      </c>
      <c r="DB26" s="3">
        <f>CX26-CY26-CZ26+DA26</f>
        <v>180670659.06000003</v>
      </c>
      <c r="DC26" s="3">
        <f>DB26/1000</f>
        <v>180670.65906000003</v>
      </c>
      <c r="DE26" s="3">
        <v>178461144.79000002</v>
      </c>
      <c r="DF26" s="3">
        <v>1050032.6800000002</v>
      </c>
      <c r="DG26" s="3">
        <v>0</v>
      </c>
      <c r="DH26" s="3">
        <v>0</v>
      </c>
      <c r="DI26" s="3">
        <f t="shared" si="14"/>
        <v>177411112.11000001</v>
      </c>
      <c r="DJ26" s="3">
        <f t="shared" si="15"/>
        <v>177411.11211000002</v>
      </c>
    </row>
    <row r="27" spans="1:114">
      <c r="A27" s="1" t="s">
        <v>19</v>
      </c>
      <c r="B27" s="14">
        <v>205744</v>
      </c>
      <c r="C27" s="14">
        <v>217697</v>
      </c>
      <c r="D27" s="14">
        <v>232223.33193000001</v>
      </c>
      <c r="E27" s="14">
        <v>246371.39059</v>
      </c>
      <c r="F27" s="14">
        <v>277522.41922000004</v>
      </c>
      <c r="G27" s="14">
        <v>296826.5013</v>
      </c>
      <c r="H27" s="14">
        <v>300815.11091999995</v>
      </c>
      <c r="I27" s="14">
        <v>308561.38005000004</v>
      </c>
      <c r="J27" s="14">
        <v>307759.04584999994</v>
      </c>
      <c r="K27" s="14">
        <v>315655.36480999994</v>
      </c>
      <c r="L27" s="240">
        <f>(K27-J27)*100/J27</f>
        <v>2.56574715397598</v>
      </c>
      <c r="M27" s="48">
        <f t="shared" si="11"/>
        <v>67.835896009244195</v>
      </c>
      <c r="N27" s="14">
        <v>48458</v>
      </c>
      <c r="O27" s="14">
        <v>51629</v>
      </c>
      <c r="P27" s="14">
        <v>58343</v>
      </c>
      <c r="Q27" s="27">
        <v>64954</v>
      </c>
      <c r="R27" s="27">
        <v>74670</v>
      </c>
      <c r="S27" s="27">
        <v>84775</v>
      </c>
      <c r="T27" s="27">
        <v>95071</v>
      </c>
      <c r="U27" s="27">
        <v>96051</v>
      </c>
      <c r="V27" s="27">
        <v>98587</v>
      </c>
      <c r="W27" s="27">
        <v>105235</v>
      </c>
      <c r="X27" s="14">
        <f>117927.044-1706.667</f>
        <v>116220.37699999999</v>
      </c>
      <c r="Y27" s="27">
        <v>124475</v>
      </c>
      <c r="Z27" s="14">
        <v>128879</v>
      </c>
      <c r="AA27" s="14">
        <v>121531</v>
      </c>
      <c r="AB27" s="14">
        <v>131497</v>
      </c>
      <c r="AC27" s="14">
        <v>145694</v>
      </c>
      <c r="AD27" s="14">
        <v>165835</v>
      </c>
      <c r="AE27" s="3">
        <v>180006.04632000002</v>
      </c>
      <c r="AF27" s="14">
        <v>188073.81038000001</v>
      </c>
      <c r="AG27" s="128">
        <v>181318699.91000003</v>
      </c>
      <c r="AH27" s="128">
        <v>1302675.26</v>
      </c>
      <c r="AI27" s="128">
        <v>9978.33</v>
      </c>
      <c r="AJ27" s="128">
        <v>0</v>
      </c>
      <c r="AK27" s="3">
        <f>AG27-AH27-AI27+AJ27</f>
        <v>180006046.32000002</v>
      </c>
      <c r="AL27" s="3">
        <f>AK27/1000</f>
        <v>180006.04632000002</v>
      </c>
      <c r="AN27" s="3">
        <v>188363153.51000011</v>
      </c>
      <c r="AO27" s="3">
        <v>289343.13</v>
      </c>
      <c r="AP27" s="3">
        <v>0</v>
      </c>
      <c r="AQ27" s="3">
        <v>0</v>
      </c>
      <c r="AR27" s="3">
        <f t="shared" si="12"/>
        <v>188073810.38000011</v>
      </c>
      <c r="AS27" s="3">
        <f t="shared" si="13"/>
        <v>188073.81038000013</v>
      </c>
      <c r="AT27" s="3">
        <v>205907268</v>
      </c>
      <c r="AU27" s="92">
        <v>163328.54</v>
      </c>
      <c r="AV27" s="41">
        <v>0</v>
      </c>
      <c r="AW27" s="41">
        <v>0</v>
      </c>
      <c r="AX27" s="3">
        <f>AT27-AU27-AV27+AW27</f>
        <v>205743939.46000001</v>
      </c>
      <c r="AY27" s="3">
        <f>AX27/1000</f>
        <v>205743.93945999999</v>
      </c>
      <c r="BA27" s="3">
        <v>218242390</v>
      </c>
      <c r="BB27" s="92">
        <v>545040.97</v>
      </c>
      <c r="BC27" s="41">
        <v>0</v>
      </c>
      <c r="BD27" s="41">
        <v>0</v>
      </c>
      <c r="BE27" s="3">
        <f>BA27-BB27-BC27+BD27</f>
        <v>217697349.03</v>
      </c>
      <c r="BF27" s="3">
        <f>BE27/1000</f>
        <v>217697.34903000001</v>
      </c>
      <c r="BH27" s="237">
        <v>232519301.18000001</v>
      </c>
      <c r="BI27" s="92">
        <v>295969.25</v>
      </c>
      <c r="BJ27" s="41">
        <v>0</v>
      </c>
      <c r="BK27" s="41">
        <v>0</v>
      </c>
      <c r="BL27" s="3">
        <f>BH27-BI27-BJ27+BK27</f>
        <v>232223331.93000001</v>
      </c>
      <c r="BM27" s="3">
        <f>BL27/1000</f>
        <v>232223.33193000001</v>
      </c>
      <c r="BO27" s="3">
        <v>246770171.62</v>
      </c>
      <c r="BP27" s="3">
        <v>398781.03</v>
      </c>
      <c r="BQ27" s="3">
        <v>0</v>
      </c>
      <c r="BR27" s="3">
        <v>0</v>
      </c>
      <c r="BS27" s="3">
        <f>BO27-BP27-BQ27+BR27</f>
        <v>246371390.59</v>
      </c>
      <c r="BT27" s="3">
        <f>BS27/1000</f>
        <v>246371.39059</v>
      </c>
      <c r="BV27" s="3">
        <v>277987022.22000003</v>
      </c>
      <c r="BW27" s="3">
        <v>464603</v>
      </c>
      <c r="BX27" s="3">
        <v>0</v>
      </c>
      <c r="BY27" s="3">
        <v>0</v>
      </c>
      <c r="BZ27" s="3">
        <f>BV27-BW27-BX27+BY27</f>
        <v>277522419.22000003</v>
      </c>
      <c r="CA27" s="3">
        <f>BZ27/1000</f>
        <v>277522.41922000004</v>
      </c>
      <c r="CC27" s="3">
        <v>297295709.81</v>
      </c>
      <c r="CD27" s="3">
        <v>469208.51</v>
      </c>
      <c r="CE27" s="3">
        <v>0</v>
      </c>
      <c r="CF27" s="3">
        <v>0</v>
      </c>
      <c r="CG27" s="3">
        <f>CC27-CD27-CE27+CF27</f>
        <v>296826501.30000001</v>
      </c>
      <c r="CH27" s="3">
        <f>CG27/1000</f>
        <v>296826.5013</v>
      </c>
      <c r="CJ27" s="128">
        <v>301182214.41999996</v>
      </c>
      <c r="CK27" s="3">
        <v>367103.5</v>
      </c>
      <c r="CL27" s="3">
        <v>0</v>
      </c>
      <c r="CM27" s="128">
        <v>0</v>
      </c>
      <c r="CN27" s="3">
        <f>CJ27-CK27-CL27+CM27</f>
        <v>300815110.91999996</v>
      </c>
      <c r="CO27" s="3">
        <f>CN27/1000</f>
        <v>300815.11091999995</v>
      </c>
      <c r="CQ27" s="128">
        <v>308758591.05000001</v>
      </c>
      <c r="CR27" s="3">
        <v>197211</v>
      </c>
      <c r="CS27" s="3">
        <v>0</v>
      </c>
      <c r="CT27" s="128">
        <v>0</v>
      </c>
      <c r="CU27" s="3">
        <f>CQ27-CR27-CS27+CT27</f>
        <v>308561380.05000001</v>
      </c>
      <c r="CV27" s="3">
        <f>CU27/1000</f>
        <v>308561.38005000004</v>
      </c>
      <c r="CX27" s="128">
        <v>307974318.89999998</v>
      </c>
      <c r="CY27" s="3">
        <v>215273.05</v>
      </c>
      <c r="CZ27" s="3">
        <v>0</v>
      </c>
      <c r="DA27" s="128">
        <v>0</v>
      </c>
      <c r="DB27" s="3">
        <f>CX27-CY27-CZ27+DA27</f>
        <v>307759045.84999996</v>
      </c>
      <c r="DC27" s="3">
        <f>DB27/1000</f>
        <v>307759.04584999994</v>
      </c>
      <c r="DE27" s="3">
        <v>316002036.60999995</v>
      </c>
      <c r="DF27" s="3">
        <v>346671.8</v>
      </c>
      <c r="DG27" s="3">
        <v>0</v>
      </c>
      <c r="DH27" s="3">
        <v>0</v>
      </c>
      <c r="DI27" s="3">
        <f t="shared" si="14"/>
        <v>315655364.80999994</v>
      </c>
      <c r="DJ27" s="3">
        <f t="shared" si="15"/>
        <v>315655.36480999994</v>
      </c>
    </row>
    <row r="28" spans="1:114">
      <c r="A28" s="1" t="s">
        <v>20</v>
      </c>
      <c r="B28" s="14">
        <v>10719</v>
      </c>
      <c r="C28" s="14">
        <v>10855</v>
      </c>
      <c r="D28" s="14">
        <v>11178.051170000001</v>
      </c>
      <c r="E28" s="14">
        <v>11726.429449999998</v>
      </c>
      <c r="F28" s="14">
        <v>11256.563829999997</v>
      </c>
      <c r="G28" s="14">
        <v>12563.12437</v>
      </c>
      <c r="H28" s="14">
        <v>12277.853849999998</v>
      </c>
      <c r="I28" s="14">
        <v>12185.059080000003</v>
      </c>
      <c r="J28" s="14">
        <v>11434.247359999999</v>
      </c>
      <c r="K28" s="14">
        <v>11299.472229999996</v>
      </c>
      <c r="L28" s="240">
        <f>(K28-J28)*100/J28</f>
        <v>-1.1786969947097912</v>
      </c>
      <c r="M28" s="48">
        <f t="shared" si="11"/>
        <v>-2.5710753232227508</v>
      </c>
      <c r="N28" s="14">
        <v>4120</v>
      </c>
      <c r="O28" s="14">
        <v>4188</v>
      </c>
      <c r="P28" s="27">
        <v>4499</v>
      </c>
      <c r="Q28" s="27">
        <v>4938</v>
      </c>
      <c r="R28" s="27">
        <v>5754</v>
      </c>
      <c r="S28" s="27">
        <v>6502</v>
      </c>
      <c r="T28" s="27">
        <v>7264</v>
      </c>
      <c r="U28" s="27">
        <v>7214</v>
      </c>
      <c r="V28" s="27">
        <v>7360</v>
      </c>
      <c r="W28" s="27">
        <v>8193</v>
      </c>
      <c r="X28" s="206">
        <f>9079.919-170.37</f>
        <v>8909.5489999999991</v>
      </c>
      <c r="Y28" s="27">
        <v>9233</v>
      </c>
      <c r="Z28" s="14">
        <v>9652</v>
      </c>
      <c r="AA28" s="3">
        <v>9923</v>
      </c>
      <c r="AB28" s="14">
        <v>9519</v>
      </c>
      <c r="AC28" s="14">
        <v>9892</v>
      </c>
      <c r="AD28" s="14">
        <v>11011</v>
      </c>
      <c r="AE28" s="3">
        <v>11520.955089999994</v>
      </c>
      <c r="AF28" s="14">
        <v>11597.656720000001</v>
      </c>
      <c r="AG28" s="128">
        <v>12140895.739999995</v>
      </c>
      <c r="AH28" s="128">
        <v>481084.99</v>
      </c>
      <c r="AI28" s="128">
        <v>127560.25</v>
      </c>
      <c r="AJ28" s="128">
        <v>2900.34</v>
      </c>
      <c r="AK28" s="3">
        <f>AG28-AH28-AI28+AJ28</f>
        <v>11535150.839999994</v>
      </c>
      <c r="AL28" s="3">
        <f>AK28/1000</f>
        <v>11535.150839999995</v>
      </c>
      <c r="AN28" s="3">
        <v>12074727.020000001</v>
      </c>
      <c r="AO28" s="3">
        <v>321286.76</v>
      </c>
      <c r="AP28" s="3">
        <v>159654.54</v>
      </c>
      <c r="AQ28" s="3">
        <v>3871</v>
      </c>
      <c r="AR28" s="3">
        <f t="shared" si="12"/>
        <v>11597656.720000003</v>
      </c>
      <c r="AS28" s="3">
        <f t="shared" si="13"/>
        <v>11597.656720000003</v>
      </c>
      <c r="AT28" s="3">
        <v>11149403</v>
      </c>
      <c r="AU28" s="92">
        <v>290219.18</v>
      </c>
      <c r="AV28" s="41">
        <v>141718.23000000001</v>
      </c>
      <c r="AW28" s="41">
        <v>1969.11</v>
      </c>
      <c r="AX28" s="3">
        <f>AT28-AU28-AV28+AW28</f>
        <v>10719434.699999999</v>
      </c>
      <c r="AY28" s="3">
        <f>AX28/1000</f>
        <v>10719.4347</v>
      </c>
      <c r="BA28" s="3">
        <v>11233051</v>
      </c>
      <c r="BB28" s="92">
        <v>255045.23</v>
      </c>
      <c r="BC28" s="41">
        <v>125034.32</v>
      </c>
      <c r="BD28" s="41">
        <v>1981.9</v>
      </c>
      <c r="BE28" s="3">
        <f>BA28-BB28-BC28+BD28</f>
        <v>10854953.35</v>
      </c>
      <c r="BF28" s="3">
        <f>BE28/1000</f>
        <v>10854.95335</v>
      </c>
      <c r="BH28" s="237">
        <v>11632005.84</v>
      </c>
      <c r="BI28" s="92">
        <v>288478.03000000003</v>
      </c>
      <c r="BJ28" s="41">
        <v>165476.64000000001</v>
      </c>
      <c r="BK28" s="41">
        <v>0</v>
      </c>
      <c r="BL28" s="3">
        <f>BH28-BI28-BJ28+BK28</f>
        <v>11178051.17</v>
      </c>
      <c r="BM28" s="3">
        <f>BL28/1000</f>
        <v>11178.051170000001</v>
      </c>
      <c r="BO28" s="3">
        <v>12131195.269999998</v>
      </c>
      <c r="BP28" s="3">
        <v>210226.31</v>
      </c>
      <c r="BQ28" s="3">
        <v>194539.51</v>
      </c>
      <c r="BR28" s="3">
        <v>0</v>
      </c>
      <c r="BS28" s="3">
        <f>BO28-BP28-BQ28+BR28</f>
        <v>11726429.449999997</v>
      </c>
      <c r="BT28" s="3">
        <f>BS28/1000</f>
        <v>11726.429449999998</v>
      </c>
      <c r="BV28" s="3">
        <v>11681070.729999999</v>
      </c>
      <c r="BW28" s="3">
        <v>77634.47</v>
      </c>
      <c r="BX28" s="3">
        <v>346872.43</v>
      </c>
      <c r="BY28" s="3">
        <v>0</v>
      </c>
      <c r="BZ28" s="3">
        <f>BV28-BW28-BX28+BY28</f>
        <v>11256563.829999998</v>
      </c>
      <c r="CA28" s="3">
        <f>BZ28/1000</f>
        <v>11256.563829999997</v>
      </c>
      <c r="CC28" s="3">
        <v>12968202.01</v>
      </c>
      <c r="CD28" s="3">
        <v>381475.97000000003</v>
      </c>
      <c r="CE28" s="3">
        <v>23601.67</v>
      </c>
      <c r="CF28" s="3">
        <v>0</v>
      </c>
      <c r="CG28" s="3">
        <f>CC28-CD28-CE28+CF28</f>
        <v>12563124.369999999</v>
      </c>
      <c r="CH28" s="3">
        <f>CG28/1000</f>
        <v>12563.12437</v>
      </c>
      <c r="CJ28" s="128">
        <v>13527778.119999997</v>
      </c>
      <c r="CK28" s="3">
        <v>1249924.27</v>
      </c>
      <c r="CL28" s="3">
        <v>0</v>
      </c>
      <c r="CM28" s="128">
        <v>0</v>
      </c>
      <c r="CN28" s="3">
        <f>CJ28-CK28-CL28+CM28</f>
        <v>12277853.849999998</v>
      </c>
      <c r="CO28" s="3">
        <f>CN28/1000</f>
        <v>12277.853849999998</v>
      </c>
      <c r="CQ28" s="128">
        <v>12390370.060000002</v>
      </c>
      <c r="CR28" s="3">
        <v>205310.98</v>
      </c>
      <c r="CS28" s="3">
        <v>0</v>
      </c>
      <c r="CT28" s="128">
        <v>0</v>
      </c>
      <c r="CU28" s="3">
        <f>CQ28-CR28-CS28+CT28</f>
        <v>12185059.080000002</v>
      </c>
      <c r="CV28" s="3">
        <f>CU28/1000</f>
        <v>12185.059080000003</v>
      </c>
      <c r="CX28" s="128">
        <v>11613190.559999999</v>
      </c>
      <c r="CY28" s="3">
        <v>178943.2</v>
      </c>
      <c r="CZ28" s="3">
        <v>0</v>
      </c>
      <c r="DA28" s="128">
        <v>0</v>
      </c>
      <c r="DB28" s="3">
        <f>CX28-CY28-CZ28+DA28</f>
        <v>11434247.359999999</v>
      </c>
      <c r="DC28" s="3">
        <f>DB28/1000</f>
        <v>11434.247359999999</v>
      </c>
      <c r="DE28" s="3">
        <v>11475788.639999995</v>
      </c>
      <c r="DF28" s="3">
        <v>176316.41</v>
      </c>
      <c r="DG28" s="3">
        <v>0</v>
      </c>
      <c r="DH28" s="3">
        <v>0</v>
      </c>
      <c r="DI28" s="3">
        <f t="shared" si="14"/>
        <v>11299472.229999995</v>
      </c>
      <c r="DJ28" s="3">
        <f t="shared" si="15"/>
        <v>11299.472229999996</v>
      </c>
    </row>
    <row r="29" spans="1:114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48"/>
      <c r="M29" s="48"/>
      <c r="N29" s="14"/>
      <c r="O29" s="14"/>
      <c r="Q29" s="27"/>
      <c r="R29" s="27"/>
      <c r="S29" s="27"/>
      <c r="T29" s="27"/>
      <c r="U29" s="27"/>
      <c r="V29" s="27"/>
      <c r="W29" s="27"/>
      <c r="X29" s="206"/>
      <c r="Y29" s="27"/>
      <c r="Z29" s="14"/>
      <c r="AA29" s="3"/>
      <c r="AB29" s="14"/>
      <c r="AC29" s="14"/>
      <c r="AD29" s="14"/>
      <c r="AE29" s="3"/>
      <c r="AF29" s="14"/>
      <c r="AG29" s="128"/>
      <c r="AH29" s="128"/>
      <c r="AI29" s="128"/>
      <c r="AJ29" s="128"/>
      <c r="AK29" s="3"/>
      <c r="AU29" s="92"/>
      <c r="AV29" s="41"/>
      <c r="AW29" s="41"/>
      <c r="BB29" s="92"/>
      <c r="BC29" s="41"/>
      <c r="BD29" s="41"/>
      <c r="BH29" s="237"/>
      <c r="BI29" s="92"/>
      <c r="BJ29" s="41"/>
      <c r="BK29" s="41"/>
      <c r="CJ29" s="128"/>
      <c r="CM29" s="128"/>
      <c r="CQ29" s="128"/>
      <c r="CT29" s="128"/>
      <c r="CX29" s="128"/>
      <c r="DA29" s="128"/>
    </row>
    <row r="30" spans="1:114">
      <c r="A30" s="1" t="s">
        <v>21</v>
      </c>
      <c r="B30" s="14">
        <v>689923</v>
      </c>
      <c r="C30" s="14">
        <v>729785</v>
      </c>
      <c r="D30" s="14">
        <v>768555.76543999976</v>
      </c>
      <c r="E30" s="14">
        <v>812262.62257999997</v>
      </c>
      <c r="F30" s="14">
        <v>846094.96300000022</v>
      </c>
      <c r="G30" s="14">
        <v>877101.68986000004</v>
      </c>
      <c r="H30" s="14">
        <v>887835.34527999989</v>
      </c>
      <c r="I30" s="14">
        <v>859736.10635999998</v>
      </c>
      <c r="J30" s="14">
        <v>844524.01200999995</v>
      </c>
      <c r="K30" s="14">
        <v>865943.88330999971</v>
      </c>
      <c r="L30" s="240">
        <f>(K30-J30)*100/J30</f>
        <v>2.5363247220194061</v>
      </c>
      <c r="M30" s="48">
        <f t="shared" si="11"/>
        <v>29.048115036806301</v>
      </c>
      <c r="N30" s="14">
        <v>219807</v>
      </c>
      <c r="O30" s="14">
        <v>233258</v>
      </c>
      <c r="P30" s="27">
        <v>254035</v>
      </c>
      <c r="Q30" s="27">
        <v>282067</v>
      </c>
      <c r="R30" s="27">
        <v>314894</v>
      </c>
      <c r="S30" s="27">
        <v>354148</v>
      </c>
      <c r="T30" s="27">
        <v>386336</v>
      </c>
      <c r="U30" s="27">
        <v>388791</v>
      </c>
      <c r="V30" s="27">
        <v>400425</v>
      </c>
      <c r="W30" s="27">
        <v>414618</v>
      </c>
      <c r="X30" s="206">
        <f>440555.096-3146.236</f>
        <v>437408.86000000004</v>
      </c>
      <c r="Y30" s="27">
        <v>458841</v>
      </c>
      <c r="Z30" s="14">
        <v>476703</v>
      </c>
      <c r="AA30" s="3">
        <v>447377</v>
      </c>
      <c r="AB30" s="14">
        <v>479671</v>
      </c>
      <c r="AC30" s="14">
        <v>517344</v>
      </c>
      <c r="AD30" s="14">
        <v>578108</v>
      </c>
      <c r="AE30" s="3">
        <v>634442.43165999989</v>
      </c>
      <c r="AF30" s="14">
        <v>671024.04639000003</v>
      </c>
      <c r="AG30" s="128">
        <v>641471701.74999988</v>
      </c>
      <c r="AH30" s="128">
        <v>3417856.73</v>
      </c>
      <c r="AI30" s="128">
        <v>3354734.61</v>
      </c>
      <c r="AJ30" s="128">
        <v>4482</v>
      </c>
      <c r="AK30" s="3">
        <f>AG30-AH30-AI30+AJ30</f>
        <v>634703592.40999985</v>
      </c>
      <c r="AL30" s="3">
        <f t="shared" ref="AL30:AL34" si="16">AK30/1000</f>
        <v>634703.59240999981</v>
      </c>
      <c r="AN30" s="3">
        <v>677117955.08999968</v>
      </c>
      <c r="AO30" s="3">
        <v>2930338.28</v>
      </c>
      <c r="AP30" s="3">
        <v>3164594.42</v>
      </c>
      <c r="AQ30" s="3">
        <v>1024</v>
      </c>
      <c r="AR30" s="3">
        <f t="shared" si="12"/>
        <v>671024046.38999975</v>
      </c>
      <c r="AS30" s="3">
        <f t="shared" si="13"/>
        <v>671024.0463899998</v>
      </c>
      <c r="AT30" s="3">
        <v>696341947</v>
      </c>
      <c r="AU30" s="92">
        <v>2746310.46</v>
      </c>
      <c r="AV30" s="41">
        <v>3682486.75</v>
      </c>
      <c r="AW30" s="41">
        <v>9569.07</v>
      </c>
      <c r="AX30" s="3">
        <f>AT30-AU30-AV30+AW30</f>
        <v>689922718.86000001</v>
      </c>
      <c r="AY30" s="3">
        <f t="shared" ref="AY30:AY39" si="17">AX30/1000</f>
        <v>689922.71886000002</v>
      </c>
      <c r="BA30" s="3">
        <v>735765269</v>
      </c>
      <c r="BB30" s="92">
        <v>3755068.22</v>
      </c>
      <c r="BC30" s="41">
        <v>2226644.8199999998</v>
      </c>
      <c r="BD30" s="41">
        <v>1358</v>
      </c>
      <c r="BE30" s="3">
        <f>BA30-BB30-BC30+BD30</f>
        <v>729784913.95999992</v>
      </c>
      <c r="BF30" s="3">
        <f t="shared" ref="BF30:BF39" si="18">BE30/1000</f>
        <v>729784.91395999992</v>
      </c>
      <c r="BH30" s="237">
        <v>773637207.56999969</v>
      </c>
      <c r="BI30" s="92">
        <v>3765423.06</v>
      </c>
      <c r="BJ30" s="41">
        <v>1316019.07</v>
      </c>
      <c r="BK30" s="41">
        <v>0</v>
      </c>
      <c r="BL30" s="3">
        <f>BH30-BI30-BJ30+BK30</f>
        <v>768555765.4399997</v>
      </c>
      <c r="BM30" s="3">
        <f t="shared" ref="BM30:BM39" si="19">BL30/1000</f>
        <v>768555.76543999976</v>
      </c>
      <c r="BO30" s="3">
        <v>816133160.26999998</v>
      </c>
      <c r="BP30" s="3">
        <v>3870537.69</v>
      </c>
      <c r="BQ30" s="3">
        <v>0</v>
      </c>
      <c r="BR30" s="3">
        <v>0</v>
      </c>
      <c r="BS30" s="3">
        <f>BO30-BP30-BQ30+BR30</f>
        <v>812262622.57999992</v>
      </c>
      <c r="BT30" s="3">
        <f t="shared" ref="BT30:BT39" si="20">BS30/1000</f>
        <v>812262.62257999997</v>
      </c>
      <c r="BV30" s="3">
        <v>849866942.40000021</v>
      </c>
      <c r="BW30" s="3">
        <v>3771979.4</v>
      </c>
      <c r="BX30" s="3">
        <v>0</v>
      </c>
      <c r="BY30" s="3">
        <v>0</v>
      </c>
      <c r="BZ30" s="3">
        <f>BV30-BW30-BX30+BY30</f>
        <v>846094963.00000024</v>
      </c>
      <c r="CA30" s="3">
        <f t="shared" ref="CA30:CA39" si="21">BZ30/1000</f>
        <v>846094.96300000022</v>
      </c>
      <c r="CC30" s="3">
        <v>880301306.23000002</v>
      </c>
      <c r="CD30" s="3">
        <v>3199616.3699999996</v>
      </c>
      <c r="CE30" s="3">
        <v>0</v>
      </c>
      <c r="CF30" s="3">
        <v>0</v>
      </c>
      <c r="CG30" s="3">
        <f>CC30-CD30-CE30+CF30</f>
        <v>877101689.86000001</v>
      </c>
      <c r="CH30" s="3">
        <f>CG30/1000</f>
        <v>877101.68986000004</v>
      </c>
      <c r="CJ30" s="128">
        <v>890031987.91999984</v>
      </c>
      <c r="CK30" s="3">
        <v>2196642.64</v>
      </c>
      <c r="CL30" s="3">
        <v>0</v>
      </c>
      <c r="CM30" s="128">
        <v>0</v>
      </c>
      <c r="CN30" s="3">
        <f>CJ30-CK30-CL30+CM30</f>
        <v>887835345.27999985</v>
      </c>
      <c r="CO30" s="3">
        <f>CN30/1000</f>
        <v>887835.34527999989</v>
      </c>
      <c r="CQ30" s="128">
        <v>862240839.87</v>
      </c>
      <c r="CR30" s="3">
        <v>2504733.5099999998</v>
      </c>
      <c r="CS30" s="3">
        <v>0</v>
      </c>
      <c r="CT30" s="128">
        <v>0</v>
      </c>
      <c r="CU30" s="3">
        <f>CQ30-CR30-CS30+CT30</f>
        <v>859736106.36000001</v>
      </c>
      <c r="CV30" s="3">
        <f>CU30/1000</f>
        <v>859736.10635999998</v>
      </c>
      <c r="CX30" s="128">
        <v>846360922.53999996</v>
      </c>
      <c r="CY30" s="3">
        <v>1836910.53</v>
      </c>
      <c r="CZ30" s="3">
        <v>0</v>
      </c>
      <c r="DA30" s="128">
        <v>0</v>
      </c>
      <c r="DB30" s="3">
        <f>CX30-CY30-CZ30+DA30</f>
        <v>844524012.00999999</v>
      </c>
      <c r="DC30" s="3">
        <f>DB30/1000</f>
        <v>844524.01200999995</v>
      </c>
      <c r="DE30" s="3">
        <v>868837768.8099997</v>
      </c>
      <c r="DF30" s="3">
        <v>2893885.5000000005</v>
      </c>
      <c r="DG30" s="3">
        <v>0</v>
      </c>
      <c r="DH30" s="3">
        <v>0</v>
      </c>
      <c r="DI30" s="3">
        <f t="shared" si="14"/>
        <v>865943883.3099997</v>
      </c>
      <c r="DJ30" s="3">
        <f t="shared" si="15"/>
        <v>865943.88330999971</v>
      </c>
    </row>
    <row r="31" spans="1:114">
      <c r="A31" s="1" t="s">
        <v>22</v>
      </c>
      <c r="B31" s="14">
        <v>474491</v>
      </c>
      <c r="C31" s="14">
        <v>488866</v>
      </c>
      <c r="D31" s="14">
        <v>527262.15793999995</v>
      </c>
      <c r="E31" s="14">
        <v>582296.55117000022</v>
      </c>
      <c r="F31" s="14">
        <v>676033.3240299999</v>
      </c>
      <c r="G31" s="14">
        <v>667014.04762999993</v>
      </c>
      <c r="H31" s="14">
        <v>655060.29552000004</v>
      </c>
      <c r="I31" s="14">
        <v>629353.60170999996</v>
      </c>
      <c r="J31" s="14">
        <v>572732.3862999999</v>
      </c>
      <c r="K31" s="14">
        <v>598748.4662299999</v>
      </c>
      <c r="L31" s="240">
        <f>(K31-J31)*100/J31</f>
        <v>4.5424495894270356</v>
      </c>
      <c r="M31" s="48">
        <f t="shared" si="11"/>
        <v>22.338491889894666</v>
      </c>
      <c r="N31" s="14">
        <v>175700</v>
      </c>
      <c r="O31" s="14">
        <v>182882</v>
      </c>
      <c r="P31" s="27">
        <v>202841</v>
      </c>
      <c r="Q31" s="27">
        <v>225575</v>
      </c>
      <c r="R31" s="27">
        <v>245693</v>
      </c>
      <c r="S31" s="27">
        <v>264543</v>
      </c>
      <c r="T31" s="27">
        <v>286109</v>
      </c>
      <c r="U31" s="27">
        <v>279605</v>
      </c>
      <c r="V31" s="27">
        <v>296456</v>
      </c>
      <c r="W31" s="27">
        <v>309860</v>
      </c>
      <c r="X31" s="206">
        <f>337049.241-2637.63-237.5</f>
        <v>334174.11099999998</v>
      </c>
      <c r="Y31" s="27">
        <v>347922</v>
      </c>
      <c r="Z31" s="14">
        <v>363060</v>
      </c>
      <c r="AA31" s="3">
        <v>346677</v>
      </c>
      <c r="AB31" s="14">
        <v>374400</v>
      </c>
      <c r="AC31" s="14">
        <v>393581</v>
      </c>
      <c r="AD31" s="14">
        <v>435595</v>
      </c>
      <c r="AE31" s="3">
        <v>460111.61526000005</v>
      </c>
      <c r="AF31" s="14">
        <v>489419.52526999998</v>
      </c>
      <c r="AG31" s="128">
        <v>469195884.62</v>
      </c>
      <c r="AH31" s="164">
        <v>8029214.990000003</v>
      </c>
      <c r="AI31" s="128">
        <v>1023733.22</v>
      </c>
      <c r="AJ31" s="164">
        <v>25736.47</v>
      </c>
      <c r="AK31" s="3">
        <f>AG31-AH31-AI31+AJ31</f>
        <v>460168672.88</v>
      </c>
      <c r="AL31" s="3">
        <f t="shared" si="16"/>
        <v>460168.67287999997</v>
      </c>
      <c r="AN31" s="3">
        <v>493143460.90999991</v>
      </c>
      <c r="AO31" s="3">
        <v>3667497.24</v>
      </c>
      <c r="AP31" s="3">
        <v>61038.149999999994</v>
      </c>
      <c r="AQ31" s="3">
        <v>4599.75</v>
      </c>
      <c r="AR31" s="3">
        <f t="shared" si="12"/>
        <v>489419525.26999992</v>
      </c>
      <c r="AS31" s="3">
        <f t="shared" si="13"/>
        <v>489419.52526999993</v>
      </c>
      <c r="AT31" s="3">
        <v>480985892</v>
      </c>
      <c r="AU31" s="83">
        <v>5467311</v>
      </c>
      <c r="AV31" s="41">
        <v>1027349.63</v>
      </c>
      <c r="AW31" s="83">
        <v>0</v>
      </c>
      <c r="AX31" s="3">
        <f>AT31-AU31-AV31+AW31</f>
        <v>474491231.37</v>
      </c>
      <c r="AY31" s="3">
        <f t="shared" si="17"/>
        <v>474491.23136999999</v>
      </c>
      <c r="BA31" s="3">
        <v>509473463</v>
      </c>
      <c r="BB31" s="83">
        <v>19619347</v>
      </c>
      <c r="BC31" s="41">
        <v>1001095.71</v>
      </c>
      <c r="BD31" s="83">
        <v>12673.79</v>
      </c>
      <c r="BE31" s="3">
        <f>BA31-BB31-BC31+BD31</f>
        <v>488865694.08000004</v>
      </c>
      <c r="BF31" s="3">
        <f t="shared" si="18"/>
        <v>488865.69408000004</v>
      </c>
      <c r="BH31" s="237">
        <v>534355521.46999991</v>
      </c>
      <c r="BI31" s="83">
        <v>5890633.0800000019</v>
      </c>
      <c r="BJ31" s="41">
        <v>1206111.8999999999</v>
      </c>
      <c r="BK31" s="83">
        <v>3381.45</v>
      </c>
      <c r="BL31" s="3">
        <f>BH31-BI31-BJ31+BK31</f>
        <v>527262157.93999994</v>
      </c>
      <c r="BM31" s="3">
        <f t="shared" si="19"/>
        <v>527262.15793999995</v>
      </c>
      <c r="BO31" s="3">
        <v>595629543.96000016</v>
      </c>
      <c r="BP31" s="3">
        <v>12770951.000000004</v>
      </c>
      <c r="BQ31" s="3">
        <v>562041.79</v>
      </c>
      <c r="BR31" s="3">
        <v>0</v>
      </c>
      <c r="BS31" s="3">
        <f>BO31-BP31-BQ31+BR31</f>
        <v>582296551.1700002</v>
      </c>
      <c r="BT31" s="3">
        <f t="shared" si="20"/>
        <v>582296.55117000022</v>
      </c>
      <c r="BV31" s="3">
        <v>690652527.54999983</v>
      </c>
      <c r="BW31" s="3">
        <v>14566550.939999998</v>
      </c>
      <c r="BX31" s="3">
        <v>52652.58</v>
      </c>
      <c r="BY31" s="3">
        <v>0</v>
      </c>
      <c r="BZ31" s="3">
        <f>BV31-BW31-BX31+BY31</f>
        <v>676033324.02999985</v>
      </c>
      <c r="CA31" s="3">
        <f t="shared" si="21"/>
        <v>676033.3240299999</v>
      </c>
      <c r="CC31" s="3">
        <v>669908623.91999996</v>
      </c>
      <c r="CD31" s="3">
        <v>2894157.7</v>
      </c>
      <c r="CE31" s="3">
        <v>418.59</v>
      </c>
      <c r="CF31" s="3">
        <v>0</v>
      </c>
      <c r="CG31" s="3">
        <f>CC31-CD31-CE31+CF31</f>
        <v>667014047.62999988</v>
      </c>
      <c r="CH31" s="3">
        <f>CG31/1000</f>
        <v>667014.04762999993</v>
      </c>
      <c r="CJ31" s="128">
        <v>658500207.87000012</v>
      </c>
      <c r="CK31" s="3">
        <v>3439912.3499999996</v>
      </c>
      <c r="CL31" s="3">
        <v>0</v>
      </c>
      <c r="CM31" s="164">
        <v>0</v>
      </c>
      <c r="CN31" s="3">
        <f>CJ31-CK31-CL31+CM31</f>
        <v>655060295.5200001</v>
      </c>
      <c r="CO31" s="3">
        <f>CN31/1000</f>
        <v>655060.29552000004</v>
      </c>
      <c r="CQ31" s="128">
        <v>633927545.78999996</v>
      </c>
      <c r="CR31" s="3">
        <v>4573944.08</v>
      </c>
      <c r="CS31" s="3">
        <v>0</v>
      </c>
      <c r="CT31" s="164">
        <v>0</v>
      </c>
      <c r="CU31" s="3">
        <f>CQ31-CR31-CS31+CT31</f>
        <v>629353601.70999992</v>
      </c>
      <c r="CV31" s="3">
        <f>CU31/1000</f>
        <v>629353.60170999996</v>
      </c>
      <c r="CX31" s="128">
        <v>576145703.42999995</v>
      </c>
      <c r="CY31" s="3">
        <v>3413317.13</v>
      </c>
      <c r="CZ31" s="3">
        <v>0</v>
      </c>
      <c r="DA31" s="164">
        <v>0</v>
      </c>
      <c r="DB31" s="3">
        <f>CX31-CY31-CZ31+DA31</f>
        <v>572732386.29999995</v>
      </c>
      <c r="DC31" s="3">
        <f>DB31/1000</f>
        <v>572732.3862999999</v>
      </c>
      <c r="DE31" s="3">
        <v>617533997.71999991</v>
      </c>
      <c r="DF31" s="3">
        <v>18785531.489999998</v>
      </c>
      <c r="DG31" s="3">
        <v>0</v>
      </c>
      <c r="DH31" s="3">
        <v>0</v>
      </c>
      <c r="DI31" s="3">
        <f t="shared" si="14"/>
        <v>598748466.2299999</v>
      </c>
      <c r="DJ31" s="3">
        <f t="shared" si="15"/>
        <v>598748.4662299999</v>
      </c>
    </row>
    <row r="32" spans="1:114">
      <c r="A32" s="1" t="s">
        <v>23</v>
      </c>
      <c r="B32" s="14">
        <v>28153</v>
      </c>
      <c r="C32" s="14">
        <v>29084</v>
      </c>
      <c r="D32" s="14">
        <v>31076.00202</v>
      </c>
      <c r="E32" s="14">
        <v>32466.663129999997</v>
      </c>
      <c r="F32" s="14">
        <v>34934.049819999993</v>
      </c>
      <c r="G32" s="14">
        <v>36918.171119999992</v>
      </c>
      <c r="H32" s="14">
        <v>37743.499539999997</v>
      </c>
      <c r="I32" s="14">
        <v>36868.102850000003</v>
      </c>
      <c r="J32" s="14">
        <v>34286.824310000004</v>
      </c>
      <c r="K32" s="14">
        <v>36207.880629999992</v>
      </c>
      <c r="L32" s="240">
        <f>(K32-J32)*100/J32</f>
        <v>5.6028995354921181</v>
      </c>
      <c r="M32" s="48">
        <f t="shared" si="11"/>
        <v>31.812157878988341</v>
      </c>
      <c r="N32" s="14">
        <v>7444</v>
      </c>
      <c r="O32" s="14">
        <v>8328</v>
      </c>
      <c r="P32" s="27">
        <v>9829</v>
      </c>
      <c r="Q32" s="27">
        <v>10855</v>
      </c>
      <c r="R32" s="27">
        <v>11915</v>
      </c>
      <c r="S32" s="27">
        <v>13102</v>
      </c>
      <c r="T32" s="27">
        <v>14031</v>
      </c>
      <c r="U32" s="27">
        <v>14616</v>
      </c>
      <c r="V32" s="27">
        <v>15125</v>
      </c>
      <c r="W32" s="27">
        <v>16359</v>
      </c>
      <c r="X32" s="14">
        <f>17874.109-791.87</f>
        <v>17082.239000000001</v>
      </c>
      <c r="Y32" s="27">
        <v>17703</v>
      </c>
      <c r="Z32" s="14">
        <v>18965</v>
      </c>
      <c r="AA32" s="14">
        <v>18279</v>
      </c>
      <c r="AB32" s="14">
        <v>20277</v>
      </c>
      <c r="AC32" s="14">
        <v>21900</v>
      </c>
      <c r="AD32" s="14">
        <v>24153</v>
      </c>
      <c r="AE32" s="3">
        <v>26176.634470000005</v>
      </c>
      <c r="AF32" s="14">
        <v>27469.30269</v>
      </c>
      <c r="AG32" s="128">
        <v>27015696.440000005</v>
      </c>
      <c r="AH32" s="128">
        <v>731707.31</v>
      </c>
      <c r="AI32" s="128">
        <v>96637.39</v>
      </c>
      <c r="AJ32" s="128">
        <v>3208.39</v>
      </c>
      <c r="AK32" s="3">
        <f>AG32-AH32-AI32+AJ32</f>
        <v>26190560.130000006</v>
      </c>
      <c r="AL32" s="3">
        <f t="shared" si="16"/>
        <v>26190.560130000005</v>
      </c>
      <c r="AN32" s="3">
        <v>28246507.959999986</v>
      </c>
      <c r="AO32" s="3">
        <v>665111.96</v>
      </c>
      <c r="AP32" s="3">
        <v>112541.15</v>
      </c>
      <c r="AQ32" s="3">
        <v>447.84</v>
      </c>
      <c r="AR32" s="3">
        <f t="shared" si="12"/>
        <v>27469302.689999986</v>
      </c>
      <c r="AS32" s="3">
        <f t="shared" si="13"/>
        <v>27469.302689999986</v>
      </c>
      <c r="AT32" s="3">
        <v>28801815</v>
      </c>
      <c r="AU32" s="92">
        <v>542873.65</v>
      </c>
      <c r="AV32" s="41">
        <v>106271.06</v>
      </c>
      <c r="AW32" s="41">
        <v>0</v>
      </c>
      <c r="AX32" s="3">
        <f>AT32-AU32-AV32+AW32</f>
        <v>28152670.290000003</v>
      </c>
      <c r="AY32" s="3">
        <f t="shared" si="17"/>
        <v>28152.670290000002</v>
      </c>
      <c r="BA32" s="3">
        <v>29665066</v>
      </c>
      <c r="BB32" s="92">
        <v>431016.8</v>
      </c>
      <c r="BC32" s="41">
        <v>150346.82</v>
      </c>
      <c r="BD32" s="41">
        <v>0</v>
      </c>
      <c r="BE32" s="3">
        <f>BA32-BB32-BC32+BD32</f>
        <v>29083702.379999999</v>
      </c>
      <c r="BF32" s="3">
        <f t="shared" si="18"/>
        <v>29083.702379999999</v>
      </c>
      <c r="BH32" s="237">
        <v>31635000.380000003</v>
      </c>
      <c r="BI32" s="92">
        <v>366265.1</v>
      </c>
      <c r="BJ32" s="41">
        <v>193992.26</v>
      </c>
      <c r="BK32" s="41">
        <v>1259</v>
      </c>
      <c r="BL32" s="3">
        <f>BH32-BI32-BJ32+BK32</f>
        <v>31076002.02</v>
      </c>
      <c r="BM32" s="3">
        <f t="shared" si="19"/>
        <v>31076.00202</v>
      </c>
      <c r="BO32" s="3">
        <v>32719037.710000001</v>
      </c>
      <c r="BP32" s="3">
        <v>140118.48000000001</v>
      </c>
      <c r="BQ32" s="3">
        <v>113509.1</v>
      </c>
      <c r="BR32" s="3">
        <v>1253</v>
      </c>
      <c r="BS32" s="3">
        <f>BO32-BP32-BQ32+BR32</f>
        <v>32466663.129999999</v>
      </c>
      <c r="BT32" s="3">
        <f t="shared" si="20"/>
        <v>32466.663129999997</v>
      </c>
      <c r="BV32" s="3">
        <v>35383131.879999995</v>
      </c>
      <c r="BW32" s="3">
        <v>255226.85</v>
      </c>
      <c r="BX32" s="3">
        <v>193855.21</v>
      </c>
      <c r="BY32" s="3">
        <v>0</v>
      </c>
      <c r="BZ32" s="3">
        <f>BV32-BW32-BX32+BY32</f>
        <v>34934049.819999993</v>
      </c>
      <c r="CA32" s="3">
        <f t="shared" si="21"/>
        <v>34934.049819999993</v>
      </c>
      <c r="CC32" s="3">
        <v>37554757.079999991</v>
      </c>
      <c r="CD32" s="3">
        <v>421537.95</v>
      </c>
      <c r="CE32" s="3">
        <v>216006.01</v>
      </c>
      <c r="CF32" s="3">
        <v>958</v>
      </c>
      <c r="CG32" s="3">
        <f>CC32-CD32-CE32+CF32</f>
        <v>36918171.11999999</v>
      </c>
      <c r="CH32" s="3">
        <f>CG32/1000</f>
        <v>36918.171119999992</v>
      </c>
      <c r="CJ32" s="128">
        <v>38190006.390000001</v>
      </c>
      <c r="CK32" s="3">
        <v>277229.75</v>
      </c>
      <c r="CL32" s="3">
        <v>169277.09999999998</v>
      </c>
      <c r="CM32" s="128">
        <v>0</v>
      </c>
      <c r="CN32" s="3">
        <f>CJ32-CK32-CL32+CM32</f>
        <v>37743499.539999999</v>
      </c>
      <c r="CO32" s="3">
        <f>CN32/1000</f>
        <v>37743.499539999997</v>
      </c>
      <c r="CQ32" s="128">
        <v>37142228.619999997</v>
      </c>
      <c r="CR32" s="3">
        <v>245495.91000000003</v>
      </c>
      <c r="CS32" s="3">
        <v>28629.86</v>
      </c>
      <c r="CT32" s="128">
        <v>0</v>
      </c>
      <c r="CU32" s="3">
        <f>CQ32-CR32-CS32+CT32</f>
        <v>36868102.850000001</v>
      </c>
      <c r="CV32" s="3">
        <f>CU32/1000</f>
        <v>36868.102850000003</v>
      </c>
      <c r="CX32" s="128">
        <v>34723483.420000002</v>
      </c>
      <c r="CY32" s="3">
        <v>436365.17</v>
      </c>
      <c r="CZ32" s="3">
        <v>293.94</v>
      </c>
      <c r="DA32" s="128">
        <v>0</v>
      </c>
      <c r="DB32" s="3">
        <f>CX32-CY32-CZ32+DA32</f>
        <v>34286824.310000002</v>
      </c>
      <c r="DC32" s="3">
        <f>DB32/1000</f>
        <v>34286.824310000004</v>
      </c>
      <c r="DE32" s="3">
        <v>36562439.269999996</v>
      </c>
      <c r="DF32" s="3">
        <v>354558.63999999996</v>
      </c>
      <c r="DG32" s="3">
        <v>0</v>
      </c>
      <c r="DH32" s="3">
        <v>0</v>
      </c>
      <c r="DI32" s="3">
        <f t="shared" si="14"/>
        <v>36207880.629999995</v>
      </c>
      <c r="DJ32" s="3">
        <f t="shared" si="15"/>
        <v>36207.880629999992</v>
      </c>
    </row>
    <row r="33" spans="1:114">
      <c r="A33" s="1" t="s">
        <v>24</v>
      </c>
      <c r="B33" s="14">
        <v>56058</v>
      </c>
      <c r="C33" s="14">
        <v>58909</v>
      </c>
      <c r="D33" s="14">
        <v>62555.898120000013</v>
      </c>
      <c r="E33" s="14">
        <v>66335.426579999999</v>
      </c>
      <c r="F33" s="14">
        <v>71826.786200000002</v>
      </c>
      <c r="G33" s="14">
        <v>75771.589399999997</v>
      </c>
      <c r="H33" s="14">
        <v>81152.033719999992</v>
      </c>
      <c r="I33" s="14">
        <v>77980.439859999984</v>
      </c>
      <c r="J33" s="14">
        <v>76038.264120000007</v>
      </c>
      <c r="K33" s="14">
        <v>80040.921520000004</v>
      </c>
      <c r="L33" s="240">
        <f>(K33-J33)*100/J33</f>
        <v>5.2640041777955258</v>
      </c>
      <c r="M33" s="48">
        <f t="shared" si="11"/>
        <v>51.51209110217097</v>
      </c>
      <c r="N33" s="14">
        <v>17725</v>
      </c>
      <c r="O33" s="14">
        <v>18099</v>
      </c>
      <c r="P33" s="27">
        <v>20183</v>
      </c>
      <c r="Q33" s="27">
        <v>22427</v>
      </c>
      <c r="R33" s="27">
        <v>24264</v>
      </c>
      <c r="S33" s="27">
        <v>27043</v>
      </c>
      <c r="T33" s="27">
        <v>30165</v>
      </c>
      <c r="U33" s="27">
        <v>33059</v>
      </c>
      <c r="V33" s="27">
        <v>34066</v>
      </c>
      <c r="W33" s="27">
        <v>34275</v>
      </c>
      <c r="X33" s="14">
        <f>38193.171-672.643-14.583</f>
        <v>37505.945000000007</v>
      </c>
      <c r="Y33" s="27">
        <v>37412</v>
      </c>
      <c r="Z33" s="14">
        <v>40558</v>
      </c>
      <c r="AA33" s="14">
        <v>38429</v>
      </c>
      <c r="AB33" s="14">
        <v>40771</v>
      </c>
      <c r="AC33" s="14">
        <v>42558</v>
      </c>
      <c r="AD33" s="14">
        <v>46421</v>
      </c>
      <c r="AE33" s="3">
        <v>51083.902870000013</v>
      </c>
      <c r="AF33" s="14">
        <v>52828.075262999999</v>
      </c>
      <c r="AG33" s="128">
        <v>51506377.770000011</v>
      </c>
      <c r="AH33" s="128">
        <v>263743.71999999997</v>
      </c>
      <c r="AI33" s="128">
        <v>149192.88</v>
      </c>
      <c r="AJ33" s="260">
        <v>2558.1</v>
      </c>
      <c r="AK33" s="3">
        <f>AG33-AH33-AI33+AJ33</f>
        <v>51095999.270000011</v>
      </c>
      <c r="AL33" s="3">
        <f t="shared" si="16"/>
        <v>51095.999270000008</v>
      </c>
      <c r="AN33" s="3">
        <v>53091195.23299998</v>
      </c>
      <c r="AO33" s="3">
        <v>63427.02</v>
      </c>
      <c r="AP33" s="3">
        <v>199692.94999999998</v>
      </c>
      <c r="AQ33" s="3">
        <v>0</v>
      </c>
      <c r="AR33" s="3">
        <f t="shared" si="12"/>
        <v>52828075.262999974</v>
      </c>
      <c r="AS33" s="3">
        <f t="shared" si="13"/>
        <v>52828.075262999977</v>
      </c>
      <c r="AT33" s="3">
        <v>56312706</v>
      </c>
      <c r="AU33" s="92">
        <v>38394.51</v>
      </c>
      <c r="AV33" s="41">
        <v>216521.56</v>
      </c>
      <c r="AW33" s="41">
        <v>0</v>
      </c>
      <c r="AX33" s="3">
        <f>AT33-AU33-AV33+AW33</f>
        <v>56057789.93</v>
      </c>
      <c r="AY33" s="3">
        <f t="shared" si="17"/>
        <v>56057.789929999999</v>
      </c>
      <c r="BA33" s="3">
        <v>59183905</v>
      </c>
      <c r="BB33" s="92">
        <v>15094</v>
      </c>
      <c r="BC33" s="41">
        <v>259873.4</v>
      </c>
      <c r="BD33" s="41">
        <v>0</v>
      </c>
      <c r="BE33" s="3">
        <f>BA33-BB33-BC33+BD33</f>
        <v>58908937.600000001</v>
      </c>
      <c r="BF33" s="3">
        <f t="shared" si="18"/>
        <v>58908.937600000005</v>
      </c>
      <c r="BH33" s="237">
        <v>62895940.170000009</v>
      </c>
      <c r="BI33" s="92">
        <v>45710.080000000002</v>
      </c>
      <c r="BJ33" s="41">
        <v>294331.96999999997</v>
      </c>
      <c r="BK33" s="41">
        <v>0</v>
      </c>
      <c r="BL33" s="3">
        <f>BH33-BI33-BJ33+BK33</f>
        <v>62555898.120000012</v>
      </c>
      <c r="BM33" s="3">
        <f t="shared" si="19"/>
        <v>62555.898120000013</v>
      </c>
      <c r="BO33" s="3">
        <v>66742469.590000004</v>
      </c>
      <c r="BP33" s="3">
        <v>29270</v>
      </c>
      <c r="BQ33" s="3">
        <v>377773.01</v>
      </c>
      <c r="BR33" s="3">
        <v>0</v>
      </c>
      <c r="BS33" s="3">
        <f>BO33-BP33-BQ33+BR33</f>
        <v>66335426.580000006</v>
      </c>
      <c r="BT33" s="3">
        <f t="shared" si="20"/>
        <v>66335.426579999999</v>
      </c>
      <c r="BV33" s="3">
        <v>72345674.120000005</v>
      </c>
      <c r="BW33" s="3">
        <v>112644.05</v>
      </c>
      <c r="BX33" s="3">
        <v>406243.87</v>
      </c>
      <c r="BY33" s="3">
        <v>0</v>
      </c>
      <c r="BZ33" s="3">
        <f>BV33-BW33-BX33+BY33</f>
        <v>71826786.200000003</v>
      </c>
      <c r="CA33" s="3">
        <f t="shared" si="21"/>
        <v>71826.786200000002</v>
      </c>
      <c r="CC33" s="3">
        <v>76246582.319999993</v>
      </c>
      <c r="CD33" s="3">
        <v>61660.630000000005</v>
      </c>
      <c r="CE33" s="3">
        <v>413332.29000000004</v>
      </c>
      <c r="CF33" s="3">
        <v>0</v>
      </c>
      <c r="CG33" s="3">
        <f>CC33-CD33-CE33+CF33</f>
        <v>75771589.399999991</v>
      </c>
      <c r="CH33" s="3">
        <f>CG33/1000</f>
        <v>75771.589399999997</v>
      </c>
      <c r="CJ33" s="128">
        <v>81502618.75</v>
      </c>
      <c r="CK33" s="3">
        <v>45542.34</v>
      </c>
      <c r="CL33" s="3">
        <v>305042.69</v>
      </c>
      <c r="CM33" s="260">
        <v>0</v>
      </c>
      <c r="CN33" s="3">
        <f>CJ33-CK33-CL33+CM33</f>
        <v>81152033.719999999</v>
      </c>
      <c r="CO33" s="3">
        <f>CN33/1000</f>
        <v>81152.033719999992</v>
      </c>
      <c r="CQ33" s="128">
        <v>78220663.019999981</v>
      </c>
      <c r="CR33" s="3">
        <v>6365</v>
      </c>
      <c r="CS33" s="3">
        <v>233858.16</v>
      </c>
      <c r="CT33" s="260">
        <v>0</v>
      </c>
      <c r="CU33" s="3">
        <f>CQ33-CR33-CS33+CT33</f>
        <v>77980439.859999985</v>
      </c>
      <c r="CV33" s="3">
        <f>CU33/1000</f>
        <v>77980.439859999984</v>
      </c>
      <c r="CX33" s="128">
        <v>76321893.459999993</v>
      </c>
      <c r="CY33" s="3">
        <v>65522.99</v>
      </c>
      <c r="CZ33" s="3">
        <v>218106.34999999995</v>
      </c>
      <c r="DA33" s="260">
        <v>0</v>
      </c>
      <c r="DB33" s="3">
        <f>CX33-CY33-CZ33+DA33</f>
        <v>76038264.120000005</v>
      </c>
      <c r="DC33" s="3">
        <f>DB33/1000</f>
        <v>76038.264120000007</v>
      </c>
      <c r="DE33" s="3">
        <v>80314185.620000005</v>
      </c>
      <c r="DF33" s="3">
        <v>7993</v>
      </c>
      <c r="DG33" s="3">
        <v>265271.09999999998</v>
      </c>
      <c r="DH33" s="3">
        <v>0</v>
      </c>
      <c r="DI33" s="3">
        <f t="shared" si="14"/>
        <v>80040921.520000011</v>
      </c>
      <c r="DJ33" s="3">
        <f t="shared" si="15"/>
        <v>80040.921520000004</v>
      </c>
    </row>
    <row r="34" spans="1:114">
      <c r="A34" s="1" t="s">
        <v>25</v>
      </c>
      <c r="B34" s="14">
        <v>12507</v>
      </c>
      <c r="C34" s="14">
        <v>13300</v>
      </c>
      <c r="D34" s="14">
        <v>14296.683760000002</v>
      </c>
      <c r="E34" s="14">
        <v>15736.473130000002</v>
      </c>
      <c r="F34" s="14">
        <v>17204.06667</v>
      </c>
      <c r="G34" s="14">
        <v>16978.610619999999</v>
      </c>
      <c r="H34" s="14">
        <v>17129.644489999999</v>
      </c>
      <c r="I34" s="14">
        <v>15919.942119999998</v>
      </c>
      <c r="J34" s="14">
        <v>15810.992469999999</v>
      </c>
      <c r="K34" s="14">
        <v>14670.681050000003</v>
      </c>
      <c r="L34" s="240">
        <f>(K34-J34)*100/J34</f>
        <v>-7.212143210893557</v>
      </c>
      <c r="M34" s="48">
        <f t="shared" si="11"/>
        <v>20.209361276750414</v>
      </c>
      <c r="N34" s="14">
        <v>4897</v>
      </c>
      <c r="O34" s="14">
        <v>4925</v>
      </c>
      <c r="P34" s="27">
        <v>5526</v>
      </c>
      <c r="Q34" s="27">
        <v>5958</v>
      </c>
      <c r="R34" s="27">
        <v>6626</v>
      </c>
      <c r="S34" s="27">
        <v>7432</v>
      </c>
      <c r="T34" s="27">
        <v>8133</v>
      </c>
      <c r="U34" s="27">
        <v>7991</v>
      </c>
      <c r="V34" s="27">
        <v>8524</v>
      </c>
      <c r="W34" s="27">
        <v>9348</v>
      </c>
      <c r="X34" s="14">
        <f>10182.902-232.867</f>
        <v>9950.0349999999999</v>
      </c>
      <c r="Y34" s="27">
        <v>10021</v>
      </c>
      <c r="Z34" s="14">
        <v>10187</v>
      </c>
      <c r="AA34" s="14">
        <v>9650</v>
      </c>
      <c r="AB34" s="14">
        <v>10005</v>
      </c>
      <c r="AC34" s="14">
        <v>10857</v>
      </c>
      <c r="AD34" s="14">
        <v>11565</v>
      </c>
      <c r="AE34" s="3">
        <v>11850.846179999999</v>
      </c>
      <c r="AF34" s="14">
        <v>12204.275019999999</v>
      </c>
      <c r="AG34" s="128">
        <v>12460469.599999998</v>
      </c>
      <c r="AH34" s="128">
        <v>418325.64</v>
      </c>
      <c r="AI34" s="128">
        <v>174184.7</v>
      </c>
      <c r="AJ34" s="128">
        <v>3267.09</v>
      </c>
      <c r="AK34" s="3">
        <f>AG34-AH34-AI34+AJ34</f>
        <v>11871226.349999998</v>
      </c>
      <c r="AL34" s="3">
        <f t="shared" si="16"/>
        <v>11871.226349999997</v>
      </c>
      <c r="AN34" s="3">
        <v>12678141.740000006</v>
      </c>
      <c r="AO34" s="3">
        <v>323700.58</v>
      </c>
      <c r="AP34" s="3">
        <v>151245.04999999999</v>
      </c>
      <c r="AQ34" s="3">
        <v>1078.9100000000001</v>
      </c>
      <c r="AR34" s="3">
        <f t="shared" si="12"/>
        <v>12204275.020000005</v>
      </c>
      <c r="AS34" s="3">
        <f t="shared" si="13"/>
        <v>12204.275020000005</v>
      </c>
      <c r="AT34" s="3">
        <v>13008599</v>
      </c>
      <c r="AU34" s="92">
        <v>366958.91</v>
      </c>
      <c r="AV34" s="41">
        <v>138269.17000000001</v>
      </c>
      <c r="AW34" s="41">
        <v>3251.94</v>
      </c>
      <c r="AX34" s="3">
        <f>AT34-AU34-AV34+AW34</f>
        <v>12506622.859999999</v>
      </c>
      <c r="AY34" s="3">
        <f t="shared" si="17"/>
        <v>12506.622859999999</v>
      </c>
      <c r="BA34" s="3">
        <v>13713862</v>
      </c>
      <c r="BB34" s="92">
        <v>345219.75</v>
      </c>
      <c r="BC34" s="41">
        <v>68593</v>
      </c>
      <c r="BD34" s="41">
        <v>0</v>
      </c>
      <c r="BE34" s="3">
        <f>BA34-BB34-BC34+BD34</f>
        <v>13300049.25</v>
      </c>
      <c r="BF34" s="3">
        <f t="shared" si="18"/>
        <v>13300.04925</v>
      </c>
      <c r="BH34" s="237">
        <v>15177755.050000001</v>
      </c>
      <c r="BI34" s="92">
        <v>727126.79</v>
      </c>
      <c r="BJ34" s="41">
        <v>160520.45000000001</v>
      </c>
      <c r="BK34" s="41">
        <v>6575.95</v>
      </c>
      <c r="BL34" s="3">
        <f>BH34-BI34-BJ34+BK34</f>
        <v>14296683.760000002</v>
      </c>
      <c r="BM34" s="3">
        <f t="shared" si="19"/>
        <v>14296.683760000002</v>
      </c>
      <c r="BO34" s="3">
        <v>16813488.810000002</v>
      </c>
      <c r="BP34" s="3">
        <v>912395.77</v>
      </c>
      <c r="BQ34" s="3">
        <v>164619.91</v>
      </c>
      <c r="BR34" s="3">
        <v>0</v>
      </c>
      <c r="BS34" s="3">
        <f>BO34-BP34-BQ34+BR34</f>
        <v>15736473.130000003</v>
      </c>
      <c r="BT34" s="3">
        <f t="shared" si="20"/>
        <v>15736.473130000002</v>
      </c>
      <c r="BV34" s="3">
        <v>17961439.32</v>
      </c>
      <c r="BW34" s="3">
        <v>517771.74</v>
      </c>
      <c r="BX34" s="3">
        <v>245402.76</v>
      </c>
      <c r="BY34" s="3">
        <v>5801.85</v>
      </c>
      <c r="BZ34" s="3">
        <f>BV34-BW34-BX34+BY34</f>
        <v>17204066.670000002</v>
      </c>
      <c r="CA34" s="3">
        <f t="shared" si="21"/>
        <v>17204.06667</v>
      </c>
      <c r="CC34" s="3">
        <v>18178246.510000002</v>
      </c>
      <c r="CD34" s="3">
        <v>956393.32000000007</v>
      </c>
      <c r="CE34" s="3">
        <v>259476.15000000002</v>
      </c>
      <c r="CF34" s="3">
        <v>16233.58</v>
      </c>
      <c r="CG34" s="3">
        <f>CC34-CD34-CE34+CF34</f>
        <v>16978610.620000001</v>
      </c>
      <c r="CH34" s="3">
        <f>CG34/1000</f>
        <v>16978.610619999999</v>
      </c>
      <c r="CJ34" s="128">
        <v>17886152.850000001</v>
      </c>
      <c r="CK34" s="3">
        <v>517480.92</v>
      </c>
      <c r="CL34" s="3">
        <v>239027.44</v>
      </c>
      <c r="CM34" s="128">
        <v>0</v>
      </c>
      <c r="CN34" s="3">
        <f>CJ34-CK34-CL34+CM34</f>
        <v>17129644.489999998</v>
      </c>
      <c r="CO34" s="3">
        <f>CN34/1000</f>
        <v>17129.644489999999</v>
      </c>
      <c r="CQ34" s="128">
        <v>16588523.479999997</v>
      </c>
      <c r="CR34" s="3">
        <v>528364.67999999993</v>
      </c>
      <c r="CS34" s="3">
        <v>140216.68</v>
      </c>
      <c r="CT34" s="128">
        <v>0</v>
      </c>
      <c r="CU34" s="3">
        <f>CQ34-CR34-CS34+CT34</f>
        <v>15919942.119999997</v>
      </c>
      <c r="CV34" s="3">
        <f>CU34/1000</f>
        <v>15919.942119999998</v>
      </c>
      <c r="CX34" s="128">
        <v>16444340.43</v>
      </c>
      <c r="CY34" s="3">
        <v>454531.47</v>
      </c>
      <c r="CZ34" s="3">
        <v>178816.49000000002</v>
      </c>
      <c r="DA34" s="128">
        <v>0</v>
      </c>
      <c r="DB34" s="3">
        <f>CX34-CY34-CZ34+DA34</f>
        <v>15810992.469999999</v>
      </c>
      <c r="DC34" s="3">
        <f>DB34/1000</f>
        <v>15810.992469999999</v>
      </c>
      <c r="DE34" s="3">
        <v>14940708.130000003</v>
      </c>
      <c r="DF34" s="3">
        <v>95244.090000000026</v>
      </c>
      <c r="DG34" s="3">
        <v>174782.99</v>
      </c>
      <c r="DH34" s="3">
        <v>0</v>
      </c>
      <c r="DI34" s="3">
        <f t="shared" si="14"/>
        <v>14670681.050000003</v>
      </c>
      <c r="DJ34" s="3">
        <f t="shared" si="15"/>
        <v>14670.681050000003</v>
      </c>
    </row>
    <row r="35" spans="1:114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48"/>
      <c r="M35" s="48"/>
      <c r="O35" s="14"/>
      <c r="P35" s="27"/>
      <c r="Q35" s="27"/>
      <c r="R35" s="27"/>
      <c r="S35" s="27"/>
      <c r="T35" s="27"/>
      <c r="U35" s="27"/>
      <c r="V35" s="27"/>
      <c r="W35" s="27"/>
      <c r="X35" s="14"/>
      <c r="Y35" s="27"/>
      <c r="Z35" s="14"/>
      <c r="AA35" s="14"/>
      <c r="AB35" s="14"/>
      <c r="AC35" s="14"/>
      <c r="AD35" s="14"/>
      <c r="AE35" s="3"/>
      <c r="AF35" s="14"/>
      <c r="AG35" s="128"/>
      <c r="AH35" s="128"/>
      <c r="AI35" s="128"/>
      <c r="AJ35" s="128"/>
      <c r="AK35" s="3"/>
      <c r="AU35" s="92"/>
      <c r="AV35" s="41"/>
      <c r="AW35" s="41"/>
      <c r="BB35" s="92"/>
      <c r="BC35" s="41"/>
      <c r="BD35" s="41"/>
      <c r="BH35" s="237"/>
      <c r="BI35" s="92"/>
      <c r="BJ35" s="41"/>
      <c r="BK35" s="41"/>
      <c r="CJ35" s="128"/>
      <c r="CM35" s="128"/>
      <c r="CQ35" s="128"/>
      <c r="CT35" s="128"/>
      <c r="CX35" s="128"/>
      <c r="DA35" s="128"/>
    </row>
    <row r="36" spans="1:114">
      <c r="A36" s="1" t="s">
        <v>26</v>
      </c>
      <c r="B36" s="14">
        <v>18502</v>
      </c>
      <c r="C36" s="14">
        <v>18035</v>
      </c>
      <c r="D36" s="14">
        <v>19005.107920000002</v>
      </c>
      <c r="E36" s="14">
        <v>19500.334240000004</v>
      </c>
      <c r="F36" s="14">
        <v>19771.622590000003</v>
      </c>
      <c r="G36" s="14">
        <v>20777.924150000003</v>
      </c>
      <c r="H36" s="14">
        <v>21861.173070000001</v>
      </c>
      <c r="I36" s="14">
        <v>21821.627349999999</v>
      </c>
      <c r="J36" s="14">
        <v>20213.184419999998</v>
      </c>
      <c r="K36" s="14">
        <v>21703.051589999992</v>
      </c>
      <c r="L36" s="240">
        <f>(K36-J36)*100/J36</f>
        <v>7.3707691922398952</v>
      </c>
      <c r="M36" s="48">
        <f t="shared" si="11"/>
        <v>23.369781201856878</v>
      </c>
      <c r="N36" s="14">
        <v>6648</v>
      </c>
      <c r="O36" s="14">
        <v>6856</v>
      </c>
      <c r="P36" s="27">
        <v>7275</v>
      </c>
      <c r="Q36" s="27">
        <v>8686</v>
      </c>
      <c r="R36" s="27">
        <v>9647</v>
      </c>
      <c r="S36" s="27">
        <v>11148</v>
      </c>
      <c r="T36" s="27">
        <v>11760</v>
      </c>
      <c r="U36" s="27">
        <v>11294</v>
      </c>
      <c r="V36" s="27">
        <v>11407</v>
      </c>
      <c r="W36" s="27">
        <v>12079</v>
      </c>
      <c r="X36" s="14">
        <f>13530.677-586.212</f>
        <v>12944.465</v>
      </c>
      <c r="Y36" s="27">
        <v>13421</v>
      </c>
      <c r="Z36" s="14">
        <v>14231</v>
      </c>
      <c r="AA36" s="14">
        <v>12863</v>
      </c>
      <c r="AB36" s="14">
        <v>13517</v>
      </c>
      <c r="AC36" s="14">
        <v>14380</v>
      </c>
      <c r="AD36" s="14">
        <v>15813</v>
      </c>
      <c r="AE36" s="3">
        <v>17041.705359999996</v>
      </c>
      <c r="AF36" s="14">
        <v>17591.870050000001</v>
      </c>
      <c r="AG36" s="128">
        <v>17348441.799999997</v>
      </c>
      <c r="AH36" s="128">
        <v>301461.44</v>
      </c>
      <c r="AI36" s="128">
        <v>0</v>
      </c>
      <c r="AJ36" s="128">
        <v>0</v>
      </c>
      <c r="AK36" s="3">
        <f>AG36-AH36-AI36+AJ36</f>
        <v>17046980.359999996</v>
      </c>
      <c r="AL36" s="3">
        <f t="shared" ref="AL36:AL39" si="22">AK36/1000</f>
        <v>17046.980359999994</v>
      </c>
      <c r="AN36" s="3">
        <v>17834973.750000007</v>
      </c>
      <c r="AO36" s="3">
        <v>243103.7</v>
      </c>
      <c r="AP36" s="3">
        <v>0</v>
      </c>
      <c r="AQ36" s="3">
        <v>0</v>
      </c>
      <c r="AR36" s="3">
        <f t="shared" si="12"/>
        <v>17591870.050000008</v>
      </c>
      <c r="AS36" s="3">
        <f t="shared" si="13"/>
        <v>17591.870050000009</v>
      </c>
      <c r="AT36" s="3">
        <v>18727855</v>
      </c>
      <c r="AU36" s="92">
        <v>225853.46</v>
      </c>
      <c r="AV36" s="41">
        <v>0</v>
      </c>
      <c r="AW36" s="41">
        <v>0</v>
      </c>
      <c r="AX36" s="3">
        <f>AT36-AU36-AV36+AW36</f>
        <v>18502001.539999999</v>
      </c>
      <c r="AY36" s="3">
        <f t="shared" si="17"/>
        <v>18502.001539999997</v>
      </c>
      <c r="BA36" s="3">
        <v>18361609</v>
      </c>
      <c r="BB36" s="92">
        <v>326943.19</v>
      </c>
      <c r="BC36" s="41">
        <v>0</v>
      </c>
      <c r="BD36" s="41">
        <v>0</v>
      </c>
      <c r="BE36" s="3">
        <f>BA36-BB36-BC36+BD36</f>
        <v>18034665.809999999</v>
      </c>
      <c r="BF36" s="3">
        <f t="shared" si="18"/>
        <v>18034.665809999999</v>
      </c>
      <c r="BH36" s="237">
        <v>19290789.400000002</v>
      </c>
      <c r="BI36" s="92">
        <v>285681.48</v>
      </c>
      <c r="BJ36" s="41">
        <v>0</v>
      </c>
      <c r="BK36" s="41">
        <v>0</v>
      </c>
      <c r="BL36" s="3">
        <f>BH36-BI36-BJ36+BK36</f>
        <v>19005107.920000002</v>
      </c>
      <c r="BM36" s="3">
        <f t="shared" si="19"/>
        <v>19005.107920000002</v>
      </c>
      <c r="BO36" s="3">
        <v>20492325.640000001</v>
      </c>
      <c r="BP36" s="3">
        <v>991991.4</v>
      </c>
      <c r="BQ36" s="3">
        <v>0</v>
      </c>
      <c r="BR36" s="3">
        <v>0</v>
      </c>
      <c r="BS36" s="3">
        <f>BO36-BP36-BQ36+BR36</f>
        <v>19500334.240000002</v>
      </c>
      <c r="BT36" s="3">
        <f t="shared" si="20"/>
        <v>19500.334240000004</v>
      </c>
      <c r="BV36" s="3">
        <v>20227247.080000002</v>
      </c>
      <c r="BW36" s="3">
        <v>413418.4</v>
      </c>
      <c r="BX36" s="3">
        <v>42206.09</v>
      </c>
      <c r="BY36" s="3">
        <v>0</v>
      </c>
      <c r="BZ36" s="3">
        <f>BV36-BW36-BX36+BY36</f>
        <v>19771622.590000004</v>
      </c>
      <c r="CA36" s="3">
        <f t="shared" si="21"/>
        <v>19771.622590000003</v>
      </c>
      <c r="CC36" s="3">
        <v>21245689.100000001</v>
      </c>
      <c r="CD36" s="3">
        <v>467764.95</v>
      </c>
      <c r="CE36" s="3">
        <v>0</v>
      </c>
      <c r="CF36" s="3">
        <v>0</v>
      </c>
      <c r="CG36" s="3">
        <f>CC36-CD36-CE36+CF36</f>
        <v>20777924.150000002</v>
      </c>
      <c r="CH36" s="3">
        <f>CG36/1000</f>
        <v>20777.924150000003</v>
      </c>
      <c r="CJ36" s="128">
        <v>22448371.100000001</v>
      </c>
      <c r="CK36" s="3">
        <v>587198.03</v>
      </c>
      <c r="CL36" s="3">
        <v>0</v>
      </c>
      <c r="CM36" s="128">
        <v>0</v>
      </c>
      <c r="CN36" s="3">
        <f>CJ36-CK36-CL36+CM36</f>
        <v>21861173.07</v>
      </c>
      <c r="CO36" s="3">
        <f>CN36/1000</f>
        <v>21861.173070000001</v>
      </c>
      <c r="CQ36" s="128">
        <v>22078859.16</v>
      </c>
      <c r="CR36" s="3">
        <v>254490.01</v>
      </c>
      <c r="CS36" s="3">
        <v>2741.8</v>
      </c>
      <c r="CT36" s="128">
        <v>0</v>
      </c>
      <c r="CU36" s="3">
        <f>CQ36-CR36-CS36+CT36</f>
        <v>21821627.349999998</v>
      </c>
      <c r="CV36" s="3">
        <f>CU36/1000</f>
        <v>21821.627349999999</v>
      </c>
      <c r="CX36" s="128">
        <v>20859596.84</v>
      </c>
      <c r="CY36" s="3">
        <v>646412.42000000004</v>
      </c>
      <c r="CZ36" s="3">
        <v>0</v>
      </c>
      <c r="DA36" s="128">
        <v>0</v>
      </c>
      <c r="DB36" s="3">
        <f>CX36-CY36-CZ36+DA36</f>
        <v>20213184.419999998</v>
      </c>
      <c r="DC36" s="3">
        <f>DB36/1000</f>
        <v>20213.184419999998</v>
      </c>
      <c r="DE36" s="3">
        <v>22182459.759999994</v>
      </c>
      <c r="DF36" s="3">
        <v>479408.17000000004</v>
      </c>
      <c r="DG36" s="3">
        <v>0</v>
      </c>
      <c r="DH36" s="3">
        <v>0</v>
      </c>
      <c r="DI36" s="3">
        <f t="shared" si="14"/>
        <v>21703051.589999992</v>
      </c>
      <c r="DJ36" s="3">
        <f t="shared" si="15"/>
        <v>21703.051589999992</v>
      </c>
    </row>
    <row r="37" spans="1:114">
      <c r="A37" s="1" t="s">
        <v>27</v>
      </c>
      <c r="B37" s="14">
        <v>77208</v>
      </c>
      <c r="C37" s="14">
        <v>83025</v>
      </c>
      <c r="D37" s="14">
        <v>89456.555410000001</v>
      </c>
      <c r="E37" s="14">
        <v>96288.422559999992</v>
      </c>
      <c r="F37" s="14">
        <v>105746.11441000001</v>
      </c>
      <c r="G37" s="14">
        <v>108355.58727000003</v>
      </c>
      <c r="H37" s="14">
        <v>110305.17501999995</v>
      </c>
      <c r="I37" s="14">
        <v>110277.80757999998</v>
      </c>
      <c r="J37" s="14">
        <v>110257.13770000001</v>
      </c>
      <c r="K37" s="14">
        <v>110965.68850999999</v>
      </c>
      <c r="L37" s="240">
        <f>(K37-J37)*100/J37</f>
        <v>0.64263486680371718</v>
      </c>
      <c r="M37" s="48">
        <f t="shared" si="11"/>
        <v>55.184561197434732</v>
      </c>
      <c r="N37" s="14">
        <v>29967</v>
      </c>
      <c r="O37" s="14">
        <v>31086</v>
      </c>
      <c r="P37" s="27">
        <v>33890</v>
      </c>
      <c r="Q37" s="27">
        <v>36664</v>
      </c>
      <c r="R37" s="27">
        <v>39519</v>
      </c>
      <c r="S37" s="27">
        <v>42889</v>
      </c>
      <c r="T37" s="27">
        <v>46709</v>
      </c>
      <c r="U37" s="27">
        <v>47745</v>
      </c>
      <c r="V37" s="27">
        <v>49363</v>
      </c>
      <c r="W37" s="27">
        <v>51828</v>
      </c>
      <c r="X37" s="14">
        <f>56245.003-600.422</f>
        <v>55644.580999999998</v>
      </c>
      <c r="Y37" s="27">
        <v>56944</v>
      </c>
      <c r="Z37" s="14">
        <v>57972</v>
      </c>
      <c r="AA37" s="14">
        <v>54976</v>
      </c>
      <c r="AB37" s="14">
        <v>58669</v>
      </c>
      <c r="AC37" s="14">
        <v>62171</v>
      </c>
      <c r="AD37" s="14">
        <v>65369</v>
      </c>
      <c r="AE37" s="3">
        <v>69007.91025999999</v>
      </c>
      <c r="AF37" s="14">
        <v>71505.623789999998</v>
      </c>
      <c r="AG37" s="128">
        <v>70045510.959999993</v>
      </c>
      <c r="AH37" s="128">
        <v>848812.41</v>
      </c>
      <c r="AI37" s="128">
        <v>176549.86</v>
      </c>
      <c r="AJ37" s="128">
        <v>0</v>
      </c>
      <c r="AK37" s="3">
        <f>AG37-AH37-AI37+AJ37</f>
        <v>69020148.689999998</v>
      </c>
      <c r="AL37" s="3">
        <f t="shared" si="22"/>
        <v>69020.148690000002</v>
      </c>
      <c r="AN37" s="3">
        <v>72445368</v>
      </c>
      <c r="AO37" s="3">
        <v>698489.55</v>
      </c>
      <c r="AP37" s="3">
        <v>243568.66</v>
      </c>
      <c r="AQ37" s="3">
        <v>2314</v>
      </c>
      <c r="AR37" s="3">
        <f t="shared" si="12"/>
        <v>71505623.790000007</v>
      </c>
      <c r="AS37" s="3">
        <f t="shared" si="13"/>
        <v>71505.623790000012</v>
      </c>
      <c r="AT37" s="3">
        <v>77886766</v>
      </c>
      <c r="AU37" s="92">
        <v>630207.07999999996</v>
      </c>
      <c r="AV37" s="41">
        <v>49002.7</v>
      </c>
      <c r="AW37" s="41">
        <v>0</v>
      </c>
      <c r="AX37" s="3">
        <f>AT37-AU37-AV37+AW37</f>
        <v>77207556.219999999</v>
      </c>
      <c r="AY37" s="3">
        <f t="shared" si="17"/>
        <v>77207.556219999999</v>
      </c>
      <c r="BA37" s="3">
        <v>83696746</v>
      </c>
      <c r="BB37" s="92">
        <v>660493.84</v>
      </c>
      <c r="BC37" s="41">
        <v>11431</v>
      </c>
      <c r="BD37" s="41">
        <v>0</v>
      </c>
      <c r="BE37" s="3">
        <f>BA37-BB37-BC37+BD37</f>
        <v>83024821.159999996</v>
      </c>
      <c r="BF37" s="3">
        <f t="shared" si="18"/>
        <v>83024.821159999992</v>
      </c>
      <c r="BH37" s="237">
        <v>90525631.849999994</v>
      </c>
      <c r="BI37" s="92">
        <v>1065091.44</v>
      </c>
      <c r="BJ37" s="41">
        <v>3985</v>
      </c>
      <c r="BK37" s="41">
        <v>0</v>
      </c>
      <c r="BL37" s="3">
        <f>BH37-BI37-BJ37+BK37</f>
        <v>89456555.409999996</v>
      </c>
      <c r="BM37" s="3">
        <f t="shared" si="19"/>
        <v>89456.555410000001</v>
      </c>
      <c r="BO37" s="3">
        <v>97461260.249999985</v>
      </c>
      <c r="BP37" s="3">
        <v>1172837.69</v>
      </c>
      <c r="BQ37" s="3">
        <v>0</v>
      </c>
      <c r="BR37" s="3">
        <v>0</v>
      </c>
      <c r="BS37" s="3">
        <f>BO37-BP37-BQ37+BR37</f>
        <v>96288422.559999987</v>
      </c>
      <c r="BT37" s="3">
        <f t="shared" si="20"/>
        <v>96288.422559999992</v>
      </c>
      <c r="BV37" s="3">
        <v>106911873.48</v>
      </c>
      <c r="BW37" s="3">
        <v>1165759.07</v>
      </c>
      <c r="BX37" s="3">
        <v>0</v>
      </c>
      <c r="BY37" s="3">
        <v>0</v>
      </c>
      <c r="BZ37" s="3">
        <f>BV37-BW37-BX37+BY37</f>
        <v>105746114.41000001</v>
      </c>
      <c r="CA37" s="3">
        <f t="shared" si="21"/>
        <v>105746.11441000001</v>
      </c>
      <c r="CC37" s="3">
        <v>109233714.39000003</v>
      </c>
      <c r="CD37" s="3">
        <v>878127.12</v>
      </c>
      <c r="CE37" s="3">
        <v>0</v>
      </c>
      <c r="CF37" s="3">
        <v>0</v>
      </c>
      <c r="CG37" s="3">
        <f>CC37-CD37-CE37+CF37</f>
        <v>108355587.27000003</v>
      </c>
      <c r="CH37" s="3">
        <f>CG37/1000</f>
        <v>108355.58727000003</v>
      </c>
      <c r="CJ37" s="128">
        <v>110901499.66999996</v>
      </c>
      <c r="CK37" s="3">
        <v>596324.65</v>
      </c>
      <c r="CL37" s="3">
        <v>0</v>
      </c>
      <c r="CM37" s="128">
        <v>0</v>
      </c>
      <c r="CN37" s="3">
        <f>CJ37-CK37-CL37+CM37</f>
        <v>110305175.01999995</v>
      </c>
      <c r="CO37" s="3">
        <f>CN37/1000</f>
        <v>110305.17501999995</v>
      </c>
      <c r="CQ37" s="128">
        <v>111161045.10999998</v>
      </c>
      <c r="CR37" s="3">
        <v>883237.53000000026</v>
      </c>
      <c r="CS37" s="3">
        <v>0</v>
      </c>
      <c r="CT37" s="128">
        <v>0</v>
      </c>
      <c r="CU37" s="3">
        <f>CQ37-CR37-CS37+CT37</f>
        <v>110277807.57999998</v>
      </c>
      <c r="CV37" s="3">
        <f>CU37/1000</f>
        <v>110277.80757999998</v>
      </c>
      <c r="CX37" s="128">
        <v>111529087.18000001</v>
      </c>
      <c r="CY37" s="3">
        <v>1271949.48</v>
      </c>
      <c r="CZ37" s="3">
        <v>0</v>
      </c>
      <c r="DA37" s="128">
        <v>0</v>
      </c>
      <c r="DB37" s="3">
        <f>CX37-CY37-CZ37+DA37</f>
        <v>110257137.7</v>
      </c>
      <c r="DC37" s="3">
        <f>DB37/1000</f>
        <v>110257.13770000001</v>
      </c>
      <c r="DE37" s="3">
        <v>111570554.35999998</v>
      </c>
      <c r="DF37" s="3">
        <v>604865.85</v>
      </c>
      <c r="DG37" s="3">
        <v>0</v>
      </c>
      <c r="DH37" s="3">
        <v>0</v>
      </c>
      <c r="DI37" s="3">
        <f t="shared" si="14"/>
        <v>110965688.50999999</v>
      </c>
      <c r="DJ37" s="3">
        <f t="shared" si="15"/>
        <v>110965.68850999999</v>
      </c>
    </row>
    <row r="38" spans="1:114">
      <c r="A38" s="1" t="s">
        <v>28</v>
      </c>
      <c r="B38" s="14">
        <v>56255</v>
      </c>
      <c r="C38" s="14">
        <v>58528</v>
      </c>
      <c r="D38" s="14">
        <v>62684.912699999986</v>
      </c>
      <c r="E38" s="14">
        <v>68463.238690000013</v>
      </c>
      <c r="F38" s="14">
        <v>72849.178990000015</v>
      </c>
      <c r="G38" s="14">
        <v>75692.093940000006</v>
      </c>
      <c r="H38" s="14">
        <v>77418.669570000013</v>
      </c>
      <c r="I38" s="14">
        <v>73074.339559999993</v>
      </c>
      <c r="J38" s="14">
        <v>71254.485020000007</v>
      </c>
      <c r="K38" s="14">
        <v>73398.842889999985</v>
      </c>
      <c r="L38" s="240">
        <f>(K38-J38)*100/J38</f>
        <v>3.0094356438027594</v>
      </c>
      <c r="M38" s="48">
        <f t="shared" si="11"/>
        <v>38.648903998487718</v>
      </c>
      <c r="N38" s="14">
        <v>18340</v>
      </c>
      <c r="O38" s="14">
        <v>19231</v>
      </c>
      <c r="P38" s="27">
        <v>21074</v>
      </c>
      <c r="Q38" s="27">
        <v>23511</v>
      </c>
      <c r="R38" s="27">
        <v>26081</v>
      </c>
      <c r="S38" s="27">
        <v>29066</v>
      </c>
      <c r="T38" s="27">
        <v>32491</v>
      </c>
      <c r="U38" s="27">
        <v>32521</v>
      </c>
      <c r="V38" s="27">
        <v>34373</v>
      </c>
      <c r="W38" s="27">
        <v>35574</v>
      </c>
      <c r="X38" s="14">
        <f>38591.121-481.061</f>
        <v>38110.06</v>
      </c>
      <c r="Y38" s="27">
        <v>38437</v>
      </c>
      <c r="Z38" s="14">
        <v>40952</v>
      </c>
      <c r="AA38" s="14">
        <v>38959</v>
      </c>
      <c r="AB38" s="14">
        <v>42444</v>
      </c>
      <c r="AC38" s="14">
        <v>45605</v>
      </c>
      <c r="AD38" s="14">
        <v>48837</v>
      </c>
      <c r="AE38" s="3">
        <v>50857.498950000008</v>
      </c>
      <c r="AF38" s="14">
        <v>52938.639089999997</v>
      </c>
      <c r="AG38" s="128">
        <v>51392143.56000001</v>
      </c>
      <c r="AH38" s="160">
        <v>209145.56</v>
      </c>
      <c r="AI38" s="128">
        <v>310673.83</v>
      </c>
      <c r="AJ38" s="128">
        <v>9320</v>
      </c>
      <c r="AK38" s="3">
        <f>AG38-AH38-AI38+AJ38</f>
        <v>50881644.170000009</v>
      </c>
      <c r="AL38" s="3">
        <f t="shared" si="22"/>
        <v>50881.644170000007</v>
      </c>
      <c r="AN38" s="3">
        <v>53646089.359999999</v>
      </c>
      <c r="AO38" s="3">
        <v>390833.19</v>
      </c>
      <c r="AP38" s="3">
        <v>323244.23000000004</v>
      </c>
      <c r="AQ38" s="3">
        <v>6627.15</v>
      </c>
      <c r="AR38" s="3">
        <f t="shared" si="12"/>
        <v>52938639.090000004</v>
      </c>
      <c r="AS38" s="3">
        <f t="shared" si="13"/>
        <v>52938.639090000004</v>
      </c>
      <c r="AT38" s="3">
        <v>56809494</v>
      </c>
      <c r="AU38" s="92">
        <v>258946.27</v>
      </c>
      <c r="AV38" s="41">
        <v>297569.68</v>
      </c>
      <c r="AW38" s="41">
        <v>1732</v>
      </c>
      <c r="AX38" s="3">
        <f>AT38-AU38-AV38+AW38</f>
        <v>56254710.049999997</v>
      </c>
      <c r="AY38" s="3">
        <f t="shared" si="17"/>
        <v>56254.710049999994</v>
      </c>
      <c r="BA38" s="3">
        <v>59016888</v>
      </c>
      <c r="BB38" s="92">
        <v>122138.58</v>
      </c>
      <c r="BC38" s="41">
        <v>366695.47</v>
      </c>
      <c r="BD38" s="41">
        <v>0</v>
      </c>
      <c r="BE38" s="3">
        <f>BA38-BB38-BC38+BD38</f>
        <v>58528053.950000003</v>
      </c>
      <c r="BF38" s="3">
        <f t="shared" si="18"/>
        <v>58528.053950000001</v>
      </c>
      <c r="BH38" s="237">
        <v>63280582.989999995</v>
      </c>
      <c r="BI38" s="92">
        <v>194812.02</v>
      </c>
      <c r="BJ38" s="41">
        <v>400858.27</v>
      </c>
      <c r="BK38" s="41">
        <v>0</v>
      </c>
      <c r="BL38" s="3">
        <f>BH38-BI38-BJ38+BK38</f>
        <v>62684912.699999988</v>
      </c>
      <c r="BM38" s="3">
        <f t="shared" si="19"/>
        <v>62684.912699999986</v>
      </c>
      <c r="BO38" s="3">
        <v>69320626.750000015</v>
      </c>
      <c r="BP38" s="3">
        <v>328830.34000000003</v>
      </c>
      <c r="BQ38" s="3">
        <v>528557.72</v>
      </c>
      <c r="BR38" s="3">
        <v>0</v>
      </c>
      <c r="BS38" s="3">
        <f>BO38-BP38-BQ38+BR38</f>
        <v>68463238.690000013</v>
      </c>
      <c r="BT38" s="3">
        <f t="shared" si="20"/>
        <v>68463.238690000013</v>
      </c>
      <c r="BV38" s="3">
        <v>73892968.410000011</v>
      </c>
      <c r="BW38" s="3">
        <v>402552.41</v>
      </c>
      <c r="BX38" s="3">
        <v>641237.01</v>
      </c>
      <c r="BY38" s="3">
        <v>0</v>
      </c>
      <c r="BZ38" s="3">
        <f>BV38-BW38-BX38+BY38</f>
        <v>72849178.99000001</v>
      </c>
      <c r="CA38" s="3">
        <f t="shared" si="21"/>
        <v>72849.178990000015</v>
      </c>
      <c r="CC38" s="3">
        <v>76672971.060000002</v>
      </c>
      <c r="CD38" s="3">
        <v>269094.63</v>
      </c>
      <c r="CE38" s="3">
        <v>711782.49</v>
      </c>
      <c r="CF38" s="3">
        <v>0</v>
      </c>
      <c r="CG38" s="3">
        <f>CC38-CD38-CE38+CF38</f>
        <v>75692093.940000013</v>
      </c>
      <c r="CH38" s="3">
        <f>CG38/1000</f>
        <v>75692.093940000006</v>
      </c>
      <c r="CJ38" s="128">
        <v>78194337.460000008</v>
      </c>
      <c r="CK38" s="3">
        <v>378591.91999999993</v>
      </c>
      <c r="CL38" s="3">
        <v>397075.97</v>
      </c>
      <c r="CM38" s="128">
        <v>0</v>
      </c>
      <c r="CN38" s="3">
        <f>CJ38-CK38-CL38+CM38</f>
        <v>77418669.570000008</v>
      </c>
      <c r="CO38" s="3">
        <f>CN38/1000</f>
        <v>77418.669570000013</v>
      </c>
      <c r="CQ38" s="128">
        <v>73491778.069999993</v>
      </c>
      <c r="CR38" s="3">
        <v>417311.32999999996</v>
      </c>
      <c r="CS38" s="3">
        <v>127.18</v>
      </c>
      <c r="CT38" s="128">
        <v>0</v>
      </c>
      <c r="CU38" s="3">
        <f>CQ38-CR38-CS38+CT38</f>
        <v>73074339.559999987</v>
      </c>
      <c r="CV38" s="3">
        <f>CU38/1000</f>
        <v>73074.339559999993</v>
      </c>
      <c r="CX38" s="128">
        <v>71858816.260000005</v>
      </c>
      <c r="CY38" s="3">
        <v>604331.24</v>
      </c>
      <c r="CZ38" s="3">
        <v>0</v>
      </c>
      <c r="DA38" s="128">
        <v>0</v>
      </c>
      <c r="DB38" s="3">
        <f>CX38-CY38-CZ38+DA38</f>
        <v>71254485.020000011</v>
      </c>
      <c r="DC38" s="3">
        <f>DB38/1000</f>
        <v>71254.485020000007</v>
      </c>
      <c r="DE38" s="3">
        <v>73997484.309999987</v>
      </c>
      <c r="DF38" s="3">
        <v>598641.41999999993</v>
      </c>
      <c r="DG38" s="3">
        <v>0</v>
      </c>
      <c r="DH38" s="3">
        <v>0</v>
      </c>
      <c r="DI38" s="3">
        <f t="shared" si="14"/>
        <v>73398842.889999986</v>
      </c>
      <c r="DJ38" s="3">
        <f t="shared" si="15"/>
        <v>73398.842889999985</v>
      </c>
    </row>
    <row r="39" spans="1:114" ht="13.5" thickBot="1">
      <c r="A39" s="17" t="s">
        <v>29</v>
      </c>
      <c r="B39" s="14">
        <v>33380</v>
      </c>
      <c r="C39" s="14">
        <v>35664</v>
      </c>
      <c r="D39" s="14">
        <v>37524.653579999991</v>
      </c>
      <c r="E39" s="14">
        <v>41084.559560000009</v>
      </c>
      <c r="F39" s="14">
        <v>43869.768100000016</v>
      </c>
      <c r="G39" s="14">
        <v>45777.68477</v>
      </c>
      <c r="H39" s="14">
        <v>44953.237140000005</v>
      </c>
      <c r="I39" s="14">
        <v>45766.267930000009</v>
      </c>
      <c r="J39" s="14">
        <v>45406.290030000004</v>
      </c>
      <c r="K39" s="14">
        <v>44496.069259999997</v>
      </c>
      <c r="L39" s="240">
        <f>(K39-J39)*100/J39</f>
        <v>-2.0046138308120374</v>
      </c>
      <c r="M39" s="48">
        <f t="shared" si="11"/>
        <v>41.330350568804469</v>
      </c>
      <c r="N39" s="24">
        <v>10141</v>
      </c>
      <c r="O39" s="24">
        <v>10503</v>
      </c>
      <c r="P39" s="27">
        <v>12278</v>
      </c>
      <c r="Q39" s="27">
        <v>13084</v>
      </c>
      <c r="R39" s="27">
        <v>14241</v>
      </c>
      <c r="S39" s="27">
        <v>15789</v>
      </c>
      <c r="T39" s="27">
        <v>17455</v>
      </c>
      <c r="U39" s="27">
        <v>18140</v>
      </c>
      <c r="V39" s="27">
        <v>19030</v>
      </c>
      <c r="W39" s="27">
        <v>19975</v>
      </c>
      <c r="X39" s="14">
        <f>21423.706-462.395</f>
        <v>20961.310999999998</v>
      </c>
      <c r="Y39" s="27">
        <v>21276</v>
      </c>
      <c r="Z39" s="14">
        <v>22883</v>
      </c>
      <c r="AA39" s="14">
        <v>21807</v>
      </c>
      <c r="AB39" s="14">
        <v>23611</v>
      </c>
      <c r="AC39" s="14">
        <v>24753</v>
      </c>
      <c r="AD39" s="14">
        <v>27255</v>
      </c>
      <c r="AE39" s="3">
        <v>29132.03225</v>
      </c>
      <c r="AF39" s="14">
        <v>31483.732319999999</v>
      </c>
      <c r="AG39" s="129">
        <v>29911451.93</v>
      </c>
      <c r="AH39" s="129">
        <v>511507.87</v>
      </c>
      <c r="AI39" s="129">
        <v>225041.79</v>
      </c>
      <c r="AJ39" s="129">
        <v>977.12</v>
      </c>
      <c r="AK39" s="3">
        <f>AG39-AH39-AI39+AJ39</f>
        <v>29175879.390000001</v>
      </c>
      <c r="AL39" s="3">
        <f t="shared" si="22"/>
        <v>29175.879390000002</v>
      </c>
      <c r="AN39" s="3">
        <v>32278947.210000005</v>
      </c>
      <c r="AO39" s="3">
        <v>546587.69999999995</v>
      </c>
      <c r="AP39" s="3">
        <v>250342.58000000002</v>
      </c>
      <c r="AQ39" s="3">
        <v>1715.39</v>
      </c>
      <c r="AR39" s="3">
        <f t="shared" si="12"/>
        <v>31483732.320000008</v>
      </c>
      <c r="AS39" s="3">
        <f t="shared" si="13"/>
        <v>31483.732320000006</v>
      </c>
      <c r="AT39" s="3">
        <v>33772166</v>
      </c>
      <c r="AU39" s="93">
        <v>195572.91</v>
      </c>
      <c r="AV39" s="93">
        <v>196171.15</v>
      </c>
      <c r="AW39" s="93">
        <v>0</v>
      </c>
      <c r="AX39" s="3">
        <f>AT39-AU39-AV39+AW39</f>
        <v>33380421.940000005</v>
      </c>
      <c r="AY39" s="3">
        <f t="shared" si="17"/>
        <v>33380.421940000007</v>
      </c>
      <c r="BA39" s="3">
        <v>36538572</v>
      </c>
      <c r="BB39" s="93">
        <v>658428.98</v>
      </c>
      <c r="BC39" s="93">
        <v>217023.99</v>
      </c>
      <c r="BD39" s="93">
        <v>835.58</v>
      </c>
      <c r="BE39" s="3">
        <f>BA39-BB39-BC39+BD39</f>
        <v>35663954.609999999</v>
      </c>
      <c r="BF39" s="3">
        <f t="shared" si="18"/>
        <v>35663.954610000001</v>
      </c>
      <c r="BH39" s="237">
        <v>38486373.199999988</v>
      </c>
      <c r="BI39" s="93">
        <v>710460.66</v>
      </c>
      <c r="BJ39" s="93">
        <v>251258.96</v>
      </c>
      <c r="BK39" s="93">
        <v>0</v>
      </c>
      <c r="BL39" s="3">
        <f>BH39-BI39-BJ39+BK39</f>
        <v>37524653.579999991</v>
      </c>
      <c r="BM39" s="3">
        <f t="shared" si="19"/>
        <v>37524.653579999991</v>
      </c>
      <c r="BO39" s="3">
        <v>42312406.960000008</v>
      </c>
      <c r="BP39" s="3">
        <v>893723.1</v>
      </c>
      <c r="BQ39" s="3">
        <v>334124.3</v>
      </c>
      <c r="BR39" s="3">
        <v>0</v>
      </c>
      <c r="BS39" s="3">
        <f>BO39-BP39-BQ39+BR39</f>
        <v>41084559.56000001</v>
      </c>
      <c r="BT39" s="3">
        <f t="shared" si="20"/>
        <v>41084.559560000009</v>
      </c>
      <c r="BV39" s="3">
        <v>44568101.190000013</v>
      </c>
      <c r="BW39" s="3">
        <v>388157.51</v>
      </c>
      <c r="BX39" s="3">
        <v>310175.58</v>
      </c>
      <c r="BY39" s="3">
        <v>0</v>
      </c>
      <c r="BZ39" s="3">
        <f>BV39-BW39-BX39+BY39</f>
        <v>43869768.100000016</v>
      </c>
      <c r="CA39" s="3">
        <f t="shared" si="21"/>
        <v>43869.768100000016</v>
      </c>
      <c r="CC39" s="3">
        <v>46268199.260000005</v>
      </c>
      <c r="CD39" s="3">
        <v>177229.38</v>
      </c>
      <c r="CE39" s="3">
        <v>313285.10999999993</v>
      </c>
      <c r="CF39" s="3">
        <v>0</v>
      </c>
      <c r="CG39" s="3">
        <f>CC39-CD39-CE39+CF39</f>
        <v>45777684.770000003</v>
      </c>
      <c r="CH39" s="3">
        <f>CG39/1000</f>
        <v>45777.68477</v>
      </c>
      <c r="CJ39" s="129">
        <v>46042506.500000007</v>
      </c>
      <c r="CK39" s="3">
        <v>822764.74</v>
      </c>
      <c r="CL39" s="3">
        <v>266504.62000000005</v>
      </c>
      <c r="CM39" s="283">
        <v>0</v>
      </c>
      <c r="CN39" s="3">
        <f>CJ39-CK39-CL39+CM39</f>
        <v>44953237.140000008</v>
      </c>
      <c r="CO39" s="3">
        <f>CN39/1000</f>
        <v>44953.237140000005</v>
      </c>
      <c r="CQ39" s="129">
        <v>46358139.090000011</v>
      </c>
      <c r="CR39" s="3">
        <v>353228.35000000003</v>
      </c>
      <c r="CS39" s="3">
        <v>238642.80999999997</v>
      </c>
      <c r="CT39" s="283">
        <v>0</v>
      </c>
      <c r="CU39" s="3">
        <f>CQ39-CR39-CS39+CT39</f>
        <v>45766267.930000007</v>
      </c>
      <c r="CV39" s="3">
        <f>CU39/1000</f>
        <v>45766.267930000009</v>
      </c>
      <c r="CX39" s="129">
        <v>45907783.260000005</v>
      </c>
      <c r="CY39" s="3">
        <v>242808.14</v>
      </c>
      <c r="CZ39" s="3">
        <v>258685.09</v>
      </c>
      <c r="DA39" s="283">
        <v>0</v>
      </c>
      <c r="DB39" s="3">
        <f>CX39-CY39-CZ39+DA39</f>
        <v>45406290.030000001</v>
      </c>
      <c r="DC39" s="3">
        <f>DB39/1000</f>
        <v>45406.290030000004</v>
      </c>
      <c r="DE39" s="3">
        <v>45371695.719999999</v>
      </c>
      <c r="DF39" s="3">
        <v>612469.5</v>
      </c>
      <c r="DG39" s="3">
        <v>263156.96000000002</v>
      </c>
      <c r="DH39" s="3">
        <v>0</v>
      </c>
      <c r="DI39" s="3">
        <f t="shared" si="14"/>
        <v>44496069.259999998</v>
      </c>
      <c r="DJ39" s="3">
        <f t="shared" si="15"/>
        <v>44496.069259999997</v>
      </c>
    </row>
    <row r="40" spans="1:114">
      <c r="A40" s="1" t="s">
        <v>293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P40" s="18"/>
      <c r="Q40" s="18"/>
      <c r="R40" s="18"/>
      <c r="V40" s="18"/>
      <c r="X40" s="19"/>
      <c r="AA40" s="18"/>
      <c r="AB40" s="7"/>
      <c r="AD40" s="18"/>
      <c r="AE40" s="18"/>
      <c r="AF40" s="7"/>
      <c r="AG40" s="7"/>
      <c r="AH40" s="7"/>
      <c r="AI40" s="7"/>
      <c r="AJ40" s="7"/>
      <c r="AK40" s="7"/>
      <c r="BH40" s="237"/>
    </row>
    <row r="41" spans="1:114">
      <c r="X41" s="14"/>
    </row>
    <row r="42" spans="1:114">
      <c r="A42" s="30" t="s">
        <v>101</v>
      </c>
      <c r="P42" s="14"/>
      <c r="Q42" s="14"/>
      <c r="R42" s="14"/>
      <c r="X42" s="14"/>
    </row>
    <row r="43" spans="1:114">
      <c r="A43" s="1" t="s">
        <v>102</v>
      </c>
      <c r="P43" s="14"/>
      <c r="Q43" s="14"/>
      <c r="R43" s="14"/>
      <c r="X43" s="14"/>
    </row>
    <row r="44" spans="1:114">
      <c r="P44" s="14"/>
      <c r="Q44" s="14"/>
      <c r="R44" s="14"/>
      <c r="X44" s="14"/>
    </row>
    <row r="45" spans="1:114">
      <c r="L45" s="89"/>
      <c r="M45" s="89"/>
      <c r="P45" s="14"/>
      <c r="Q45" s="14"/>
      <c r="R45" s="14"/>
      <c r="X45" s="14"/>
    </row>
    <row r="46" spans="1:114">
      <c r="P46" s="14"/>
      <c r="Q46" s="14"/>
      <c r="R46" s="14"/>
      <c r="X46" s="14"/>
    </row>
    <row r="47" spans="1:114">
      <c r="L47" s="210"/>
      <c r="M47" s="210"/>
      <c r="O47" s="210"/>
      <c r="P47" s="210"/>
      <c r="X47" s="14"/>
    </row>
    <row r="48" spans="1:114">
      <c r="L48" s="210"/>
      <c r="M48" s="210"/>
      <c r="O48" s="210"/>
      <c r="P48" s="210"/>
      <c r="X48" s="14"/>
    </row>
    <row r="49" spans="12:24">
      <c r="L49" s="210"/>
      <c r="M49" s="210"/>
      <c r="O49" s="210"/>
      <c r="P49" s="210"/>
      <c r="X49" s="14"/>
    </row>
    <row r="50" spans="12:24">
      <c r="L50" s="210"/>
      <c r="M50" s="210"/>
      <c r="O50" s="210"/>
      <c r="P50" s="210"/>
      <c r="X50" s="14"/>
    </row>
    <row r="51" spans="12:24">
      <c r="L51" s="210"/>
      <c r="M51" s="210"/>
      <c r="O51" s="210"/>
      <c r="P51" s="210"/>
      <c r="X51" s="14"/>
    </row>
    <row r="52" spans="12:24">
      <c r="L52" s="210"/>
      <c r="M52" s="210"/>
      <c r="O52" s="210"/>
      <c r="P52" s="210"/>
      <c r="X52" s="14"/>
    </row>
    <row r="53" spans="12:24">
      <c r="L53" s="210"/>
      <c r="M53" s="210"/>
      <c r="O53" s="210"/>
      <c r="P53" s="210"/>
      <c r="X53" s="14"/>
    </row>
    <row r="54" spans="12:24">
      <c r="L54" s="210"/>
      <c r="M54" s="210"/>
      <c r="O54" s="210"/>
      <c r="P54" s="210"/>
    </row>
    <row r="55" spans="12:24">
      <c r="L55" s="210"/>
      <c r="M55" s="210"/>
      <c r="O55" s="210"/>
      <c r="P55" s="210"/>
    </row>
    <row r="56" spans="12:24">
      <c r="L56" s="210"/>
      <c r="M56" s="210"/>
      <c r="O56" s="210"/>
      <c r="P56" s="210"/>
    </row>
    <row r="57" spans="12:24">
      <c r="L57" s="210"/>
      <c r="M57" s="210"/>
      <c r="O57" s="210"/>
      <c r="P57" s="210"/>
    </row>
    <row r="58" spans="12:24">
      <c r="L58" s="210"/>
      <c r="M58" s="210"/>
      <c r="O58" s="210"/>
      <c r="P58" s="210"/>
    </row>
    <row r="59" spans="12:24">
      <c r="L59" s="210"/>
      <c r="M59" s="210"/>
      <c r="O59" s="210"/>
      <c r="P59" s="210"/>
    </row>
    <row r="60" spans="12:24">
      <c r="L60" s="210"/>
      <c r="M60" s="210"/>
      <c r="O60" s="210"/>
      <c r="P60" s="210"/>
    </row>
    <row r="61" spans="12:24">
      <c r="L61" s="210"/>
      <c r="M61" s="210"/>
      <c r="O61" s="210"/>
      <c r="P61" s="210"/>
    </row>
    <row r="62" spans="12:24">
      <c r="L62" s="210"/>
      <c r="M62" s="210"/>
      <c r="O62" s="210"/>
      <c r="P62" s="210"/>
    </row>
    <row r="63" spans="12:24">
      <c r="L63" s="210"/>
      <c r="M63" s="210"/>
      <c r="O63" s="210"/>
      <c r="P63" s="210"/>
    </row>
    <row r="64" spans="12:24">
      <c r="L64" s="210"/>
      <c r="M64" s="210"/>
      <c r="O64" s="210"/>
      <c r="P64" s="210"/>
    </row>
    <row r="65" spans="12:16">
      <c r="L65" s="210"/>
      <c r="M65" s="210"/>
      <c r="O65" s="210"/>
      <c r="P65" s="210"/>
    </row>
    <row r="66" spans="12:16">
      <c r="L66" s="210"/>
      <c r="M66" s="210"/>
      <c r="O66" s="210"/>
      <c r="P66" s="210"/>
    </row>
    <row r="67" spans="12:16">
      <c r="L67" s="210"/>
      <c r="M67" s="210"/>
      <c r="O67" s="210"/>
      <c r="P67" s="210"/>
    </row>
    <row r="68" spans="12:16">
      <c r="L68" s="210"/>
      <c r="M68" s="210"/>
      <c r="O68" s="210"/>
      <c r="P68" s="210"/>
    </row>
    <row r="69" spans="12:16">
      <c r="L69" s="210"/>
      <c r="M69" s="210"/>
      <c r="O69" s="210"/>
      <c r="P69" s="210"/>
    </row>
    <row r="70" spans="12:16">
      <c r="L70" s="210"/>
      <c r="M70" s="210"/>
      <c r="O70" s="210"/>
      <c r="P70" s="210"/>
    </row>
    <row r="71" spans="12:16">
      <c r="L71" s="210"/>
      <c r="M71" s="210"/>
      <c r="O71" s="210"/>
      <c r="P71" s="210"/>
    </row>
    <row r="72" spans="12:16">
      <c r="L72" s="210"/>
      <c r="M72" s="210"/>
      <c r="O72" s="210"/>
      <c r="P72" s="210"/>
    </row>
    <row r="73" spans="12:16">
      <c r="L73" s="210"/>
      <c r="M73" s="210"/>
      <c r="O73" s="210"/>
      <c r="P73" s="210"/>
    </row>
    <row r="74" spans="12:16">
      <c r="L74" s="210"/>
      <c r="M74" s="210"/>
      <c r="O74" s="210"/>
      <c r="P74" s="210"/>
    </row>
  </sheetData>
  <sheetProtection password="CAF5" sheet="1" objects="1" scenarios="1"/>
  <mergeCells count="24">
    <mergeCell ref="AR6:AR7"/>
    <mergeCell ref="BA5:BF5"/>
    <mergeCell ref="AK6:AK7"/>
    <mergeCell ref="AL6:AL7"/>
    <mergeCell ref="AG5:AL5"/>
    <mergeCell ref="BE6:BE7"/>
    <mergeCell ref="BF6:BF7"/>
    <mergeCell ref="AS6:AS7"/>
    <mergeCell ref="DJ6:DJ7"/>
    <mergeCell ref="DC6:DC7"/>
    <mergeCell ref="CV6:CV7"/>
    <mergeCell ref="A4:M4"/>
    <mergeCell ref="BV5:CA5"/>
    <mergeCell ref="BZ6:BZ7"/>
    <mergeCell ref="CA6:CA7"/>
    <mergeCell ref="AT5:AY5"/>
    <mergeCell ref="BO5:BT5"/>
    <mergeCell ref="BS6:BS7"/>
    <mergeCell ref="BT6:BT7"/>
    <mergeCell ref="BH5:BM5"/>
    <mergeCell ref="BL6:BL7"/>
    <mergeCell ref="BM6:BM7"/>
    <mergeCell ref="L7:M7"/>
    <mergeCell ref="AN5:AS5"/>
  </mergeCells>
  <phoneticPr fontId="2" type="noConversion"/>
  <pageMargins left="0.54" right="0.49" top="1" bottom="1" header="0.5" footer="0.5"/>
  <pageSetup scale="78" orientation="landscape" horizontalDpi="4294967292" verticalDpi="4294967292" r:id="rId1"/>
  <headerFooter scaleWithDoc="0" alignWithMargins="0">
    <oddFooter>&amp;L&amp;"Arial,Italic"&amp;10MSDE - LFRO   12 / 2014&amp;C&amp;"Arial,Regular"&amp;10- 8 -&amp;R&amp;"Arial,Italic"&amp;10Selected Financial Data - Part 4</oddFooter>
  </headerFooter>
  <rowBreaks count="1" manualBreakCount="1">
    <brk id="41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DO53"/>
  <sheetViews>
    <sheetView workbookViewId="0"/>
  </sheetViews>
  <sheetFormatPr defaultColWidth="10" defaultRowHeight="12.75"/>
  <cols>
    <col min="1" max="1" width="12.875" style="1" customWidth="1"/>
    <col min="2" max="11" width="12.625" style="1" customWidth="1"/>
    <col min="12" max="12" width="7.625" style="1" customWidth="1"/>
    <col min="13" max="13" width="8.625" style="1" customWidth="1"/>
    <col min="14" max="14" width="9.125" style="1" bestFit="1" customWidth="1"/>
    <col min="15" max="15" width="8.625" style="1" customWidth="1"/>
    <col min="16" max="16" width="9.125" style="1" bestFit="1" customWidth="1"/>
    <col min="17" max="23" width="10.125" style="1" customWidth="1"/>
    <col min="24" max="24" width="11.625" style="1" customWidth="1"/>
    <col min="25" max="25" width="12.625" style="1" customWidth="1"/>
    <col min="26" max="26" width="10.875" style="113" bestFit="1" customWidth="1"/>
    <col min="27" max="29" width="12.625" style="1" customWidth="1"/>
    <col min="30" max="32" width="10.875" style="113" customWidth="1"/>
    <col min="33" max="33" width="13.25" style="113" customWidth="1"/>
    <col min="34" max="34" width="11.25" style="113" customWidth="1"/>
    <col min="35" max="35" width="12" style="113" customWidth="1"/>
    <col min="36" max="43" width="10.875" style="113" customWidth="1"/>
    <col min="44" max="44" width="5" style="113" customWidth="1"/>
    <col min="45" max="45" width="12.25" style="3" customWidth="1"/>
    <col min="46" max="47" width="11.125" style="3" bestFit="1" customWidth="1"/>
    <col min="48" max="48" width="11.125" style="3" customWidth="1"/>
    <col min="49" max="49" width="10.125" style="3" customWidth="1"/>
    <col min="50" max="50" width="4.75" style="3" customWidth="1"/>
    <col min="51" max="51" width="12.5" style="3" bestFit="1" customWidth="1"/>
    <col min="52" max="52" width="12.625" style="3" customWidth="1"/>
    <col min="53" max="53" width="11.625" style="3" customWidth="1"/>
    <col min="54" max="54" width="12.5" style="3" bestFit="1" customWidth="1"/>
    <col min="55" max="58" width="10.125" style="3" customWidth="1"/>
    <col min="59" max="59" width="11.125" style="3" customWidth="1"/>
    <col min="60" max="60" width="10.125" style="3" customWidth="1"/>
    <col min="61" max="61" width="12.5" style="3" bestFit="1" customWidth="1"/>
    <col min="62" max="62" width="10.125" style="3" customWidth="1"/>
    <col min="63" max="63" width="19.875" style="3" bestFit="1" customWidth="1"/>
    <col min="64" max="64" width="11.125" style="3" bestFit="1" customWidth="1"/>
    <col min="65" max="66" width="10.125" style="3" customWidth="1"/>
    <col min="67" max="67" width="11.125" style="3" bestFit="1" customWidth="1"/>
    <col min="68" max="68" width="10.125" style="3" customWidth="1"/>
    <col min="69" max="69" width="11.125" style="3" bestFit="1" customWidth="1"/>
    <col min="70" max="70" width="10.125" style="3" customWidth="1"/>
    <col min="71" max="71" width="12.5" style="3" bestFit="1" customWidth="1"/>
    <col min="72" max="72" width="10.125" style="3" customWidth="1"/>
    <col min="73" max="73" width="19.875" style="3" bestFit="1" customWidth="1"/>
    <col min="74" max="74" width="12.5" style="3" customWidth="1"/>
    <col min="75" max="76" width="10.125" style="3" customWidth="1"/>
    <col min="77" max="77" width="11.125" style="3" bestFit="1" customWidth="1"/>
    <col min="78" max="78" width="10.125" style="3" customWidth="1"/>
    <col min="79" max="79" width="11.125" style="3" bestFit="1" customWidth="1"/>
    <col min="80" max="80" width="10" style="3" customWidth="1"/>
    <col min="81" max="81" width="10.875" style="3" customWidth="1"/>
    <col min="82" max="82" width="10" style="3" customWidth="1"/>
    <col min="83" max="83" width="10.875" style="3" customWidth="1"/>
    <col min="84" max="84" width="5.875" style="3" customWidth="1"/>
    <col min="85" max="85" width="13" style="3" customWidth="1"/>
    <col min="86" max="86" width="10.875" style="3" customWidth="1"/>
    <col min="87" max="87" width="11.25" style="3" customWidth="1"/>
    <col min="88" max="88" width="12.25" style="3" customWidth="1"/>
    <col min="89" max="89" width="10.125" style="3" bestFit="1" customWidth="1"/>
    <col min="90" max="90" width="10" style="3"/>
    <col min="91" max="91" width="12.375" style="3" customWidth="1"/>
    <col min="92" max="92" width="10" style="3"/>
    <col min="93" max="93" width="18.625" style="3" customWidth="1"/>
    <col min="94" max="94" width="12.5" style="3" bestFit="1" customWidth="1"/>
    <col min="95" max="96" width="10" style="3"/>
    <col min="97" max="97" width="14.375" style="3" customWidth="1"/>
    <col min="98" max="98" width="12.625" style="3" customWidth="1"/>
    <col min="99" max="99" width="19.875" style="3" bestFit="1" customWidth="1"/>
    <col min="100" max="100" width="12.5" style="3" bestFit="1" customWidth="1"/>
    <col min="101" max="101" width="10.125" style="3" bestFit="1" customWidth="1"/>
    <col min="102" max="102" width="3.25" style="3" customWidth="1"/>
    <col min="103" max="103" width="22.375" style="3" bestFit="1" customWidth="1"/>
    <col min="104" max="104" width="10" style="3"/>
    <col min="105" max="105" width="12.375" style="3" customWidth="1"/>
    <col min="106" max="106" width="10.625" style="3" customWidth="1"/>
    <col min="107" max="108" width="10" style="3"/>
    <col min="109" max="109" width="13.375" style="3" customWidth="1"/>
    <col min="110" max="111" width="10" style="3"/>
    <col min="112" max="112" width="12" style="3" customWidth="1"/>
    <col min="113" max="114" width="10" style="3"/>
    <col min="115" max="115" width="13.25" style="3" customWidth="1"/>
    <col min="116" max="117" width="10" style="3"/>
    <col min="118" max="118" width="12" style="3" customWidth="1"/>
    <col min="119" max="16384" width="10" style="3"/>
  </cols>
  <sheetData>
    <row r="1" spans="1:119" ht="15.75" customHeight="1">
      <c r="A1" s="115" t="s">
        <v>91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68"/>
      <c r="O1" s="68"/>
      <c r="P1" s="10"/>
      <c r="Y1" s="10"/>
      <c r="AA1" s="68"/>
      <c r="AB1" s="68"/>
      <c r="AC1" s="68"/>
    </row>
    <row r="2" spans="1:119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Y2" s="94"/>
      <c r="AA2" s="68"/>
      <c r="AB2" s="68"/>
      <c r="AC2" s="68"/>
    </row>
    <row r="3" spans="1:119">
      <c r="A3" s="115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99"/>
      <c r="O3" s="10"/>
      <c r="P3" s="68"/>
      <c r="R3" s="2"/>
      <c r="S3" s="28"/>
      <c r="Y3" s="115"/>
      <c r="AA3" s="199"/>
      <c r="AB3" s="199"/>
      <c r="AC3" s="199"/>
    </row>
    <row r="4" spans="1:119">
      <c r="A4" s="405" t="s">
        <v>367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115"/>
      <c r="O4" s="199"/>
      <c r="P4" s="199"/>
      <c r="Q4" s="10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1"/>
    </row>
    <row r="5" spans="1:119" ht="13.5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Y5" s="94"/>
      <c r="AA5" s="94"/>
      <c r="AB5" s="94"/>
      <c r="AC5" s="94"/>
    </row>
    <row r="6" spans="1:119" ht="14.25" thickTop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7"/>
      <c r="AG6" s="419" t="s">
        <v>335</v>
      </c>
      <c r="AH6" s="420"/>
      <c r="AI6" s="420"/>
      <c r="AJ6" s="420"/>
      <c r="AK6" s="421"/>
      <c r="AL6" s="7"/>
      <c r="AM6" s="419" t="s">
        <v>353</v>
      </c>
      <c r="AN6" s="420"/>
      <c r="AO6" s="420"/>
      <c r="AP6" s="420"/>
      <c r="AQ6" s="421"/>
      <c r="AR6" s="7"/>
      <c r="AS6" s="419" t="s">
        <v>189</v>
      </c>
      <c r="AT6" s="420"/>
      <c r="AU6" s="420"/>
      <c r="AV6" s="420"/>
      <c r="AW6" s="421"/>
      <c r="AY6" s="419" t="s">
        <v>196</v>
      </c>
      <c r="AZ6" s="420"/>
      <c r="BA6" s="420"/>
      <c r="BB6" s="420"/>
      <c r="BC6" s="421"/>
      <c r="BI6" s="419" t="s">
        <v>216</v>
      </c>
      <c r="BJ6" s="420"/>
      <c r="BK6" s="420"/>
      <c r="BL6" s="420"/>
      <c r="BM6" s="421"/>
      <c r="BS6" s="419" t="s">
        <v>246</v>
      </c>
      <c r="BT6" s="420"/>
      <c r="BU6" s="420"/>
      <c r="BV6" s="420"/>
      <c r="BW6" s="421"/>
      <c r="BY6" s="410" t="s">
        <v>247</v>
      </c>
      <c r="BZ6" s="410"/>
      <c r="CC6" s="410" t="s">
        <v>260</v>
      </c>
      <c r="CD6" s="410"/>
      <c r="CG6" s="3" t="s">
        <v>261</v>
      </c>
      <c r="CM6" s="3" t="s">
        <v>272</v>
      </c>
      <c r="CS6" s="3" t="s">
        <v>286</v>
      </c>
      <c r="CY6" s="3" t="s">
        <v>312</v>
      </c>
      <c r="DE6" s="3" t="s">
        <v>343</v>
      </c>
      <c r="DK6" s="3" t="s">
        <v>368</v>
      </c>
    </row>
    <row r="7" spans="1:119">
      <c r="A7" s="7"/>
      <c r="L7" s="406" t="s">
        <v>34</v>
      </c>
      <c r="M7" s="406"/>
      <c r="O7" s="7"/>
      <c r="P7" s="7"/>
      <c r="Q7" s="7"/>
      <c r="T7" s="7"/>
      <c r="U7" s="7"/>
      <c r="V7" s="7"/>
      <c r="W7" s="7"/>
      <c r="X7" s="7"/>
      <c r="Y7" s="7"/>
      <c r="Z7" s="7"/>
      <c r="AA7" s="7"/>
      <c r="AD7" s="1"/>
      <c r="AE7" s="1"/>
      <c r="AF7" s="1"/>
      <c r="AG7" s="113" t="s">
        <v>117</v>
      </c>
      <c r="AH7" s="113" t="s">
        <v>117</v>
      </c>
      <c r="AI7" s="113" t="s">
        <v>197</v>
      </c>
      <c r="AJ7" s="113" t="s">
        <v>116</v>
      </c>
      <c r="AK7" s="186"/>
      <c r="AL7" s="3"/>
      <c r="AM7" s="113" t="s">
        <v>117</v>
      </c>
      <c r="AN7" s="113" t="s">
        <v>117</v>
      </c>
      <c r="AO7" s="113" t="s">
        <v>197</v>
      </c>
      <c r="AP7" s="113" t="s">
        <v>116</v>
      </c>
      <c r="AQ7" s="186"/>
      <c r="AR7" s="7"/>
      <c r="AS7" s="113" t="s">
        <v>117</v>
      </c>
      <c r="AT7" s="113" t="s">
        <v>117</v>
      </c>
      <c r="AU7" s="113" t="s">
        <v>117</v>
      </c>
      <c r="AV7" s="113" t="s">
        <v>116</v>
      </c>
      <c r="AW7" s="186"/>
      <c r="AY7" s="113" t="s">
        <v>117</v>
      </c>
      <c r="AZ7" s="113" t="s">
        <v>117</v>
      </c>
      <c r="BA7" s="113" t="s">
        <v>197</v>
      </c>
      <c r="BB7" s="113" t="s">
        <v>116</v>
      </c>
      <c r="BC7" s="186"/>
      <c r="BI7" s="113" t="s">
        <v>117</v>
      </c>
      <c r="BJ7" s="113" t="s">
        <v>117</v>
      </c>
      <c r="BK7" s="113" t="s">
        <v>197</v>
      </c>
      <c r="BL7" s="113" t="s">
        <v>116</v>
      </c>
      <c r="BM7" s="186"/>
      <c r="BS7" s="113" t="s">
        <v>117</v>
      </c>
      <c r="BT7" s="113" t="s">
        <v>117</v>
      </c>
      <c r="BU7" s="113" t="s">
        <v>197</v>
      </c>
      <c r="BV7" s="113" t="s">
        <v>116</v>
      </c>
      <c r="BW7" s="186"/>
      <c r="BY7" s="3" t="s">
        <v>199</v>
      </c>
      <c r="CC7" s="3" t="s">
        <v>199</v>
      </c>
      <c r="CG7" s="3" t="s">
        <v>117</v>
      </c>
      <c r="CH7" s="3" t="s">
        <v>117</v>
      </c>
      <c r="CI7" s="3" t="s">
        <v>197</v>
      </c>
      <c r="CJ7" s="3" t="s">
        <v>116</v>
      </c>
      <c r="CM7" s="3" t="s">
        <v>117</v>
      </c>
      <c r="CN7" s="3" t="s">
        <v>117</v>
      </c>
      <c r="CO7" s="3" t="s">
        <v>197</v>
      </c>
      <c r="CP7" s="3" t="s">
        <v>116</v>
      </c>
      <c r="CS7" s="3" t="s">
        <v>117</v>
      </c>
      <c r="CT7" s="3" t="s">
        <v>117</v>
      </c>
      <c r="CU7" s="3" t="s">
        <v>197</v>
      </c>
      <c r="CV7" s="3" t="s">
        <v>116</v>
      </c>
      <c r="CY7" s="3" t="s">
        <v>117</v>
      </c>
      <c r="CZ7" s="3" t="s">
        <v>117</v>
      </c>
      <c r="DA7" s="3" t="s">
        <v>197</v>
      </c>
      <c r="DE7" s="3" t="s">
        <v>117</v>
      </c>
      <c r="DF7" s="3" t="s">
        <v>117</v>
      </c>
      <c r="DG7" s="3" t="s">
        <v>197</v>
      </c>
      <c r="DK7" s="3" t="s">
        <v>117</v>
      </c>
      <c r="DL7" s="3" t="s">
        <v>117</v>
      </c>
      <c r="DM7" s="3" t="s">
        <v>197</v>
      </c>
    </row>
    <row r="8" spans="1:119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6" t="s">
        <v>85</v>
      </c>
      <c r="M8" s="26" t="s">
        <v>86</v>
      </c>
      <c r="O8" s="7"/>
      <c r="P8" s="7"/>
      <c r="Q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13" t="s">
        <v>114</v>
      </c>
      <c r="AH8" s="113" t="s">
        <v>114</v>
      </c>
      <c r="AI8" s="417" t="s">
        <v>198</v>
      </c>
      <c r="AJ8" s="113" t="s">
        <v>114</v>
      </c>
      <c r="AK8" s="3"/>
      <c r="AL8" s="3"/>
      <c r="AM8" s="113" t="s">
        <v>114</v>
      </c>
      <c r="AN8" s="113" t="s">
        <v>114</v>
      </c>
      <c r="AO8" s="417" t="s">
        <v>198</v>
      </c>
      <c r="AP8" s="113" t="s">
        <v>114</v>
      </c>
      <c r="AQ8" s="3"/>
      <c r="AR8" s="7"/>
      <c r="AS8" s="113" t="s">
        <v>114</v>
      </c>
      <c r="AT8" s="113" t="s">
        <v>114</v>
      </c>
      <c r="AU8" s="113" t="s">
        <v>114</v>
      </c>
      <c r="AV8" s="113" t="s">
        <v>114</v>
      </c>
      <c r="AY8" s="113" t="s">
        <v>114</v>
      </c>
      <c r="AZ8" s="113" t="s">
        <v>114</v>
      </c>
      <c r="BA8" s="417" t="s">
        <v>198</v>
      </c>
      <c r="BB8" s="113" t="s">
        <v>114</v>
      </c>
      <c r="BE8" s="3" t="s">
        <v>199</v>
      </c>
      <c r="BI8" s="113" t="s">
        <v>114</v>
      </c>
      <c r="BJ8" s="113" t="s">
        <v>114</v>
      </c>
      <c r="BK8" s="417" t="s">
        <v>198</v>
      </c>
      <c r="BL8" s="113" t="s">
        <v>114</v>
      </c>
      <c r="BO8" s="3" t="s">
        <v>199</v>
      </c>
      <c r="BS8" s="113" t="s">
        <v>114</v>
      </c>
      <c r="BT8" s="113" t="s">
        <v>114</v>
      </c>
      <c r="BU8" s="417" t="s">
        <v>198</v>
      </c>
      <c r="BV8" s="113" t="s">
        <v>114</v>
      </c>
      <c r="BY8" s="3" t="s">
        <v>200</v>
      </c>
      <c r="BZ8" s="3" t="s">
        <v>128</v>
      </c>
      <c r="CC8" s="3" t="s">
        <v>200</v>
      </c>
      <c r="CD8" s="3" t="s">
        <v>128</v>
      </c>
      <c r="CG8" s="3" t="s">
        <v>114</v>
      </c>
      <c r="CH8" s="3" t="s">
        <v>114</v>
      </c>
      <c r="CI8" s="3" t="s">
        <v>198</v>
      </c>
      <c r="CJ8" s="3" t="s">
        <v>114</v>
      </c>
      <c r="CM8" s="3" t="s">
        <v>114</v>
      </c>
      <c r="CN8" s="3" t="s">
        <v>114</v>
      </c>
      <c r="CO8" s="3" t="s">
        <v>198</v>
      </c>
      <c r="CP8" s="3" t="s">
        <v>114</v>
      </c>
      <c r="CS8" s="3" t="s">
        <v>114</v>
      </c>
      <c r="CT8" s="3" t="s">
        <v>114</v>
      </c>
      <c r="CU8" s="3" t="s">
        <v>198</v>
      </c>
      <c r="CV8" s="3" t="s">
        <v>114</v>
      </c>
      <c r="CY8" s="3" t="s">
        <v>114</v>
      </c>
      <c r="CZ8" s="3" t="s">
        <v>114</v>
      </c>
      <c r="DA8" s="412" t="s">
        <v>198</v>
      </c>
      <c r="DB8" s="422" t="s">
        <v>116</v>
      </c>
      <c r="DC8" s="423"/>
      <c r="DE8" s="3" t="s">
        <v>114</v>
      </c>
      <c r="DF8" s="3" t="s">
        <v>114</v>
      </c>
      <c r="DG8" s="412" t="s">
        <v>198</v>
      </c>
      <c r="DH8" s="422" t="s">
        <v>116</v>
      </c>
      <c r="DI8" s="423"/>
      <c r="DK8" s="3" t="s">
        <v>114</v>
      </c>
      <c r="DL8" s="3" t="s">
        <v>114</v>
      </c>
      <c r="DM8" s="412" t="s">
        <v>198</v>
      </c>
      <c r="DN8" s="422" t="s">
        <v>116</v>
      </c>
      <c r="DO8" s="423"/>
    </row>
    <row r="9" spans="1:119" ht="13.5" thickBot="1">
      <c r="A9" s="8" t="s">
        <v>1</v>
      </c>
      <c r="B9" s="397" t="s">
        <v>184</v>
      </c>
      <c r="C9" s="397" t="s">
        <v>194</v>
      </c>
      <c r="D9" s="397" t="s">
        <v>208</v>
      </c>
      <c r="E9" s="397" t="s">
        <v>243</v>
      </c>
      <c r="F9" s="397" t="s">
        <v>256</v>
      </c>
      <c r="G9" s="397" t="s">
        <v>269</v>
      </c>
      <c r="H9" s="397" t="s">
        <v>283</v>
      </c>
      <c r="I9" s="397" t="s">
        <v>303</v>
      </c>
      <c r="J9" s="397" t="s">
        <v>330</v>
      </c>
      <c r="K9" s="397" t="s">
        <v>360</v>
      </c>
      <c r="L9" s="9" t="s">
        <v>84</v>
      </c>
      <c r="M9" s="9" t="s">
        <v>84</v>
      </c>
      <c r="N9" s="10" t="s">
        <v>51</v>
      </c>
      <c r="O9" s="9" t="s">
        <v>35</v>
      </c>
      <c r="P9" s="9" t="s">
        <v>31</v>
      </c>
      <c r="Q9" s="9" t="s">
        <v>64</v>
      </c>
      <c r="R9" s="9" t="s">
        <v>32</v>
      </c>
      <c r="S9" s="9" t="s">
        <v>72</v>
      </c>
      <c r="T9" s="9" t="s">
        <v>67</v>
      </c>
      <c r="U9" s="8" t="s">
        <v>68</v>
      </c>
      <c r="V9" s="8" t="s">
        <v>69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06" t="s">
        <v>105</v>
      </c>
      <c r="AE9" s="342" t="s">
        <v>161</v>
      </c>
      <c r="AF9" s="387" t="s">
        <v>168</v>
      </c>
      <c r="AG9" s="187" t="s">
        <v>112</v>
      </c>
      <c r="AH9" s="187" t="s">
        <v>110</v>
      </c>
      <c r="AI9" s="418"/>
      <c r="AJ9" s="187"/>
      <c r="AK9" s="186" t="s">
        <v>190</v>
      </c>
      <c r="AL9" s="3"/>
      <c r="AM9" s="187" t="s">
        <v>112</v>
      </c>
      <c r="AN9" s="187" t="s">
        <v>110</v>
      </c>
      <c r="AO9" s="418"/>
      <c r="AP9" s="187"/>
      <c r="AQ9" s="398" t="s">
        <v>190</v>
      </c>
      <c r="AR9" s="33"/>
      <c r="AS9" s="187" t="s">
        <v>112</v>
      </c>
      <c r="AT9" s="187" t="s">
        <v>110</v>
      </c>
      <c r="AU9" s="187" t="s">
        <v>115</v>
      </c>
      <c r="AV9" s="187"/>
      <c r="AW9" s="186" t="s">
        <v>190</v>
      </c>
      <c r="AY9" s="187" t="s">
        <v>112</v>
      </c>
      <c r="AZ9" s="187" t="s">
        <v>110</v>
      </c>
      <c r="BA9" s="418"/>
      <c r="BB9" s="187"/>
      <c r="BC9" s="186" t="s">
        <v>190</v>
      </c>
      <c r="BE9" s="3" t="s">
        <v>200</v>
      </c>
      <c r="BF9" s="3" t="s">
        <v>128</v>
      </c>
      <c r="BI9" s="187" t="s">
        <v>112</v>
      </c>
      <c r="BJ9" s="187" t="s">
        <v>110</v>
      </c>
      <c r="BK9" s="418"/>
      <c r="BL9" s="187"/>
      <c r="BM9" s="186" t="s">
        <v>190</v>
      </c>
      <c r="BO9" s="3" t="s">
        <v>200</v>
      </c>
      <c r="BP9" s="3" t="s">
        <v>128</v>
      </c>
      <c r="BS9" s="187" t="s">
        <v>112</v>
      </c>
      <c r="BT9" s="187" t="s">
        <v>110</v>
      </c>
      <c r="BU9" s="418"/>
      <c r="BV9" s="187"/>
      <c r="BW9" s="186" t="s">
        <v>190</v>
      </c>
      <c r="BY9" s="20" t="s">
        <v>248</v>
      </c>
      <c r="BZ9" s="20" t="s">
        <v>249</v>
      </c>
      <c r="CC9" s="20" t="s">
        <v>248</v>
      </c>
      <c r="CD9" s="20" t="s">
        <v>249</v>
      </c>
      <c r="CG9" s="3" t="s">
        <v>112</v>
      </c>
      <c r="CH9" s="3" t="s">
        <v>110</v>
      </c>
      <c r="CK9" s="3" t="s">
        <v>190</v>
      </c>
      <c r="CM9" s="3" t="s">
        <v>112</v>
      </c>
      <c r="CN9" s="3" t="s">
        <v>110</v>
      </c>
      <c r="CQ9" s="3" t="s">
        <v>190</v>
      </c>
      <c r="CS9" s="3" t="s">
        <v>112</v>
      </c>
      <c r="CT9" s="3" t="s">
        <v>110</v>
      </c>
      <c r="CW9" s="3" t="s">
        <v>190</v>
      </c>
      <c r="CY9" s="3" t="s">
        <v>112</v>
      </c>
      <c r="CZ9" s="3" t="s">
        <v>110</v>
      </c>
      <c r="DA9" s="412"/>
      <c r="DB9" s="327" t="s">
        <v>114</v>
      </c>
      <c r="DC9" s="327" t="s">
        <v>190</v>
      </c>
      <c r="DE9" s="3" t="s">
        <v>112</v>
      </c>
      <c r="DF9" s="3" t="s">
        <v>110</v>
      </c>
      <c r="DG9" s="412"/>
      <c r="DH9" s="327" t="s">
        <v>114</v>
      </c>
      <c r="DI9" s="327" t="s">
        <v>190</v>
      </c>
      <c r="DK9" s="3" t="s">
        <v>112</v>
      </c>
      <c r="DL9" s="3" t="s">
        <v>110</v>
      </c>
      <c r="DM9" s="412"/>
      <c r="DN9" s="327" t="s">
        <v>114</v>
      </c>
      <c r="DO9" s="327" t="s">
        <v>190</v>
      </c>
    </row>
    <row r="10" spans="1:119" ht="13.5" thickTop="1">
      <c r="A10" s="7" t="s">
        <v>5</v>
      </c>
      <c r="B10" s="11">
        <f>SUM(B12:B39)</f>
        <v>781598</v>
      </c>
      <c r="C10" s="11">
        <f t="shared" ref="C10:K10" si="0">SUM(C12:C39)</f>
        <v>835434</v>
      </c>
      <c r="D10" s="11">
        <f t="shared" si="0"/>
        <v>900461.10516999988</v>
      </c>
      <c r="E10" s="11">
        <f t="shared" si="0"/>
        <v>1001010.0782000001</v>
      </c>
      <c r="F10" s="11">
        <f t="shared" si="0"/>
        <v>1109090.4413200004</v>
      </c>
      <c r="G10" s="11">
        <f t="shared" si="0"/>
        <v>1153310.7696300002</v>
      </c>
      <c r="H10" s="11">
        <f t="shared" si="0"/>
        <v>1224290.4931899996</v>
      </c>
      <c r="I10" s="11">
        <f t="shared" si="0"/>
        <v>1234834.73016</v>
      </c>
      <c r="J10" s="11">
        <f t="shared" si="0"/>
        <v>1217861.2742899996</v>
      </c>
      <c r="K10" s="11">
        <f t="shared" si="0"/>
        <v>1234417.02944</v>
      </c>
      <c r="L10" s="241">
        <f>(K10-J10)*100/J10</f>
        <v>1.3594122335199601</v>
      </c>
      <c r="M10" s="48">
        <f>(K10-AF10)*100/AF10</f>
        <v>59.980329320250625</v>
      </c>
      <c r="N10" s="13">
        <f>SUM(Q12:Q43)</f>
        <v>248755</v>
      </c>
      <c r="O10" s="11">
        <f>SUM(R12:R43)</f>
        <v>277909</v>
      </c>
      <c r="P10" s="11">
        <f>SUM(S12:S43)</f>
        <v>307575</v>
      </c>
      <c r="Q10" s="11">
        <f>SUM(Q12:Q39)</f>
        <v>248755</v>
      </c>
      <c r="R10" s="11">
        <f>SUM(R12:R39)</f>
        <v>277909</v>
      </c>
      <c r="S10" s="11">
        <f>SUM(S12:S39)</f>
        <v>307575</v>
      </c>
      <c r="T10" s="11">
        <f>SUM(T12:T39)</f>
        <v>339623</v>
      </c>
      <c r="U10" s="11">
        <f>SUM(W12:W43)</f>
        <v>392840</v>
      </c>
      <c r="V10" s="11">
        <v>376915</v>
      </c>
      <c r="W10" s="11">
        <v>392840</v>
      </c>
      <c r="X10" s="11">
        <v>429711</v>
      </c>
      <c r="Y10" s="11">
        <f t="shared" ref="Y10:AF10" si="1">SUM(Y12:Y43)</f>
        <v>455042</v>
      </c>
      <c r="Z10" s="11">
        <f t="shared" si="1"/>
        <v>497836</v>
      </c>
      <c r="AA10" s="11">
        <f t="shared" si="1"/>
        <v>526342</v>
      </c>
      <c r="AB10" s="11">
        <f t="shared" si="1"/>
        <v>567346</v>
      </c>
      <c r="AC10" s="11">
        <f t="shared" si="1"/>
        <v>600655</v>
      </c>
      <c r="AD10" s="11">
        <f t="shared" si="1"/>
        <v>671779</v>
      </c>
      <c r="AE10" s="11">
        <f t="shared" si="1"/>
        <v>719683.15431000001</v>
      </c>
      <c r="AF10" s="11">
        <f t="shared" si="1"/>
        <v>771605.50592999998</v>
      </c>
      <c r="AG10" s="11">
        <f>SUM(AG12:AG43)</f>
        <v>902441259.80999994</v>
      </c>
      <c r="AH10" s="11">
        <f>SUM(AH12:AH43)</f>
        <v>3588807.0199999991</v>
      </c>
      <c r="AI10" s="11">
        <f>SUM(AI12:AI43)</f>
        <v>179169298.47999999</v>
      </c>
      <c r="AJ10" s="11">
        <f>SUM(AJ12:AJ39)</f>
        <v>719683154.30999994</v>
      </c>
      <c r="AK10" s="11">
        <f>SUM(AK12:AK39)</f>
        <v>719683.15431000001</v>
      </c>
      <c r="AL10" s="3"/>
      <c r="AM10" s="11">
        <f>SUM(AM12:AM39)</f>
        <v>978749561.04000032</v>
      </c>
      <c r="AN10" s="11">
        <f t="shared" ref="AN10:AQ10" si="2">SUM(AN12:AN39)</f>
        <v>3223389.9699999993</v>
      </c>
      <c r="AO10" s="11">
        <f t="shared" si="2"/>
        <v>203920665.14000002</v>
      </c>
      <c r="AP10" s="11">
        <f t="shared" si="2"/>
        <v>771605505.93000019</v>
      </c>
      <c r="AQ10" s="11">
        <f t="shared" si="2"/>
        <v>771605.50592999998</v>
      </c>
      <c r="AR10" s="11"/>
      <c r="AS10" s="11">
        <f>SUM(AS12:AS43)</f>
        <v>997381235.55000007</v>
      </c>
      <c r="AT10" s="11">
        <f>SUM(AT12:AT43)</f>
        <v>2783147.85</v>
      </c>
      <c r="AU10" s="11">
        <f>SUM(AU12:AU43)</f>
        <v>213000796.39999998</v>
      </c>
      <c r="AV10" s="11">
        <f>SUM(AV12:AV39)</f>
        <v>781597291.29999983</v>
      </c>
      <c r="AW10" s="11">
        <f>SUM(AW12:AW39)</f>
        <v>781597.29130000004</v>
      </c>
      <c r="AY10" s="11">
        <f>SUM(AY12:AY43)</f>
        <v>1055050629.9400001</v>
      </c>
      <c r="AZ10" s="11">
        <f>SUM(AZ12:AZ43)</f>
        <v>3532912.7699999996</v>
      </c>
      <c r="BA10" s="11">
        <f>SUM(BA12:BA43)</f>
        <v>216085889</v>
      </c>
      <c r="BB10" s="11">
        <f>SUM(BB12:BB39)</f>
        <v>835431828.16999984</v>
      </c>
      <c r="BC10" s="11">
        <f>SUM(BC12:BC39)</f>
        <v>835431.82817000011</v>
      </c>
      <c r="BE10" s="3">
        <v>211618317</v>
      </c>
      <c r="BF10" s="3">
        <v>4467572.5</v>
      </c>
      <c r="BG10" s="11">
        <f>SUM(BG12:BG43)</f>
        <v>216085889.01999998</v>
      </c>
      <c r="BI10" s="11">
        <f>SUM(BI12:BI43)</f>
        <v>1138655990.2500002</v>
      </c>
      <c r="BJ10" s="11">
        <f>SUM(BJ12:BJ43)</f>
        <v>5238188</v>
      </c>
      <c r="BK10" s="11">
        <f>SUM(BK12:BK43)</f>
        <v>232956697.07999995</v>
      </c>
      <c r="BL10" s="11">
        <f>SUM(BL12:BL39)</f>
        <v>900461105.16999984</v>
      </c>
      <c r="BM10" s="11">
        <f>SUM(BM12:BM39)</f>
        <v>900461.10516999988</v>
      </c>
      <c r="BO10" s="11">
        <f>SUM(BO12:BO43)</f>
        <v>217777559.76999995</v>
      </c>
      <c r="BP10" s="11">
        <f>SUM(BP12:BP43)</f>
        <v>15179137.310000001</v>
      </c>
      <c r="BQ10" s="11">
        <f>SUM(BQ12:BQ43)</f>
        <v>232956697.07999995</v>
      </c>
      <c r="BS10" s="11">
        <f>SUM(BS12:BS43)</f>
        <v>1241478105.1300001</v>
      </c>
      <c r="BT10" s="11">
        <f>SUM(BT12:BT43)</f>
        <v>5594305.7999999998</v>
      </c>
      <c r="BU10" s="11">
        <f>SUM(BU12:BU43)</f>
        <v>234873721.13</v>
      </c>
      <c r="BV10" s="11">
        <f>SUM(BV12:BV39)</f>
        <v>1001010078.1999999</v>
      </c>
      <c r="BW10" s="11">
        <f>SUM(BW12:BW39)</f>
        <v>1001010.0782000001</v>
      </c>
      <c r="BY10" s="11">
        <f>SUM(BY12:BY43)</f>
        <v>224119104.06</v>
      </c>
      <c r="BZ10" s="11">
        <f>SUM(BZ12:BZ43)</f>
        <v>10754617.07</v>
      </c>
      <c r="CA10" s="11">
        <f>SUM(CA12:CA43)</f>
        <v>234873721.13</v>
      </c>
      <c r="CC10" s="11">
        <f>SUM(CC12:CC43)</f>
        <v>240430195.45999995</v>
      </c>
      <c r="CD10" s="11">
        <f>SUM(CD12:CD43)</f>
        <v>9901316.1799999997</v>
      </c>
      <c r="CE10" s="11">
        <f>SUM(CE12:CE43)</f>
        <v>250331511.63999996</v>
      </c>
      <c r="CF10" s="11"/>
      <c r="CG10" s="11">
        <f>SUM(CG12:CG43)</f>
        <v>1354233049.0900002</v>
      </c>
      <c r="CH10" s="11">
        <f>SUM(CH12:CH43)</f>
        <v>4712412.3100000005</v>
      </c>
      <c r="CI10" s="11">
        <f>SUM(CI12:CI43)</f>
        <v>240430195.45999995</v>
      </c>
      <c r="CJ10" s="11">
        <f>SUM(CJ12:CJ43)</f>
        <v>1109090441.3200002</v>
      </c>
      <c r="CK10" s="11">
        <f>SUM(CK12:CK43)</f>
        <v>1109090.4413200004</v>
      </c>
      <c r="CM10" s="11">
        <f>SUM(CM12:CM43)</f>
        <v>1424417207.0800002</v>
      </c>
      <c r="CN10" s="11">
        <f>SUM(CN12:CN43)</f>
        <v>2562522.9699999997</v>
      </c>
      <c r="CO10" s="11">
        <f>SUM(CO12:CO43)</f>
        <v>268543914.47999996</v>
      </c>
      <c r="CP10" s="11">
        <f>SUM(CP12:CP43)</f>
        <v>1153310769.6300001</v>
      </c>
      <c r="CQ10" s="11">
        <f>SUM(CQ12:CQ43)</f>
        <v>1153310.7696300002</v>
      </c>
      <c r="CS10" s="11">
        <f>SUM(CS12:CS39)</f>
        <v>1495579545.9299998</v>
      </c>
      <c r="CT10" s="11">
        <f>SUM(CT12:CT39)</f>
        <v>10061423.499999994</v>
      </c>
      <c r="CU10" s="11">
        <f>SUM(CU12:CU39)</f>
        <v>261227629.23999995</v>
      </c>
      <c r="CV10" s="11">
        <f>SUM(CV12:CV39)</f>
        <v>1224290493.1900001</v>
      </c>
      <c r="CW10" s="11">
        <f>SUM(CW12:CW39)</f>
        <v>1224290.4931899996</v>
      </c>
      <c r="CY10" s="311">
        <f>SUM(CY12:CY39)</f>
        <v>1482857107.3200002</v>
      </c>
      <c r="CZ10" s="311">
        <f t="shared" ref="CZ10:DC10" si="3">SUM(CZ12:CZ39)</f>
        <v>4805473.83</v>
      </c>
      <c r="DA10" s="311">
        <f t="shared" si="3"/>
        <v>243216903.32999998</v>
      </c>
      <c r="DB10" s="328">
        <f t="shared" si="3"/>
        <v>1234834730.1600001</v>
      </c>
      <c r="DC10" s="328">
        <f t="shared" si="3"/>
        <v>1234834.73016</v>
      </c>
      <c r="DE10" s="311">
        <f>SUM(DE12:DE39)</f>
        <v>1469322511.5999999</v>
      </c>
      <c r="DF10" s="311">
        <f t="shared" ref="DF10:DI10" si="4">SUM(DF12:DF39)</f>
        <v>3348287.6100000003</v>
      </c>
      <c r="DG10" s="311">
        <f t="shared" si="4"/>
        <v>248112949.70000002</v>
      </c>
      <c r="DH10" s="328">
        <f t="shared" si="4"/>
        <v>1217861274.29</v>
      </c>
      <c r="DI10" s="328">
        <f t="shared" si="4"/>
        <v>1217861.2742899996</v>
      </c>
      <c r="DK10" s="311">
        <f>SUM(DK12:DK39)</f>
        <v>1484541784.2099998</v>
      </c>
      <c r="DL10" s="311">
        <f t="shared" ref="DL10:DO10" si="5">SUM(DL12:DL39)</f>
        <v>1693694.9799999995</v>
      </c>
      <c r="DM10" s="311">
        <f t="shared" si="5"/>
        <v>248431059.78999999</v>
      </c>
      <c r="DN10" s="328">
        <f t="shared" si="5"/>
        <v>1234417029.4399996</v>
      </c>
      <c r="DO10" s="328">
        <f t="shared" si="5"/>
        <v>1234417.02944</v>
      </c>
    </row>
    <row r="11" spans="1:119">
      <c r="L11" s="15"/>
      <c r="M11" s="14"/>
      <c r="O11" s="14"/>
      <c r="R11" s="14"/>
      <c r="S11" s="14"/>
      <c r="Y11" s="14"/>
      <c r="Z11" s="14"/>
      <c r="AA11" s="14"/>
      <c r="AB11" s="14"/>
      <c r="AD11" s="1"/>
      <c r="AE11" s="1"/>
      <c r="AF11" s="1"/>
      <c r="AG11" s="3"/>
      <c r="AH11" s="3"/>
      <c r="AI11" s="3"/>
      <c r="AJ11" s="3"/>
      <c r="AK11" s="3"/>
      <c r="AL11" s="3"/>
      <c r="AM11" s="1"/>
      <c r="AN11" s="14"/>
      <c r="AO11" s="14"/>
      <c r="AP11" s="14"/>
      <c r="AQ11" s="14"/>
      <c r="AR11" s="14"/>
    </row>
    <row r="12" spans="1:119">
      <c r="A12" s="1" t="s">
        <v>6</v>
      </c>
      <c r="B12" s="1">
        <v>9067</v>
      </c>
      <c r="C12" s="1">
        <v>10183</v>
      </c>
      <c r="D12" s="1">
        <v>10545.763649999999</v>
      </c>
      <c r="E12" s="1">
        <v>11585.625800000002</v>
      </c>
      <c r="F12" s="1">
        <v>14700.497190000002</v>
      </c>
      <c r="G12" s="1">
        <v>12555.61124</v>
      </c>
      <c r="H12" s="1">
        <v>13758.522010000002</v>
      </c>
      <c r="I12" s="1">
        <v>14271.400799999998</v>
      </c>
      <c r="J12" s="1">
        <v>14121.96535</v>
      </c>
      <c r="K12" s="1">
        <v>13782.263440000001</v>
      </c>
      <c r="L12" s="241">
        <f>(K12-J12)*100/J12</f>
        <v>-2.4054860749251148</v>
      </c>
      <c r="M12" s="48">
        <f>(K12-AF12)*100/AF12</f>
        <v>61.429424869484251</v>
      </c>
      <c r="N12" s="14">
        <v>2090</v>
      </c>
      <c r="O12" s="14">
        <v>2233</v>
      </c>
      <c r="P12" s="14">
        <v>2386</v>
      </c>
      <c r="Q12" s="14">
        <v>2596</v>
      </c>
      <c r="R12" s="14">
        <v>2860</v>
      </c>
      <c r="S12" s="14">
        <v>2958</v>
      </c>
      <c r="T12" s="14">
        <v>3194</v>
      </c>
      <c r="U12" s="14">
        <v>3554</v>
      </c>
      <c r="V12" s="14">
        <v>3826</v>
      </c>
      <c r="W12" s="14">
        <v>4123</v>
      </c>
      <c r="X12" s="14">
        <v>4517</v>
      </c>
      <c r="Y12" s="14">
        <v>5087</v>
      </c>
      <c r="Z12" s="14">
        <v>5261</v>
      </c>
      <c r="AA12" s="14">
        <v>5960</v>
      </c>
      <c r="AB12" s="14">
        <v>7004</v>
      </c>
      <c r="AC12" s="1">
        <v>7480</v>
      </c>
      <c r="AD12" s="1">
        <v>7928</v>
      </c>
      <c r="AE12" s="3">
        <v>8638.7329800000007</v>
      </c>
      <c r="AF12" s="1">
        <v>8537.6401800000003</v>
      </c>
      <c r="AG12" s="128">
        <v>10069129.1</v>
      </c>
      <c r="AH12" s="128">
        <v>88841.03</v>
      </c>
      <c r="AI12" s="164">
        <v>1341555.0900000001</v>
      </c>
      <c r="AJ12" s="3">
        <f>AG12-AH12-AI12</f>
        <v>8638732.9800000004</v>
      </c>
      <c r="AK12" s="3">
        <f>AJ12/1000</f>
        <v>8638.7329800000007</v>
      </c>
      <c r="AL12" s="3"/>
      <c r="AM12" s="1">
        <v>10054020.290000001</v>
      </c>
      <c r="AN12" s="14">
        <v>48247.11</v>
      </c>
      <c r="AO12" s="14">
        <v>1468133</v>
      </c>
      <c r="AP12" s="14">
        <f>AM12-AN12-AO12</f>
        <v>8537640.1800000016</v>
      </c>
      <c r="AQ12" s="14">
        <f>AP12/1000</f>
        <v>8537.6401800000021</v>
      </c>
      <c r="AR12" s="14"/>
      <c r="AS12" s="3">
        <v>10918175</v>
      </c>
      <c r="AT12" s="3">
        <v>79529.929999999993</v>
      </c>
      <c r="AU12" s="156">
        <v>1771864.05</v>
      </c>
      <c r="AV12" s="3">
        <f>AS12-AT12-AU12</f>
        <v>9066781.0199999996</v>
      </c>
      <c r="AW12" s="3">
        <f>AV12/1000</f>
        <v>9066.7810200000004</v>
      </c>
      <c r="AY12" s="3">
        <v>12129099</v>
      </c>
      <c r="AZ12" s="92">
        <v>36951</v>
      </c>
      <c r="BA12" s="156">
        <v>1909245</v>
      </c>
      <c r="BB12" s="3">
        <f>AY12-AZ12-BA12</f>
        <v>10182903</v>
      </c>
      <c r="BC12" s="3">
        <f>BB12/1000</f>
        <v>10182.903</v>
      </c>
      <c r="BF12" s="3">
        <v>1909245</v>
      </c>
      <c r="BG12" s="3">
        <f>SUM(BE12:BF12)</f>
        <v>1909245</v>
      </c>
      <c r="BI12" s="3">
        <v>13147433.809999999</v>
      </c>
      <c r="BJ12" s="92">
        <v>76250.539999999994</v>
      </c>
      <c r="BK12" s="156">
        <v>2525419.62</v>
      </c>
      <c r="BL12" s="3">
        <f>BI12-BJ12-BK12</f>
        <v>10545763.649999999</v>
      </c>
      <c r="BM12" s="3">
        <f>BL12/1000</f>
        <v>10545.763649999999</v>
      </c>
      <c r="BO12" s="242">
        <v>0</v>
      </c>
      <c r="BP12" s="3">
        <v>2525419.62</v>
      </c>
      <c r="BQ12" s="3">
        <f>SUM(BO12:BP12)</f>
        <v>2525419.62</v>
      </c>
      <c r="BS12" s="3">
        <v>13949505.99</v>
      </c>
      <c r="BT12" s="92">
        <v>78012.789999999994</v>
      </c>
      <c r="BU12" s="156">
        <f>CA12</f>
        <v>2285867.4</v>
      </c>
      <c r="BV12" s="3">
        <f>BS12-BT12-BU12</f>
        <v>11585625.800000001</v>
      </c>
      <c r="BW12" s="3">
        <f>BV12/1000</f>
        <v>11585.625800000002</v>
      </c>
      <c r="BY12" s="242">
        <v>0</v>
      </c>
      <c r="BZ12" s="3">
        <v>2285867.4</v>
      </c>
      <c r="CA12" s="3">
        <f>SUM(BY12:BZ12)</f>
        <v>2285867.4</v>
      </c>
      <c r="CC12" s="242">
        <v>0</v>
      </c>
      <c r="CD12" s="3">
        <v>2183034.27</v>
      </c>
      <c r="CE12" s="3">
        <f>SUM(CC12:CD12)</f>
        <v>2183034.27</v>
      </c>
      <c r="CG12" s="3">
        <v>14734351.970000001</v>
      </c>
      <c r="CH12" s="3">
        <v>33854.78</v>
      </c>
      <c r="CI12" s="3">
        <v>0</v>
      </c>
      <c r="CJ12" s="3">
        <f>CG12-CH12-CI12</f>
        <v>14700497.190000001</v>
      </c>
      <c r="CK12" s="3">
        <f>CJ12/1000</f>
        <v>14700.497190000002</v>
      </c>
      <c r="CM12" s="3">
        <v>15343694.770000001</v>
      </c>
      <c r="CN12" s="3">
        <v>25829.06</v>
      </c>
      <c r="CO12" s="3">
        <v>2762254.47</v>
      </c>
      <c r="CP12" s="3">
        <f>CM12-CN12-CO12</f>
        <v>12555611.24</v>
      </c>
      <c r="CQ12" s="3">
        <f>CP12/1000</f>
        <v>12555.61124</v>
      </c>
      <c r="CS12" s="3">
        <v>16829781.100000001</v>
      </c>
      <c r="CT12" s="3">
        <v>132277.41</v>
      </c>
      <c r="CU12" s="3">
        <v>2938981.68</v>
      </c>
      <c r="CV12" s="3">
        <f>CS12-CT12-CU12</f>
        <v>13758522.010000002</v>
      </c>
      <c r="CW12" s="3">
        <f>CV12/1000</f>
        <v>13758.522010000002</v>
      </c>
      <c r="CY12" s="3">
        <v>17972449.139999997</v>
      </c>
      <c r="CZ12" s="3">
        <v>167146.54</v>
      </c>
      <c r="DA12" s="3">
        <v>3533901.8</v>
      </c>
      <c r="DB12" s="3">
        <f t="shared" ref="DB12:DB16" si="6">CY12-CZ12-DA12</f>
        <v>14271400.799999997</v>
      </c>
      <c r="DC12" s="3">
        <f>DB12/1000</f>
        <v>14271.400799999998</v>
      </c>
      <c r="DE12" s="3">
        <v>17642214.220000003</v>
      </c>
      <c r="DF12" s="3">
        <v>182747.25</v>
      </c>
      <c r="DG12" s="3">
        <v>3337501.62</v>
      </c>
      <c r="DH12" s="3">
        <f t="shared" ref="DH12:DH16" si="7">DE12-DF12-DG12</f>
        <v>14121965.350000001</v>
      </c>
      <c r="DI12" s="3">
        <f>DH12/1000</f>
        <v>14121.965350000002</v>
      </c>
      <c r="DK12" s="3">
        <v>17232923.780000001</v>
      </c>
      <c r="DL12" s="3">
        <v>18429.88</v>
      </c>
      <c r="DM12" s="3">
        <v>3432230.46</v>
      </c>
      <c r="DN12" s="3">
        <f>DK12-DL12-DM12</f>
        <v>13782263.440000001</v>
      </c>
      <c r="DO12" s="3">
        <f>DN12/1000</f>
        <v>13782.263440000001</v>
      </c>
    </row>
    <row r="13" spans="1:119">
      <c r="A13" s="1" t="s">
        <v>7</v>
      </c>
      <c r="B13" s="1">
        <v>59432</v>
      </c>
      <c r="C13" s="1">
        <v>64155</v>
      </c>
      <c r="D13" s="1">
        <v>67517.282449999999</v>
      </c>
      <c r="E13" s="1">
        <v>74098.955730000001</v>
      </c>
      <c r="F13" s="1">
        <v>83744.495649999997</v>
      </c>
      <c r="G13" s="1">
        <v>90685.234259999997</v>
      </c>
      <c r="H13" s="1">
        <v>95712.134339999975</v>
      </c>
      <c r="I13" s="1">
        <v>99295.470450000023</v>
      </c>
      <c r="J13" s="1">
        <v>95835.877099999998</v>
      </c>
      <c r="K13" s="1">
        <v>94224.92303999998</v>
      </c>
      <c r="L13" s="241">
        <f>(K13-J13)*100/J13</f>
        <v>-1.6809509222929815</v>
      </c>
      <c r="M13" s="48">
        <f t="shared" ref="M13:M39" si="8">(K13-AF13)*100/AF13</f>
        <v>58.768243441883058</v>
      </c>
      <c r="N13" s="14">
        <v>16227</v>
      </c>
      <c r="O13" s="14">
        <v>16022</v>
      </c>
      <c r="P13" s="14">
        <v>17631</v>
      </c>
      <c r="Q13" s="14">
        <v>19079</v>
      </c>
      <c r="R13" s="14">
        <v>21546</v>
      </c>
      <c r="S13" s="14">
        <v>24252</v>
      </c>
      <c r="T13" s="14">
        <v>27103</v>
      </c>
      <c r="U13" s="14">
        <v>27487</v>
      </c>
      <c r="V13" s="14">
        <v>29985</v>
      </c>
      <c r="W13" s="14">
        <v>31701</v>
      </c>
      <c r="X13" s="14">
        <v>34353</v>
      </c>
      <c r="Y13" s="14">
        <v>35084</v>
      </c>
      <c r="Z13" s="14">
        <v>37363</v>
      </c>
      <c r="AA13" s="14">
        <v>37754</v>
      </c>
      <c r="AB13" s="14">
        <v>43597</v>
      </c>
      <c r="AC13" s="1">
        <v>50243</v>
      </c>
      <c r="AD13" s="1">
        <v>56132</v>
      </c>
      <c r="AE13" s="3">
        <v>56168.957419999999</v>
      </c>
      <c r="AF13" s="1">
        <v>59347.462059999998</v>
      </c>
      <c r="AG13" s="128">
        <v>72741488.780000001</v>
      </c>
      <c r="AH13" s="128">
        <v>345297</v>
      </c>
      <c r="AI13" s="128">
        <v>16227234.359999999</v>
      </c>
      <c r="AJ13" s="3">
        <f>AG13-AH13-AI13</f>
        <v>56168957.420000002</v>
      </c>
      <c r="AK13" s="3">
        <f>AJ13/1000</f>
        <v>56168.957419999999</v>
      </c>
      <c r="AL13" s="3"/>
      <c r="AM13" s="1">
        <v>76518915.210000008</v>
      </c>
      <c r="AN13" s="14">
        <v>391755.14</v>
      </c>
      <c r="AO13" s="14">
        <v>16779698.010000002</v>
      </c>
      <c r="AP13" s="14">
        <f t="shared" ref="AP13:AP39" si="9">AM13-AN13-AO13</f>
        <v>59347462.060000002</v>
      </c>
      <c r="AQ13" s="14">
        <f t="shared" ref="AQ13:AQ39" si="10">AP13/1000</f>
        <v>59347.462060000005</v>
      </c>
      <c r="AR13" s="14"/>
      <c r="AS13" s="3">
        <v>76501217</v>
      </c>
      <c r="AT13" s="3">
        <v>430093.88</v>
      </c>
      <c r="AU13" s="92">
        <v>16638996</v>
      </c>
      <c r="AV13" s="3">
        <f>AS13-AT13-AU13</f>
        <v>59432127.120000005</v>
      </c>
      <c r="AW13" s="3">
        <f>AV13/1000</f>
        <v>59432.127120000005</v>
      </c>
      <c r="AY13" s="3">
        <v>81677432</v>
      </c>
      <c r="AZ13" s="92">
        <v>233492.33</v>
      </c>
      <c r="BA13" s="92">
        <v>17288927</v>
      </c>
      <c r="BB13" s="3">
        <f>AY13-AZ13-BA13</f>
        <v>64155012.670000002</v>
      </c>
      <c r="BC13" s="3">
        <f>BB13/1000</f>
        <v>64155.012670000004</v>
      </c>
      <c r="BE13" s="3">
        <v>17288927</v>
      </c>
      <c r="BF13" s="3">
        <v>0</v>
      </c>
      <c r="BG13" s="3">
        <f>SUM(BE13:BF13)</f>
        <v>17288927</v>
      </c>
      <c r="BI13" s="3">
        <v>86085852.280000001</v>
      </c>
      <c r="BJ13" s="92">
        <v>343272</v>
      </c>
      <c r="BK13" s="92">
        <v>18225297.829999998</v>
      </c>
      <c r="BL13" s="3">
        <f>BI13-BJ13-BK13</f>
        <v>67517282.450000003</v>
      </c>
      <c r="BM13" s="3">
        <f>BL13/1000</f>
        <v>67517.282449999999</v>
      </c>
      <c r="BO13" s="242">
        <v>18225297.829999998</v>
      </c>
      <c r="BP13" s="3">
        <v>0</v>
      </c>
      <c r="BQ13" s="3">
        <f>SUM(BO13:BP13)</f>
        <v>18225297.829999998</v>
      </c>
      <c r="BS13" s="3">
        <v>93109336.5</v>
      </c>
      <c r="BT13" s="92">
        <v>593564</v>
      </c>
      <c r="BU13" s="156">
        <f>CA13</f>
        <v>18416816.77</v>
      </c>
      <c r="BV13" s="3">
        <f>BS13-BT13-BU13</f>
        <v>74098955.730000004</v>
      </c>
      <c r="BW13" s="3">
        <f>BV13/1000</f>
        <v>74098.955730000001</v>
      </c>
      <c r="BY13" s="242">
        <v>18416816.77</v>
      </c>
      <c r="CA13" s="3">
        <f>SUM(BY13:BZ13)</f>
        <v>18416816.77</v>
      </c>
      <c r="CC13" s="242">
        <v>20646145.470000003</v>
      </c>
      <c r="CD13" s="3">
        <v>199392</v>
      </c>
      <c r="CE13" s="3">
        <f>SUM(CC13:CD13)</f>
        <v>20845537.470000003</v>
      </c>
      <c r="CG13" s="3">
        <v>104781010.11999999</v>
      </c>
      <c r="CH13" s="3">
        <v>390369</v>
      </c>
      <c r="CI13" s="3">
        <v>20646145.470000003</v>
      </c>
      <c r="CJ13" s="3">
        <f>CG13-CH13-CI13</f>
        <v>83744495.649999991</v>
      </c>
      <c r="CK13" s="3">
        <f>CJ13/1000</f>
        <v>83744.495649999997</v>
      </c>
      <c r="CM13" s="3">
        <v>112206519.77</v>
      </c>
      <c r="CN13" s="3">
        <v>507981</v>
      </c>
      <c r="CO13" s="3">
        <v>21013304.510000002</v>
      </c>
      <c r="CP13" s="3">
        <f>CM13-CN13-CO13</f>
        <v>90685234.25999999</v>
      </c>
      <c r="CQ13" s="3">
        <f>CP13/1000</f>
        <v>90685.234259999997</v>
      </c>
      <c r="CS13" s="3">
        <v>118720711.30999997</v>
      </c>
      <c r="CT13" s="3">
        <v>2844558.0300000003</v>
      </c>
      <c r="CU13" s="3">
        <v>20164018.940000001</v>
      </c>
      <c r="CV13" s="3">
        <f>CS13-CT13-CU13</f>
        <v>95712134.339999974</v>
      </c>
      <c r="CW13" s="3">
        <f>CV13/1000</f>
        <v>95712.134339999975</v>
      </c>
      <c r="CY13" s="3">
        <v>119179614.27000001</v>
      </c>
      <c r="CZ13" s="3">
        <v>37777.440000000002</v>
      </c>
      <c r="DA13" s="3">
        <v>19846366.379999999</v>
      </c>
      <c r="DB13" s="3">
        <f t="shared" si="6"/>
        <v>99295470.450000018</v>
      </c>
      <c r="DC13" s="3">
        <f>DB13/1000</f>
        <v>99295.470450000023</v>
      </c>
      <c r="DE13" s="3">
        <v>116103393.64999999</v>
      </c>
      <c r="DF13" s="3">
        <v>104031.75</v>
      </c>
      <c r="DG13" s="3">
        <v>20163484.800000001</v>
      </c>
      <c r="DH13" s="3">
        <f t="shared" si="7"/>
        <v>95835877.099999994</v>
      </c>
      <c r="DI13" s="3">
        <f>DH13/1000</f>
        <v>95835.877099999998</v>
      </c>
      <c r="DK13" s="3">
        <v>115252381.95999998</v>
      </c>
      <c r="DL13" s="3">
        <v>15699.39</v>
      </c>
      <c r="DM13" s="3">
        <v>21011759.530000001</v>
      </c>
      <c r="DN13" s="3">
        <f t="shared" ref="DN13:DN39" si="11">DK13-DL13-DM13</f>
        <v>94224923.039999977</v>
      </c>
      <c r="DO13" s="3">
        <f t="shared" ref="DO13:DO39" si="12">DN13/1000</f>
        <v>94224.92303999998</v>
      </c>
    </row>
    <row r="14" spans="1:119">
      <c r="A14" s="1" t="s">
        <v>8</v>
      </c>
      <c r="B14" s="1">
        <v>123243</v>
      </c>
      <c r="C14" s="1">
        <v>120955</v>
      </c>
      <c r="D14" s="1">
        <v>126247.17480000001</v>
      </c>
      <c r="E14" s="1">
        <v>141375.85492000001</v>
      </c>
      <c r="F14" s="1">
        <v>150981.43181000001</v>
      </c>
      <c r="G14" s="1">
        <v>151883.58921999999</v>
      </c>
      <c r="H14" s="1">
        <v>160083.95106999998</v>
      </c>
      <c r="I14" s="1">
        <v>170655.20337999999</v>
      </c>
      <c r="J14" s="1">
        <v>167552.8616</v>
      </c>
      <c r="K14" s="1">
        <v>165501.62933</v>
      </c>
      <c r="L14" s="241">
        <f>(K14-J14)*100/J14</f>
        <v>-1.2242299238654171</v>
      </c>
      <c r="M14" s="48">
        <f t="shared" si="8"/>
        <v>17.986330391611961</v>
      </c>
      <c r="N14" s="14">
        <v>38171</v>
      </c>
      <c r="O14" s="14">
        <v>44015</v>
      </c>
      <c r="P14" s="14">
        <v>47542</v>
      </c>
      <c r="Q14" s="14">
        <v>53409</v>
      </c>
      <c r="R14" s="14">
        <v>57414</v>
      </c>
      <c r="S14" s="14">
        <v>63820</v>
      </c>
      <c r="T14" s="14">
        <v>69995</v>
      </c>
      <c r="U14" s="14">
        <v>70795</v>
      </c>
      <c r="V14" s="14">
        <v>73123</v>
      </c>
      <c r="W14" s="14">
        <v>73827</v>
      </c>
      <c r="X14" s="14">
        <v>84522</v>
      </c>
      <c r="Y14" s="14">
        <v>92733</v>
      </c>
      <c r="Z14" s="14">
        <v>108011</v>
      </c>
      <c r="AA14" s="14">
        <v>109129</v>
      </c>
      <c r="AB14" s="14">
        <v>117956</v>
      </c>
      <c r="AC14" s="1">
        <v>102569</v>
      </c>
      <c r="AD14" s="1">
        <v>130572</v>
      </c>
      <c r="AE14" s="3">
        <v>130793.83622</v>
      </c>
      <c r="AF14" s="1">
        <v>140271.86775</v>
      </c>
      <c r="AG14" s="128">
        <v>175849723.47</v>
      </c>
      <c r="AH14" s="128">
        <v>683398.75</v>
      </c>
      <c r="AI14" s="128">
        <v>44372488.5</v>
      </c>
      <c r="AJ14" s="3">
        <f>AG14-AH14-AI14</f>
        <v>130793836.22</v>
      </c>
      <c r="AK14" s="3">
        <f>AJ14/1000</f>
        <v>130793.83622</v>
      </c>
      <c r="AL14" s="3"/>
      <c r="AM14" s="1">
        <v>186851980.65000001</v>
      </c>
      <c r="AN14" s="14">
        <v>406381.9</v>
      </c>
      <c r="AO14" s="14">
        <v>46173731</v>
      </c>
      <c r="AP14" s="14">
        <f t="shared" si="9"/>
        <v>140271867.75</v>
      </c>
      <c r="AQ14" s="14">
        <f t="shared" si="10"/>
        <v>140271.86775</v>
      </c>
      <c r="AR14" s="14"/>
      <c r="AS14" s="3">
        <v>174468566</v>
      </c>
      <c r="AT14" s="3">
        <v>336812.84</v>
      </c>
      <c r="AU14" s="92">
        <v>50888720</v>
      </c>
      <c r="AV14" s="3">
        <f>AS14-AT14-AU14</f>
        <v>123243033.16</v>
      </c>
      <c r="AW14" s="3">
        <f>AV14/1000</f>
        <v>123243.03315999999</v>
      </c>
      <c r="AY14" s="3">
        <v>169918049</v>
      </c>
      <c r="AZ14" s="92">
        <v>519693.92</v>
      </c>
      <c r="BA14" s="92">
        <v>48443624</v>
      </c>
      <c r="BB14" s="3">
        <f>AY14-AZ14-BA14</f>
        <v>120954731.08000001</v>
      </c>
      <c r="BC14" s="3">
        <f>BB14/1000</f>
        <v>120954.73108000001</v>
      </c>
      <c r="BE14" s="3">
        <v>46415767</v>
      </c>
      <c r="BF14" s="3">
        <v>2027857</v>
      </c>
      <c r="BG14" s="3">
        <f>SUM(BE14:BF14)</f>
        <v>48443624</v>
      </c>
      <c r="BI14" s="3">
        <v>177693257.09</v>
      </c>
      <c r="BJ14" s="92">
        <v>735826.45</v>
      </c>
      <c r="BK14" s="92">
        <v>50710255.839999996</v>
      </c>
      <c r="BL14" s="3">
        <f>BI14-BJ14-BK14</f>
        <v>126247174.80000001</v>
      </c>
      <c r="BM14" s="3">
        <f>BL14/1000</f>
        <v>126247.17480000001</v>
      </c>
      <c r="BO14" s="242">
        <v>48767177.439999998</v>
      </c>
      <c r="BP14" s="3">
        <v>1943078.4</v>
      </c>
      <c r="BQ14" s="3">
        <f>SUM(BO14:BP14)</f>
        <v>50710255.839999996</v>
      </c>
      <c r="BS14" s="3">
        <v>192949262.58000004</v>
      </c>
      <c r="BT14" s="92">
        <v>1198802.8</v>
      </c>
      <c r="BU14" s="156">
        <f>CA14</f>
        <v>50374604.859999999</v>
      </c>
      <c r="BV14" s="3">
        <f>BS14-BT14-BU14</f>
        <v>141375854.92000002</v>
      </c>
      <c r="BW14" s="3">
        <f>BV14/1000</f>
        <v>141375.85492000001</v>
      </c>
      <c r="BY14" s="242">
        <v>48788646.460000001</v>
      </c>
      <c r="BZ14" s="3">
        <v>1585958.4</v>
      </c>
      <c r="CA14" s="3">
        <f>SUM(BY14:BZ14)</f>
        <v>50374604.859999999</v>
      </c>
      <c r="CC14" s="242">
        <v>52274219.950000003</v>
      </c>
      <c r="CD14" s="3">
        <v>1593204</v>
      </c>
      <c r="CE14" s="3">
        <f>SUM(CC14:CD14)</f>
        <v>53867423.950000003</v>
      </c>
      <c r="CG14" s="3">
        <v>203647972.56</v>
      </c>
      <c r="CH14" s="3">
        <v>392320.8</v>
      </c>
      <c r="CI14" s="3">
        <v>52274219.950000003</v>
      </c>
      <c r="CJ14" s="3">
        <f>CG14-CH14-CI14</f>
        <v>150981431.81</v>
      </c>
      <c r="CK14" s="3">
        <f>CJ14/1000</f>
        <v>150981.43181000001</v>
      </c>
      <c r="CM14" s="3">
        <v>213569654.19999999</v>
      </c>
      <c r="CN14" s="3">
        <v>292851.31999999995</v>
      </c>
      <c r="CO14" s="3">
        <v>61393213.659999996</v>
      </c>
      <c r="CP14" s="3">
        <f>CM14-CN14-CO14</f>
        <v>151883589.22</v>
      </c>
      <c r="CQ14" s="3">
        <f>CP14/1000</f>
        <v>151883.58921999999</v>
      </c>
      <c r="CS14" s="3">
        <v>224360664.25</v>
      </c>
      <c r="CT14" s="3">
        <v>1557049.33</v>
      </c>
      <c r="CU14" s="3">
        <v>62719663.849999994</v>
      </c>
      <c r="CV14" s="3">
        <f>CS14-CT14-CU14</f>
        <v>160083951.06999999</v>
      </c>
      <c r="CW14" s="3">
        <f>CV14/1000</f>
        <v>160083.95106999998</v>
      </c>
      <c r="CY14" s="3">
        <v>226208013.18000001</v>
      </c>
      <c r="CZ14" s="3">
        <v>873705.29999999993</v>
      </c>
      <c r="DA14" s="3">
        <v>54679104.5</v>
      </c>
      <c r="DB14" s="3">
        <f t="shared" si="6"/>
        <v>170655203.38</v>
      </c>
      <c r="DC14" s="3">
        <f>DB14/1000</f>
        <v>170655.20337999999</v>
      </c>
      <c r="DE14" s="3">
        <v>221455457.44999999</v>
      </c>
      <c r="DF14" s="3">
        <v>250885.24</v>
      </c>
      <c r="DG14" s="3">
        <v>53651710.609999999</v>
      </c>
      <c r="DH14" s="3">
        <f t="shared" si="7"/>
        <v>167552861.59999996</v>
      </c>
      <c r="DI14" s="3">
        <f>DH14/1000</f>
        <v>167552.86159999997</v>
      </c>
      <c r="DK14" s="3">
        <v>215102914.66</v>
      </c>
      <c r="DL14" s="3">
        <v>242301.96</v>
      </c>
      <c r="DM14" s="3">
        <v>49358983.369999997</v>
      </c>
      <c r="DN14" s="3">
        <f t="shared" si="11"/>
        <v>165501629.32999998</v>
      </c>
      <c r="DO14" s="3">
        <f t="shared" si="12"/>
        <v>165501.62933</v>
      </c>
    </row>
    <row r="15" spans="1:119">
      <c r="A15" s="1" t="s">
        <v>9</v>
      </c>
      <c r="B15" s="1">
        <v>94277</v>
      </c>
      <c r="C15" s="1">
        <v>102359</v>
      </c>
      <c r="D15" s="1">
        <v>111157.16015999997</v>
      </c>
      <c r="E15" s="1">
        <v>118907.16224000001</v>
      </c>
      <c r="F15" s="1">
        <v>127506.57672999999</v>
      </c>
      <c r="G15" s="1">
        <v>131055.96985000002</v>
      </c>
      <c r="H15" s="1">
        <v>142922.03015999999</v>
      </c>
      <c r="I15" s="1">
        <v>148420.61144000004</v>
      </c>
      <c r="J15" s="1">
        <v>145094.39110000001</v>
      </c>
      <c r="K15" s="1">
        <v>147197.72968000002</v>
      </c>
      <c r="L15" s="241">
        <f>(K15-J15)*100/J15</f>
        <v>1.4496346578623951</v>
      </c>
      <c r="M15" s="48">
        <f t="shared" si="8"/>
        <v>61.583509090355605</v>
      </c>
      <c r="N15" s="14">
        <v>25379</v>
      </c>
      <c r="O15" s="14">
        <v>24852</v>
      </c>
      <c r="P15" s="14">
        <v>27548</v>
      </c>
      <c r="Q15" s="14">
        <v>29383</v>
      </c>
      <c r="R15" s="14">
        <v>34631</v>
      </c>
      <c r="S15" s="14">
        <v>37668</v>
      </c>
      <c r="T15" s="14">
        <v>40558</v>
      </c>
      <c r="U15" s="14">
        <v>41223</v>
      </c>
      <c r="V15" s="14">
        <v>50368</v>
      </c>
      <c r="W15" s="14">
        <v>45879</v>
      </c>
      <c r="X15" s="14">
        <v>48417</v>
      </c>
      <c r="Y15" s="14">
        <v>51920</v>
      </c>
      <c r="Z15" s="14">
        <v>63197</v>
      </c>
      <c r="AA15" s="14">
        <v>65269</v>
      </c>
      <c r="AB15" s="14">
        <v>60798</v>
      </c>
      <c r="AC15" s="1">
        <v>73547</v>
      </c>
      <c r="AD15" s="1">
        <v>78520</v>
      </c>
      <c r="AE15" s="3">
        <v>86266.942619999987</v>
      </c>
      <c r="AF15" s="1">
        <v>91097.000249999997</v>
      </c>
      <c r="AG15" s="128">
        <v>109772440.55999999</v>
      </c>
      <c r="AH15" s="128">
        <v>599288.1</v>
      </c>
      <c r="AI15" s="128">
        <v>22906209.84</v>
      </c>
      <c r="AJ15" s="3">
        <f>AG15-AH15-AI15</f>
        <v>86266942.61999999</v>
      </c>
      <c r="AK15" s="3">
        <f>AJ15/1000</f>
        <v>86266.942619999987</v>
      </c>
      <c r="AL15" s="3"/>
      <c r="AM15" s="1">
        <v>119536414.63000004</v>
      </c>
      <c r="AN15" s="14">
        <v>439344.36</v>
      </c>
      <c r="AO15" s="14">
        <v>28000070.02</v>
      </c>
      <c r="AP15" s="14">
        <f t="shared" si="9"/>
        <v>91097000.250000045</v>
      </c>
      <c r="AQ15" s="14">
        <f t="shared" si="10"/>
        <v>91097.000250000041</v>
      </c>
      <c r="AR15" s="14"/>
      <c r="AS15" s="3">
        <v>122499790</v>
      </c>
      <c r="AT15" s="3">
        <v>365666.03</v>
      </c>
      <c r="AU15" s="92">
        <v>27857478</v>
      </c>
      <c r="AV15" s="3">
        <f>AS15-AT15-AU15</f>
        <v>94276645.969999999</v>
      </c>
      <c r="AW15" s="3">
        <f>AV15/1000</f>
        <v>94276.645969999998</v>
      </c>
      <c r="AY15" s="3">
        <v>132193628</v>
      </c>
      <c r="AZ15" s="92">
        <v>450908.34</v>
      </c>
      <c r="BA15" s="92">
        <v>29384119</v>
      </c>
      <c r="BB15" s="3">
        <f>AY15-AZ15-BA15</f>
        <v>102358600.66</v>
      </c>
      <c r="BC15" s="3">
        <f>BB15/1000</f>
        <v>102358.60066</v>
      </c>
      <c r="BE15" s="3">
        <v>29384119</v>
      </c>
      <c r="BF15" s="3">
        <v>0</v>
      </c>
      <c r="BG15" s="3">
        <f>SUM(BE15:BF15)</f>
        <v>29384119</v>
      </c>
      <c r="BI15" s="3">
        <v>142443850.76999998</v>
      </c>
      <c r="BJ15" s="92">
        <v>448630.61</v>
      </c>
      <c r="BK15" s="92">
        <v>30838060</v>
      </c>
      <c r="BL15" s="3">
        <f>BI15-BJ15-BK15</f>
        <v>111157160.15999997</v>
      </c>
      <c r="BM15" s="3">
        <f>BL15/1000</f>
        <v>111157.16015999997</v>
      </c>
      <c r="BO15" s="242">
        <v>29156789</v>
      </c>
      <c r="BP15" s="3">
        <v>1681271</v>
      </c>
      <c r="BQ15" s="3">
        <f>SUM(BO15:BP15)</f>
        <v>30838060</v>
      </c>
      <c r="BS15" s="3">
        <v>149739785.18000001</v>
      </c>
      <c r="BT15" s="92">
        <v>745569.94</v>
      </c>
      <c r="BU15" s="156">
        <f>CA15</f>
        <v>30087053</v>
      </c>
      <c r="BV15" s="3">
        <f>BS15-BT15-BU15</f>
        <v>118907162.24000001</v>
      </c>
      <c r="BW15" s="3">
        <f>BV15/1000</f>
        <v>118907.16224000001</v>
      </c>
      <c r="BY15" s="242">
        <v>30087053</v>
      </c>
      <c r="CA15" s="3">
        <f>SUM(BY15:BZ15)</f>
        <v>30087053</v>
      </c>
      <c r="CC15" s="242">
        <v>31853025</v>
      </c>
      <c r="CD15" s="3">
        <v>429728</v>
      </c>
      <c r="CE15" s="3">
        <f>SUM(CC15:CD15)</f>
        <v>32282753</v>
      </c>
      <c r="CG15" s="3">
        <v>159991630.07999998</v>
      </c>
      <c r="CH15" s="3">
        <v>632028.35</v>
      </c>
      <c r="CI15" s="3">
        <v>31853025</v>
      </c>
      <c r="CJ15" s="3">
        <f>CG15-CH15-CI15</f>
        <v>127506576.72999999</v>
      </c>
      <c r="CK15" s="3">
        <f>CJ15/1000</f>
        <v>127506.57672999999</v>
      </c>
      <c r="CM15" s="3">
        <v>165876124.39000002</v>
      </c>
      <c r="CN15" s="3">
        <v>562816.54</v>
      </c>
      <c r="CO15" s="3">
        <v>34257338</v>
      </c>
      <c r="CP15" s="3">
        <f>CM15-CN15-CO15</f>
        <v>131055969.85000002</v>
      </c>
      <c r="CQ15" s="3">
        <f>CP15/1000</f>
        <v>131055.96985000002</v>
      </c>
      <c r="CS15" s="3">
        <v>177549185.07999998</v>
      </c>
      <c r="CT15" s="3">
        <v>199355.13</v>
      </c>
      <c r="CU15" s="3">
        <v>34427799.789999999</v>
      </c>
      <c r="CV15" s="3">
        <f>CS15-CT15-CU15</f>
        <v>142922030.16</v>
      </c>
      <c r="CW15" s="3">
        <f>CV15/1000</f>
        <v>142922.03015999999</v>
      </c>
      <c r="CY15" s="3">
        <v>183103834.33000001</v>
      </c>
      <c r="CZ15" s="3">
        <v>169228.91999999998</v>
      </c>
      <c r="DA15" s="3">
        <v>34513993.969999999</v>
      </c>
      <c r="DB15" s="3">
        <f t="shared" si="6"/>
        <v>148420611.44000003</v>
      </c>
      <c r="DC15" s="3">
        <f>DB15/1000</f>
        <v>148420.61144000004</v>
      </c>
      <c r="DE15" s="3">
        <v>179978211.09999999</v>
      </c>
      <c r="DF15" s="3">
        <v>139423</v>
      </c>
      <c r="DG15" s="3">
        <v>34744397</v>
      </c>
      <c r="DH15" s="3">
        <f t="shared" si="7"/>
        <v>145094391.09999999</v>
      </c>
      <c r="DI15" s="3">
        <f>DH15/1000</f>
        <v>145094.39110000001</v>
      </c>
      <c r="DK15" s="3">
        <v>183147405.58000001</v>
      </c>
      <c r="DL15" s="3">
        <v>150701</v>
      </c>
      <c r="DM15" s="3">
        <v>35798974.899999999</v>
      </c>
      <c r="DN15" s="3">
        <f t="shared" si="11"/>
        <v>147197729.68000001</v>
      </c>
      <c r="DO15" s="3">
        <f t="shared" si="12"/>
        <v>147197.72968000002</v>
      </c>
    </row>
    <row r="16" spans="1:119">
      <c r="A16" s="1" t="s">
        <v>10</v>
      </c>
      <c r="B16" s="1">
        <v>14337</v>
      </c>
      <c r="C16" s="1">
        <v>15008</v>
      </c>
      <c r="D16" s="1">
        <v>16561.664160000008</v>
      </c>
      <c r="E16" s="1">
        <v>17690.936539999999</v>
      </c>
      <c r="F16" s="1">
        <v>21047.273809999999</v>
      </c>
      <c r="G16" s="1">
        <v>22283.171479999997</v>
      </c>
      <c r="H16" s="1">
        <v>23473.700659999999</v>
      </c>
      <c r="I16" s="1">
        <v>23585.904150000002</v>
      </c>
      <c r="J16" s="1">
        <v>23325.847419999998</v>
      </c>
      <c r="K16" s="1">
        <v>23316.574119999997</v>
      </c>
      <c r="L16" s="241">
        <f>(K16-J16)*100/J16</f>
        <v>-3.9755468828324973E-2</v>
      </c>
      <c r="M16" s="48">
        <f t="shared" si="8"/>
        <v>78.885125066132758</v>
      </c>
      <c r="N16" s="14">
        <v>2119</v>
      </c>
      <c r="O16" s="14">
        <v>2143</v>
      </c>
      <c r="P16" s="14">
        <v>2337</v>
      </c>
      <c r="Q16" s="14">
        <v>2490</v>
      </c>
      <c r="R16" s="14">
        <v>2718</v>
      </c>
      <c r="S16" s="14">
        <v>3302</v>
      </c>
      <c r="T16" s="14">
        <v>3735</v>
      </c>
      <c r="U16" s="14">
        <v>4502</v>
      </c>
      <c r="V16" s="14">
        <v>4623</v>
      </c>
      <c r="W16" s="14">
        <v>5316</v>
      </c>
      <c r="X16" s="14">
        <v>5757</v>
      </c>
      <c r="Y16" s="14">
        <v>6328</v>
      </c>
      <c r="Z16" s="14">
        <v>6759</v>
      </c>
      <c r="AA16" s="14">
        <v>7456</v>
      </c>
      <c r="AB16" s="14">
        <v>8460</v>
      </c>
      <c r="AC16" s="1">
        <v>9506</v>
      </c>
      <c r="AD16" s="1">
        <v>10131</v>
      </c>
      <c r="AE16" s="3">
        <v>11601.47471</v>
      </c>
      <c r="AF16" s="1">
        <v>13034.384</v>
      </c>
      <c r="AG16" s="128">
        <v>13762914.84</v>
      </c>
      <c r="AH16" s="128">
        <v>109440.09</v>
      </c>
      <c r="AI16" s="128">
        <v>2052000.04</v>
      </c>
      <c r="AJ16" s="3">
        <f>AG16-AH16-AI16</f>
        <v>11601474.710000001</v>
      </c>
      <c r="AK16" s="3">
        <f>AJ16/1000</f>
        <v>11601.47471</v>
      </c>
      <c r="AL16" s="3"/>
      <c r="AM16" s="1">
        <v>15332898.219999999</v>
      </c>
      <c r="AN16" s="14">
        <v>56627.08</v>
      </c>
      <c r="AO16" s="14">
        <v>2241887.14</v>
      </c>
      <c r="AP16" s="14">
        <f t="shared" si="9"/>
        <v>13034383.999999998</v>
      </c>
      <c r="AQ16" s="14">
        <f t="shared" si="10"/>
        <v>13034.383999999998</v>
      </c>
      <c r="AR16" s="14"/>
      <c r="AS16" s="3">
        <v>16649814</v>
      </c>
      <c r="AT16" s="3">
        <v>114754.43</v>
      </c>
      <c r="AU16" s="92">
        <v>2198223.5299999998</v>
      </c>
      <c r="AV16" s="3">
        <f>AS16-AT16-AU16</f>
        <v>14336836.040000001</v>
      </c>
      <c r="AW16" s="3">
        <f>AV16/1000</f>
        <v>14336.83604</v>
      </c>
      <c r="AY16" s="3">
        <v>17422671</v>
      </c>
      <c r="AZ16" s="92">
        <v>331912.92</v>
      </c>
      <c r="BA16" s="92">
        <v>2082749</v>
      </c>
      <c r="BB16" s="3">
        <f>AY16-AZ16-BA16</f>
        <v>15008009.079999998</v>
      </c>
      <c r="BC16" s="3">
        <f>BB16/1000</f>
        <v>15008.009079999998</v>
      </c>
      <c r="BE16" s="3">
        <v>2082749</v>
      </c>
      <c r="BF16" s="3">
        <v>0</v>
      </c>
      <c r="BG16" s="3">
        <f>SUM(BE16:BF16)</f>
        <v>2082749</v>
      </c>
      <c r="BI16" s="3">
        <v>18668617.150000006</v>
      </c>
      <c r="BJ16" s="92">
        <v>101841.97</v>
      </c>
      <c r="BK16" s="92">
        <v>2005111.02</v>
      </c>
      <c r="BL16" s="3">
        <f>BI16-BJ16-BK16</f>
        <v>16561664.160000008</v>
      </c>
      <c r="BM16" s="3">
        <f>BL16/1000</f>
        <v>16561.664160000008</v>
      </c>
      <c r="BO16" s="242">
        <v>886193.46</v>
      </c>
      <c r="BP16" s="3">
        <v>1118917.56</v>
      </c>
      <c r="BQ16" s="3">
        <f>SUM(BO16:BP16)</f>
        <v>2005111.02</v>
      </c>
      <c r="BS16" s="3">
        <v>19790146.629999999</v>
      </c>
      <c r="BT16" s="92">
        <v>80935.289999999994</v>
      </c>
      <c r="BU16" s="156">
        <f>CA16</f>
        <v>2018274.8</v>
      </c>
      <c r="BV16" s="3">
        <f>BS16-BT16-BU16</f>
        <v>17690936.539999999</v>
      </c>
      <c r="BW16" s="3">
        <f>BV16/1000</f>
        <v>17690.936539999999</v>
      </c>
      <c r="BY16" s="242">
        <v>896465.23</v>
      </c>
      <c r="BZ16" s="3">
        <v>1121809.57</v>
      </c>
      <c r="CA16" s="3">
        <f>SUM(BY16:BZ16)</f>
        <v>2018274.8</v>
      </c>
      <c r="CC16" s="242">
        <v>1129176.77</v>
      </c>
      <c r="CD16" s="3">
        <v>30423</v>
      </c>
      <c r="CE16" s="3">
        <f>SUM(CC16:CD16)</f>
        <v>1159599.77</v>
      </c>
      <c r="CG16" s="3">
        <v>22499764.039999999</v>
      </c>
      <c r="CH16" s="3">
        <v>323313.46000000002</v>
      </c>
      <c r="CI16" s="3">
        <v>1129176.77</v>
      </c>
      <c r="CJ16" s="3">
        <f>CG16-CH16-CI16</f>
        <v>21047273.809999999</v>
      </c>
      <c r="CK16" s="3">
        <f>CJ16/1000</f>
        <v>21047.273809999999</v>
      </c>
      <c r="CM16" s="3">
        <v>24893580.039999995</v>
      </c>
      <c r="CN16" s="3">
        <v>187635.22</v>
      </c>
      <c r="CO16" s="3">
        <v>2422773.34</v>
      </c>
      <c r="CP16" s="3">
        <f>CM16-CN16-CO16</f>
        <v>22283171.479999997</v>
      </c>
      <c r="CQ16" s="3">
        <f>CP16/1000</f>
        <v>22283.171479999997</v>
      </c>
      <c r="CS16" s="3">
        <v>26366248.68</v>
      </c>
      <c r="CT16" s="3">
        <v>551061.07999999996</v>
      </c>
      <c r="CU16" s="3">
        <v>2341486.94</v>
      </c>
      <c r="CV16" s="3">
        <f>CS16-CT16-CU16</f>
        <v>23473700.66</v>
      </c>
      <c r="CW16" s="3">
        <f>CV16/1000</f>
        <v>23473.700659999999</v>
      </c>
      <c r="CY16" s="3">
        <v>25689551.250000004</v>
      </c>
      <c r="CZ16" s="3">
        <v>189521.82</v>
      </c>
      <c r="DA16" s="3">
        <v>1914125.28</v>
      </c>
      <c r="DB16" s="3">
        <f t="shared" si="6"/>
        <v>23585904.150000002</v>
      </c>
      <c r="DC16" s="3">
        <f>DB16/1000</f>
        <v>23585.904150000002</v>
      </c>
      <c r="DE16" s="3">
        <v>25204493.329999998</v>
      </c>
      <c r="DF16" s="3">
        <v>181655.36000000002</v>
      </c>
      <c r="DG16" s="3">
        <v>1696990.55</v>
      </c>
      <c r="DH16" s="3">
        <f t="shared" si="7"/>
        <v>23325847.419999998</v>
      </c>
      <c r="DI16" s="3">
        <f>DH16/1000</f>
        <v>23325.847419999998</v>
      </c>
      <c r="DK16" s="3">
        <v>25464515.649999999</v>
      </c>
      <c r="DL16" s="3">
        <v>81100.850000000006</v>
      </c>
      <c r="DM16" s="3">
        <v>2066840.6800000002</v>
      </c>
      <c r="DN16" s="3">
        <f t="shared" si="11"/>
        <v>23316574.119999997</v>
      </c>
      <c r="DO16" s="3">
        <f t="shared" si="12"/>
        <v>23316.574119999997</v>
      </c>
    </row>
    <row r="17" spans="1:119">
      <c r="L17" s="48"/>
      <c r="M17" s="48"/>
      <c r="N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D17" s="1"/>
      <c r="AE17" s="3"/>
      <c r="AF17" s="1"/>
      <c r="AG17" s="128"/>
      <c r="AH17" s="128"/>
      <c r="AI17" s="128"/>
      <c r="AJ17" s="3"/>
      <c r="AK17" s="3"/>
      <c r="AL17" s="3"/>
      <c r="AM17" s="1"/>
      <c r="AN17" s="14"/>
      <c r="AO17" s="14"/>
      <c r="AP17" s="14"/>
      <c r="AQ17" s="14"/>
      <c r="AR17" s="14"/>
      <c r="AU17" s="92"/>
      <c r="AZ17" s="92"/>
      <c r="BA17" s="92"/>
      <c r="BJ17" s="92"/>
      <c r="BK17" s="92"/>
      <c r="BO17" s="242"/>
      <c r="BT17" s="92"/>
      <c r="BU17" s="92"/>
      <c r="BY17" s="242"/>
      <c r="CC17" s="242"/>
    </row>
    <row r="18" spans="1:119">
      <c r="A18" s="1" t="s">
        <v>11</v>
      </c>
      <c r="B18" s="1">
        <v>3870</v>
      </c>
      <c r="C18" s="1">
        <v>3890</v>
      </c>
      <c r="D18" s="1">
        <v>4203.3974200000002</v>
      </c>
      <c r="E18" s="1">
        <v>4698.9040100000002</v>
      </c>
      <c r="F18" s="1">
        <v>5286.33151</v>
      </c>
      <c r="G18" s="1">
        <v>5220.8958800000009</v>
      </c>
      <c r="H18" s="1">
        <v>5530.1452799999997</v>
      </c>
      <c r="I18" s="1">
        <v>5336.2573600000005</v>
      </c>
      <c r="J18" s="1">
        <v>5014.5605100000002</v>
      </c>
      <c r="K18" s="1">
        <v>5362.7528999999986</v>
      </c>
      <c r="L18" s="241">
        <f>(K18-J18)*100/J18</f>
        <v>6.9436272492003157</v>
      </c>
      <c r="M18" s="48">
        <f t="shared" si="8"/>
        <v>53.569404925872085</v>
      </c>
      <c r="N18" s="14">
        <v>833</v>
      </c>
      <c r="O18" s="14">
        <v>751</v>
      </c>
      <c r="P18" s="14">
        <v>884</v>
      </c>
      <c r="Q18" s="14">
        <v>972</v>
      </c>
      <c r="R18" s="14">
        <v>1083</v>
      </c>
      <c r="S18" s="14">
        <v>1229</v>
      </c>
      <c r="T18" s="14">
        <v>1318</v>
      </c>
      <c r="U18" s="14">
        <v>1451</v>
      </c>
      <c r="V18" s="14">
        <v>1532</v>
      </c>
      <c r="W18" s="14">
        <v>1730</v>
      </c>
      <c r="X18" s="14">
        <v>1923</v>
      </c>
      <c r="Y18" s="14">
        <v>2103</v>
      </c>
      <c r="Z18" s="14">
        <v>2182</v>
      </c>
      <c r="AA18" s="14">
        <v>2351</v>
      </c>
      <c r="AB18" s="14">
        <v>2573</v>
      </c>
      <c r="AC18" s="1">
        <v>2851</v>
      </c>
      <c r="AD18" s="1">
        <v>2920</v>
      </c>
      <c r="AE18" s="3">
        <v>3123.9409799999994</v>
      </c>
      <c r="AF18" s="1">
        <v>3492.07116</v>
      </c>
      <c r="AG18" s="128">
        <v>3494117.03</v>
      </c>
      <c r="AH18" s="128">
        <v>48001.79</v>
      </c>
      <c r="AI18" s="128">
        <v>322174.26</v>
      </c>
      <c r="AJ18" s="3">
        <f>AG18-AH18-AI18</f>
        <v>3123940.9799999995</v>
      </c>
      <c r="AK18" s="3">
        <f>AJ18/1000</f>
        <v>3123.9409799999994</v>
      </c>
      <c r="AL18" s="3"/>
      <c r="AM18" s="1">
        <v>3862665.11</v>
      </c>
      <c r="AN18" s="14">
        <v>32503.77</v>
      </c>
      <c r="AO18" s="14">
        <v>338090.18</v>
      </c>
      <c r="AP18" s="14">
        <f t="shared" si="9"/>
        <v>3492071.1599999997</v>
      </c>
      <c r="AQ18" s="14">
        <f t="shared" si="10"/>
        <v>3492.0711599999995</v>
      </c>
      <c r="AR18" s="14"/>
      <c r="AS18" s="3">
        <v>4423746.3499999996</v>
      </c>
      <c r="AT18" s="3">
        <v>19781.509999999998</v>
      </c>
      <c r="AU18" s="92">
        <v>534149</v>
      </c>
      <c r="AV18" s="3">
        <f>AS18-AT18-AU18</f>
        <v>3869815.84</v>
      </c>
      <c r="AW18" s="3">
        <f>AV18/1000</f>
        <v>3869.8158399999998</v>
      </c>
      <c r="AY18" s="3">
        <v>4412108.67</v>
      </c>
      <c r="AZ18" s="92">
        <v>2254.48</v>
      </c>
      <c r="BA18" s="92">
        <v>519727</v>
      </c>
      <c r="BB18" s="3">
        <f>AY18-AZ18-BA18</f>
        <v>3890127.1899999995</v>
      </c>
      <c r="BC18" s="3">
        <f>BB18/1000</f>
        <v>3890.1271899999997</v>
      </c>
      <c r="BE18" s="3">
        <v>365918</v>
      </c>
      <c r="BF18" s="3">
        <v>153809</v>
      </c>
      <c r="BG18" s="3">
        <f>SUM(BE18:BF18)</f>
        <v>519727</v>
      </c>
      <c r="BI18" s="3">
        <v>4854551.63</v>
      </c>
      <c r="BJ18" s="92">
        <v>31210.11</v>
      </c>
      <c r="BK18" s="92">
        <v>619944.1</v>
      </c>
      <c r="BL18" s="3">
        <f>BI18-BJ18-BK18</f>
        <v>4203397.42</v>
      </c>
      <c r="BM18" s="3">
        <f>BL18/1000</f>
        <v>4203.3974200000002</v>
      </c>
      <c r="BO18" s="242">
        <v>456856.1</v>
      </c>
      <c r="BP18" s="3">
        <v>163088</v>
      </c>
      <c r="BQ18" s="3">
        <f>SUM(BO18:BP18)</f>
        <v>619944.1</v>
      </c>
      <c r="BS18" s="3">
        <v>5341976.87</v>
      </c>
      <c r="BT18" s="92">
        <v>48116.59</v>
      </c>
      <c r="BU18" s="156">
        <f>CA18</f>
        <v>594956.27</v>
      </c>
      <c r="BV18" s="3">
        <f>BS18-BT18-BU18</f>
        <v>4698904.01</v>
      </c>
      <c r="BW18" s="3">
        <f>BV18/1000</f>
        <v>4698.9040100000002</v>
      </c>
      <c r="BY18" s="242">
        <v>409736.23</v>
      </c>
      <c r="BZ18" s="3">
        <v>185220.04</v>
      </c>
      <c r="CA18" s="3">
        <f>SUM(BY18:BZ18)</f>
        <v>594956.27</v>
      </c>
      <c r="CC18" s="242">
        <v>371757.85</v>
      </c>
      <c r="CD18" s="3">
        <v>237417</v>
      </c>
      <c r="CE18" s="3">
        <f>SUM(CC18:CD18)</f>
        <v>609174.85</v>
      </c>
      <c r="CG18" s="3">
        <v>5708407.9499999993</v>
      </c>
      <c r="CH18" s="3">
        <v>50318.59</v>
      </c>
      <c r="CI18" s="3">
        <v>371757.85</v>
      </c>
      <c r="CJ18" s="3">
        <f>CG18-CH18-CI18</f>
        <v>5286331.51</v>
      </c>
      <c r="CK18" s="3">
        <f>CJ18/1000</f>
        <v>5286.33151</v>
      </c>
      <c r="CM18" s="3">
        <v>5760693.540000001</v>
      </c>
      <c r="CN18" s="3">
        <v>102670.93</v>
      </c>
      <c r="CO18" s="3">
        <v>437126.73</v>
      </c>
      <c r="CP18" s="3">
        <f>CM18-CN18-CO18</f>
        <v>5220895.8800000008</v>
      </c>
      <c r="CQ18" s="3">
        <f>CP18/1000</f>
        <v>5220.8958800000009</v>
      </c>
      <c r="CS18" s="3">
        <v>6407260.4399999995</v>
      </c>
      <c r="CT18" s="3">
        <v>518429.29000000004</v>
      </c>
      <c r="CU18" s="3">
        <v>358685.87</v>
      </c>
      <c r="CV18" s="3">
        <f>CS18-CT18-CU18</f>
        <v>5530145.2799999993</v>
      </c>
      <c r="CW18" s="3">
        <f>CV18/1000</f>
        <v>5530.1452799999997</v>
      </c>
      <c r="CY18" s="3">
        <v>6059139.4000000004</v>
      </c>
      <c r="CZ18" s="3">
        <v>154384.20000000001</v>
      </c>
      <c r="DA18" s="3">
        <v>568497.84000000008</v>
      </c>
      <c r="DB18" s="3">
        <f t="shared" ref="DB18:DB22" si="13">CY18-CZ18-DA18</f>
        <v>5336257.3600000003</v>
      </c>
      <c r="DC18" s="3">
        <f>DB18/1000</f>
        <v>5336.2573600000005</v>
      </c>
      <c r="DE18" s="3">
        <v>6272425.1500000004</v>
      </c>
      <c r="DF18" s="3">
        <v>121885.7</v>
      </c>
      <c r="DG18" s="3">
        <v>1135978.94</v>
      </c>
      <c r="DH18" s="3">
        <f t="shared" ref="DH18:DH22" si="14">DE18-DF18-DG18</f>
        <v>5014560.51</v>
      </c>
      <c r="DI18" s="3">
        <f>DH18/1000</f>
        <v>5014.5605099999993</v>
      </c>
      <c r="DK18" s="3">
        <v>6949380.7999999989</v>
      </c>
      <c r="DL18" s="3">
        <v>133946.04999999999</v>
      </c>
      <c r="DM18" s="3">
        <v>1452681.85</v>
      </c>
      <c r="DN18" s="3">
        <f t="shared" si="11"/>
        <v>5362752.8999999985</v>
      </c>
      <c r="DO18" s="3">
        <f t="shared" si="12"/>
        <v>5362.7528999999986</v>
      </c>
    </row>
    <row r="19" spans="1:119">
      <c r="A19" s="1" t="s">
        <v>12</v>
      </c>
      <c r="B19" s="1">
        <v>19976</v>
      </c>
      <c r="C19" s="1">
        <v>21466</v>
      </c>
      <c r="D19" s="1">
        <v>23318.226930000001</v>
      </c>
      <c r="E19" s="1">
        <v>25744.485960000002</v>
      </c>
      <c r="F19" s="1">
        <v>28107.386610000001</v>
      </c>
      <c r="G19" s="1">
        <v>28455.909530000001</v>
      </c>
      <c r="H19" s="1">
        <v>30735.101689999996</v>
      </c>
      <c r="I19" s="1">
        <v>30432.715230000002</v>
      </c>
      <c r="J19" s="1">
        <v>29839.72279</v>
      </c>
      <c r="K19" s="1">
        <v>31828.568259999996</v>
      </c>
      <c r="L19" s="241">
        <f>(K19-J19)*100/J19</f>
        <v>6.6650936538408665</v>
      </c>
      <c r="M19" s="48">
        <f t="shared" si="8"/>
        <v>70.447191073239111</v>
      </c>
      <c r="N19" s="14">
        <v>3815</v>
      </c>
      <c r="O19" s="14">
        <v>3771</v>
      </c>
      <c r="P19" s="14">
        <v>4310</v>
      </c>
      <c r="Q19" s="14">
        <v>4866</v>
      </c>
      <c r="R19" s="14">
        <v>5607</v>
      </c>
      <c r="S19" s="14">
        <v>6252</v>
      </c>
      <c r="T19" s="14">
        <v>6868</v>
      </c>
      <c r="U19" s="14">
        <v>7602</v>
      </c>
      <c r="V19" s="14">
        <v>8476</v>
      </c>
      <c r="W19" s="14">
        <v>8803</v>
      </c>
      <c r="X19" s="14">
        <v>9821</v>
      </c>
      <c r="Y19" s="14">
        <v>10719</v>
      </c>
      <c r="Z19" s="14">
        <v>11035</v>
      </c>
      <c r="AA19" s="14">
        <v>12135</v>
      </c>
      <c r="AB19" s="14">
        <v>13744</v>
      </c>
      <c r="AC19" s="1">
        <v>14818</v>
      </c>
      <c r="AD19" s="1">
        <v>16127</v>
      </c>
      <c r="AE19" s="3">
        <v>17484.63884</v>
      </c>
      <c r="AF19" s="1">
        <v>18673.565729999998</v>
      </c>
      <c r="AG19" s="128">
        <v>22227758.030000001</v>
      </c>
      <c r="AH19" s="128">
        <v>55840.480000000003</v>
      </c>
      <c r="AI19" s="128">
        <v>4687278.71</v>
      </c>
      <c r="AJ19" s="3">
        <f>AG19-AH19-AI19</f>
        <v>17484638.84</v>
      </c>
      <c r="AK19" s="3">
        <f>AJ19/1000</f>
        <v>17484.63884</v>
      </c>
      <c r="AL19" s="3"/>
      <c r="AM19" s="1">
        <v>24095427.109999999</v>
      </c>
      <c r="AN19" s="14">
        <v>149918.89000000001</v>
      </c>
      <c r="AO19" s="14">
        <v>5271942.49</v>
      </c>
      <c r="AP19" s="14">
        <f t="shared" si="9"/>
        <v>18673565.729999997</v>
      </c>
      <c r="AQ19" s="14">
        <f t="shared" si="10"/>
        <v>18673.565729999998</v>
      </c>
      <c r="AR19" s="14"/>
      <c r="AS19" s="3">
        <v>25452669</v>
      </c>
      <c r="AT19" s="3">
        <v>123912.28</v>
      </c>
      <c r="AU19" s="92">
        <v>5352717.97</v>
      </c>
      <c r="AV19" s="3">
        <f>AS19-AT19-AU19</f>
        <v>19976038.75</v>
      </c>
      <c r="AW19" s="3">
        <f>AV19/1000</f>
        <v>19976.03875</v>
      </c>
      <c r="AY19" s="3">
        <v>27590826</v>
      </c>
      <c r="AZ19" s="92">
        <v>101994.46</v>
      </c>
      <c r="BA19" s="92">
        <v>6023256</v>
      </c>
      <c r="BB19" s="3">
        <f>AY19-AZ19-BA19</f>
        <v>21465575.539999999</v>
      </c>
      <c r="BC19" s="3">
        <f>BB19/1000</f>
        <v>21465.575539999998</v>
      </c>
      <c r="BE19" s="3">
        <v>5974950</v>
      </c>
      <c r="BF19" s="3">
        <v>48306</v>
      </c>
      <c r="BG19" s="3">
        <f>SUM(BE19:BF19)</f>
        <v>6023256</v>
      </c>
      <c r="BI19" s="3">
        <v>29909361.07</v>
      </c>
      <c r="BJ19" s="92">
        <v>155744.04999999999</v>
      </c>
      <c r="BK19" s="92">
        <v>6435390.0899999999</v>
      </c>
      <c r="BL19" s="3">
        <f>BI19-BJ19-BK19</f>
        <v>23318226.93</v>
      </c>
      <c r="BM19" s="3">
        <f>BL19/1000</f>
        <v>23318.226930000001</v>
      </c>
      <c r="BO19" s="242">
        <v>6383566.5199999996</v>
      </c>
      <c r="BP19" s="3">
        <v>51823.57</v>
      </c>
      <c r="BQ19" s="3">
        <f>SUM(BO19:BP19)</f>
        <v>6435390.0899999999</v>
      </c>
      <c r="BS19" s="3">
        <v>32395263.219999999</v>
      </c>
      <c r="BT19" s="92">
        <v>172489.91</v>
      </c>
      <c r="BU19" s="156">
        <f>CA19</f>
        <v>6478287.3499999996</v>
      </c>
      <c r="BV19" s="3">
        <f>BS19-BT19-BU19</f>
        <v>25744485.960000001</v>
      </c>
      <c r="BW19" s="3">
        <f>BV19/1000</f>
        <v>25744.485960000002</v>
      </c>
      <c r="BY19" s="242">
        <v>6437594.3499999996</v>
      </c>
      <c r="BZ19" s="3">
        <v>40693</v>
      </c>
      <c r="CA19" s="3">
        <f>SUM(BY19:BZ19)</f>
        <v>6478287.3499999996</v>
      </c>
      <c r="CC19" s="242">
        <v>6874216.1900000004</v>
      </c>
      <c r="CD19" s="3">
        <v>13014.16</v>
      </c>
      <c r="CE19" s="3">
        <f>SUM(CC19:CD19)</f>
        <v>6887230.3500000006</v>
      </c>
      <c r="CG19" s="3">
        <v>35040931.900000006</v>
      </c>
      <c r="CH19" s="3">
        <v>59329.1</v>
      </c>
      <c r="CI19" s="3">
        <v>6874216.1900000004</v>
      </c>
      <c r="CJ19" s="3">
        <f>CG19-CH19-CI19</f>
        <v>28107386.610000003</v>
      </c>
      <c r="CK19" s="3">
        <f>CJ19/1000</f>
        <v>28107.386610000001</v>
      </c>
      <c r="CM19" s="3">
        <v>37320549.829999998</v>
      </c>
      <c r="CN19" s="3">
        <v>60287.72</v>
      </c>
      <c r="CO19" s="3">
        <v>8804352.5800000001</v>
      </c>
      <c r="CP19" s="3">
        <f>CM19-CN19-CO19</f>
        <v>28455909.530000001</v>
      </c>
      <c r="CQ19" s="3">
        <f>CP19/1000</f>
        <v>28455.909530000001</v>
      </c>
      <c r="CS19" s="3">
        <v>39262545.359999999</v>
      </c>
      <c r="CT19" s="3">
        <v>247338.95</v>
      </c>
      <c r="CU19" s="3">
        <v>8280104.7199999997</v>
      </c>
      <c r="CV19" s="3">
        <f>CS19-CT19-CU19</f>
        <v>30735101.689999998</v>
      </c>
      <c r="CW19" s="3">
        <f>CV19/1000</f>
        <v>30735.101689999996</v>
      </c>
      <c r="CY19" s="3">
        <v>37526013.039999999</v>
      </c>
      <c r="CZ19" s="3">
        <v>103852</v>
      </c>
      <c r="DA19" s="3">
        <v>6989445.8099999996</v>
      </c>
      <c r="DB19" s="3">
        <f t="shared" si="13"/>
        <v>30432715.23</v>
      </c>
      <c r="DC19" s="3">
        <f>DB19/1000</f>
        <v>30432.715230000002</v>
      </c>
      <c r="DE19" s="3">
        <v>35198975.939999998</v>
      </c>
      <c r="DF19" s="3">
        <v>263741.11</v>
      </c>
      <c r="DG19" s="3">
        <v>5095512.04</v>
      </c>
      <c r="DH19" s="3">
        <f t="shared" si="14"/>
        <v>29839722.789999999</v>
      </c>
      <c r="DI19" s="3">
        <f>DH19/1000</f>
        <v>29839.72279</v>
      </c>
      <c r="DK19" s="3">
        <v>36948459.109999999</v>
      </c>
      <c r="DL19" s="3">
        <v>8067</v>
      </c>
      <c r="DM19" s="3">
        <v>5111823.8499999996</v>
      </c>
      <c r="DN19" s="3">
        <f t="shared" si="11"/>
        <v>31828568.259999998</v>
      </c>
      <c r="DO19" s="3">
        <f t="shared" si="12"/>
        <v>31828.568259999996</v>
      </c>
    </row>
    <row r="20" spans="1:119">
      <c r="A20" s="1" t="s">
        <v>13</v>
      </c>
      <c r="B20" s="1">
        <v>13730</v>
      </c>
      <c r="C20" s="1">
        <v>14873</v>
      </c>
      <c r="D20" s="1">
        <v>16844.904050000001</v>
      </c>
      <c r="E20" s="1">
        <v>18036.46372</v>
      </c>
      <c r="F20" s="1">
        <v>19995.307670000002</v>
      </c>
      <c r="G20" s="1">
        <v>21586.12284</v>
      </c>
      <c r="H20" s="1">
        <v>21946.463359999998</v>
      </c>
      <c r="I20" s="1">
        <v>21799.619740000002</v>
      </c>
      <c r="J20" s="1">
        <v>21371.608899999999</v>
      </c>
      <c r="K20" s="1">
        <v>21866.25864</v>
      </c>
      <c r="L20" s="241">
        <f>(K20-J20)*100/J20</f>
        <v>2.3145180239565435</v>
      </c>
      <c r="M20" s="48">
        <f t="shared" si="8"/>
        <v>69.081115744471205</v>
      </c>
      <c r="N20" s="14">
        <v>2348</v>
      </c>
      <c r="O20" s="14">
        <v>2486</v>
      </c>
      <c r="P20" s="14">
        <v>2731</v>
      </c>
      <c r="Q20" s="14">
        <v>3349</v>
      </c>
      <c r="R20" s="14">
        <v>3702</v>
      </c>
      <c r="S20" s="14">
        <v>4382</v>
      </c>
      <c r="T20" s="14">
        <v>4729</v>
      </c>
      <c r="U20" s="14">
        <v>4991</v>
      </c>
      <c r="V20" s="14">
        <v>5452</v>
      </c>
      <c r="W20" s="14">
        <v>6063</v>
      </c>
      <c r="X20" s="14">
        <v>6622</v>
      </c>
      <c r="Y20" s="14">
        <v>7154</v>
      </c>
      <c r="Z20" s="14">
        <v>7518</v>
      </c>
      <c r="AA20" s="14">
        <v>8046</v>
      </c>
      <c r="AB20" s="14">
        <v>9143</v>
      </c>
      <c r="AC20" s="1">
        <v>9914</v>
      </c>
      <c r="AD20" s="1">
        <v>10894</v>
      </c>
      <c r="AE20" s="3">
        <v>12050.90617</v>
      </c>
      <c r="AF20" s="1">
        <v>12932.407349999999</v>
      </c>
      <c r="AG20" s="128">
        <v>13984157.84</v>
      </c>
      <c r="AH20" s="128">
        <v>95983.2</v>
      </c>
      <c r="AI20" s="128">
        <v>1837268.47</v>
      </c>
      <c r="AJ20" s="3">
        <f>AG20-AH20-AI20</f>
        <v>12050906.17</v>
      </c>
      <c r="AK20" s="3">
        <f>AJ20/1000</f>
        <v>12050.90617</v>
      </c>
      <c r="AL20" s="3"/>
      <c r="AM20" s="1">
        <v>15151058.859999998</v>
      </c>
      <c r="AN20" s="14">
        <v>221709.98</v>
      </c>
      <c r="AO20" s="14">
        <v>1996941.53</v>
      </c>
      <c r="AP20" s="14">
        <f t="shared" si="9"/>
        <v>12932407.349999998</v>
      </c>
      <c r="AQ20" s="14">
        <f t="shared" si="10"/>
        <v>12932.407349999998</v>
      </c>
      <c r="AR20" s="14"/>
      <c r="AS20" s="3">
        <v>16240490</v>
      </c>
      <c r="AT20" s="3">
        <v>138294.1</v>
      </c>
      <c r="AU20" s="92">
        <v>2372012.69</v>
      </c>
      <c r="AV20" s="3">
        <f>AS20-AT20-AU20</f>
        <v>13730183.210000001</v>
      </c>
      <c r="AW20" s="3">
        <f>AV20/1000</f>
        <v>13730.183210000001</v>
      </c>
      <c r="AY20" s="3">
        <v>17605614</v>
      </c>
      <c r="AZ20" s="92">
        <v>40005.06</v>
      </c>
      <c r="BA20" s="92">
        <v>2693078</v>
      </c>
      <c r="BB20" s="3">
        <f>AY20-AZ20-BA20</f>
        <v>14872530.940000001</v>
      </c>
      <c r="BC20" s="3">
        <f>BB20/1000</f>
        <v>14872.530940000001</v>
      </c>
      <c r="BE20" s="3">
        <v>2693078</v>
      </c>
      <c r="BF20" s="3">
        <v>0</v>
      </c>
      <c r="BG20" s="3">
        <f>SUM(BE20:BF20)</f>
        <v>2693078</v>
      </c>
      <c r="BI20" s="3">
        <v>20631439.919999998</v>
      </c>
      <c r="BJ20" s="92">
        <v>30095.47</v>
      </c>
      <c r="BK20" s="92">
        <v>3756440.4</v>
      </c>
      <c r="BL20" s="3">
        <f>BI20-BJ20-BK20</f>
        <v>16844904.050000001</v>
      </c>
      <c r="BM20" s="3">
        <f>BL20/1000</f>
        <v>16844.904050000001</v>
      </c>
      <c r="BO20" s="242">
        <v>3756440.4</v>
      </c>
      <c r="BP20" s="3">
        <v>0</v>
      </c>
      <c r="BQ20" s="3">
        <f>SUM(BO20:BP20)</f>
        <v>3756440.4</v>
      </c>
      <c r="BS20" s="3">
        <v>21837451.099999998</v>
      </c>
      <c r="BT20" s="92">
        <v>74087.06</v>
      </c>
      <c r="BU20" s="156">
        <f>CA20</f>
        <v>3726900.32</v>
      </c>
      <c r="BV20" s="3">
        <f>BS20-BT20-BU20</f>
        <v>18036463.719999999</v>
      </c>
      <c r="BW20" s="3">
        <f>BV20/1000</f>
        <v>18036.46372</v>
      </c>
      <c r="BY20" s="242">
        <v>3726900.32</v>
      </c>
      <c r="BZ20" s="3">
        <v>0</v>
      </c>
      <c r="CA20" s="3">
        <f>SUM(BY20:BZ20)</f>
        <v>3726900.32</v>
      </c>
      <c r="CC20" s="242">
        <v>4081479.09</v>
      </c>
      <c r="CD20" s="3">
        <v>0</v>
      </c>
      <c r="CE20" s="3">
        <f>SUM(CC20:CD20)</f>
        <v>4081479.09</v>
      </c>
      <c r="CG20" s="3">
        <v>24112325.23</v>
      </c>
      <c r="CH20" s="3">
        <v>35538.47</v>
      </c>
      <c r="CI20" s="3">
        <v>4081479.09</v>
      </c>
      <c r="CJ20" s="3">
        <f>CG20-CH20-CI20</f>
        <v>19995307.670000002</v>
      </c>
      <c r="CK20" s="3">
        <f>CJ20/1000</f>
        <v>19995.307670000002</v>
      </c>
      <c r="CM20" s="3">
        <v>25141876.629999999</v>
      </c>
      <c r="CN20" s="3">
        <v>12489.880000000001</v>
      </c>
      <c r="CO20" s="3">
        <v>3543263.91</v>
      </c>
      <c r="CP20" s="3">
        <f>CM20-CN20-CO20</f>
        <v>21586122.84</v>
      </c>
      <c r="CQ20" s="3">
        <f>CP20/1000</f>
        <v>21586.12284</v>
      </c>
      <c r="CS20" s="3">
        <v>25737862.189999998</v>
      </c>
      <c r="CT20" s="3">
        <v>150253.41</v>
      </c>
      <c r="CU20" s="3">
        <v>3641145.42</v>
      </c>
      <c r="CV20" s="3">
        <f>CS20-CT20-CU20</f>
        <v>21946463.359999999</v>
      </c>
      <c r="CW20" s="3">
        <f>CV20/1000</f>
        <v>21946.463359999998</v>
      </c>
      <c r="CY20" s="3">
        <v>25980954.93</v>
      </c>
      <c r="CZ20" s="3">
        <v>316278.44999999995</v>
      </c>
      <c r="DA20" s="3">
        <v>3865056.74</v>
      </c>
      <c r="DB20" s="3">
        <f t="shared" si="13"/>
        <v>21799619.740000002</v>
      </c>
      <c r="DC20" s="3">
        <f>DB20/1000</f>
        <v>21799.619740000002</v>
      </c>
      <c r="DE20" s="3">
        <v>24922960.069999997</v>
      </c>
      <c r="DF20" s="3">
        <v>44020.15</v>
      </c>
      <c r="DG20" s="3">
        <v>3507331.02</v>
      </c>
      <c r="DH20" s="3">
        <f t="shared" si="14"/>
        <v>21371608.899999999</v>
      </c>
      <c r="DI20" s="3">
        <f>DH20/1000</f>
        <v>21371.608899999999</v>
      </c>
      <c r="DK20" s="3">
        <v>25134428.75</v>
      </c>
      <c r="DL20" s="3">
        <v>27421.599999999999</v>
      </c>
      <c r="DM20" s="3">
        <v>3240748.51</v>
      </c>
      <c r="DN20" s="3">
        <f t="shared" si="11"/>
        <v>21866258.640000001</v>
      </c>
      <c r="DO20" s="3">
        <f t="shared" si="12"/>
        <v>21866.25864</v>
      </c>
    </row>
    <row r="21" spans="1:119">
      <c r="A21" s="1" t="s">
        <v>14</v>
      </c>
      <c r="B21" s="1">
        <v>17681</v>
      </c>
      <c r="C21" s="1">
        <v>19507</v>
      </c>
      <c r="D21" s="1">
        <v>21303.441909999998</v>
      </c>
      <c r="E21" s="1">
        <v>23388.933430000001</v>
      </c>
      <c r="F21" s="1">
        <v>26513.099330000001</v>
      </c>
      <c r="G21" s="1">
        <v>28960.091890000007</v>
      </c>
      <c r="H21" s="1">
        <v>31130.084190000001</v>
      </c>
      <c r="I21" s="1">
        <v>30009.192239999993</v>
      </c>
      <c r="J21" s="1">
        <v>29836.9656</v>
      </c>
      <c r="K21" s="1">
        <v>30109.915409999998</v>
      </c>
      <c r="L21" s="241">
        <f>(K21-J21)*100/J21</f>
        <v>0.91480418504755145</v>
      </c>
      <c r="M21" s="48">
        <f t="shared" si="8"/>
        <v>81.243207924055724</v>
      </c>
      <c r="N21" s="14">
        <v>4413</v>
      </c>
      <c r="O21" s="14">
        <v>4646</v>
      </c>
      <c r="P21" s="14">
        <v>5140</v>
      </c>
      <c r="Q21" s="14">
        <v>5593</v>
      </c>
      <c r="R21" s="14">
        <v>6183</v>
      </c>
      <c r="S21" s="14">
        <v>6934</v>
      </c>
      <c r="T21" s="14">
        <v>7950</v>
      </c>
      <c r="U21" s="14">
        <v>8476</v>
      </c>
      <c r="V21" s="14">
        <v>9200</v>
      </c>
      <c r="W21" s="14">
        <v>9675</v>
      </c>
      <c r="X21" s="14">
        <v>10183</v>
      </c>
      <c r="Y21" s="14">
        <v>9847</v>
      </c>
      <c r="Z21" s="14">
        <v>10035</v>
      </c>
      <c r="AA21" s="14">
        <v>10903</v>
      </c>
      <c r="AB21" s="14">
        <v>11852</v>
      </c>
      <c r="AC21" s="1">
        <v>13117</v>
      </c>
      <c r="AD21" s="1">
        <v>13986</v>
      </c>
      <c r="AE21" s="3">
        <v>15176.407890000004</v>
      </c>
      <c r="AF21" s="1">
        <v>16612.989669999999</v>
      </c>
      <c r="AG21" s="128">
        <v>17621567.560000002</v>
      </c>
      <c r="AH21" s="128">
        <v>22395.24</v>
      </c>
      <c r="AI21" s="128">
        <v>2422764.4300000002</v>
      </c>
      <c r="AJ21" s="3">
        <f>AG21-AH21-AI21</f>
        <v>15176407.890000004</v>
      </c>
      <c r="AK21" s="3">
        <f>AJ21/1000</f>
        <v>15176.407890000004</v>
      </c>
      <c r="AL21" s="3"/>
      <c r="AM21" s="1">
        <v>19107735.190000001</v>
      </c>
      <c r="AN21" s="14">
        <v>41218.94</v>
      </c>
      <c r="AO21" s="14">
        <v>2453526.58</v>
      </c>
      <c r="AP21" s="14">
        <f t="shared" si="9"/>
        <v>16612989.67</v>
      </c>
      <c r="AQ21" s="14">
        <f t="shared" si="10"/>
        <v>16612.989669999999</v>
      </c>
      <c r="AR21" s="14"/>
      <c r="AS21" s="3">
        <v>20767942</v>
      </c>
      <c r="AT21" s="3">
        <v>48501.84</v>
      </c>
      <c r="AU21" s="92">
        <v>3038027.57</v>
      </c>
      <c r="AV21" s="3">
        <f>AS21-AT21-AU21</f>
        <v>17681412.59</v>
      </c>
      <c r="AW21" s="3">
        <f>AV21/1000</f>
        <v>17681.41259</v>
      </c>
      <c r="AY21" s="3">
        <v>22635075</v>
      </c>
      <c r="AZ21" s="92">
        <v>22656.65</v>
      </c>
      <c r="BA21" s="92">
        <v>3105690</v>
      </c>
      <c r="BB21" s="3">
        <f>AY21-AZ21-BA21</f>
        <v>19506728.350000001</v>
      </c>
      <c r="BC21" s="3">
        <f>BB21/1000</f>
        <v>19506.728350000001</v>
      </c>
      <c r="BE21" s="3">
        <v>2980146</v>
      </c>
      <c r="BF21" s="3">
        <v>125544</v>
      </c>
      <c r="BG21" s="3">
        <f>SUM(BE21:BF21)</f>
        <v>3105690</v>
      </c>
      <c r="BI21" s="3">
        <v>24013341.469999999</v>
      </c>
      <c r="BJ21" s="92">
        <v>6259.85</v>
      </c>
      <c r="BK21" s="92">
        <v>2703639.71</v>
      </c>
      <c r="BL21" s="3">
        <f>BI21-BJ21-BK21</f>
        <v>21303441.909999996</v>
      </c>
      <c r="BM21" s="3">
        <f>BL21/1000</f>
        <v>21303.441909999998</v>
      </c>
      <c r="BO21" s="242">
        <v>2665818.65</v>
      </c>
      <c r="BP21" s="3">
        <v>37821.06</v>
      </c>
      <c r="BQ21" s="3">
        <f>SUM(BO21:BP21)</f>
        <v>2703639.71</v>
      </c>
      <c r="BS21" s="3">
        <v>26375588.609999999</v>
      </c>
      <c r="BT21" s="92">
        <v>25985.35</v>
      </c>
      <c r="BU21" s="156">
        <f>CA21</f>
        <v>2960669.83</v>
      </c>
      <c r="BV21" s="3">
        <f>BS21-BT21-BU21</f>
        <v>23388933.43</v>
      </c>
      <c r="BW21" s="3">
        <f>BV21/1000</f>
        <v>23388.933430000001</v>
      </c>
      <c r="BY21" s="242">
        <v>2959419.83</v>
      </c>
      <c r="BZ21" s="3">
        <v>1250</v>
      </c>
      <c r="CA21" s="3">
        <f>SUM(BY21:BZ21)</f>
        <v>2960669.83</v>
      </c>
      <c r="CC21" s="242">
        <v>2925826.03</v>
      </c>
      <c r="CD21" s="3">
        <v>0</v>
      </c>
      <c r="CE21" s="3">
        <f>SUM(CC21:CD21)</f>
        <v>2925826.03</v>
      </c>
      <c r="CG21" s="3">
        <v>29464383.930000003</v>
      </c>
      <c r="CH21" s="3">
        <v>25458.57</v>
      </c>
      <c r="CI21" s="3">
        <v>2925826.03</v>
      </c>
      <c r="CJ21" s="3">
        <f>CG21-CH21-CI21</f>
        <v>26513099.330000002</v>
      </c>
      <c r="CK21" s="3">
        <f>CJ21/1000</f>
        <v>26513.099330000001</v>
      </c>
      <c r="CM21" s="3">
        <v>31919074.220000006</v>
      </c>
      <c r="CN21" s="3">
        <v>2193.0700000000002</v>
      </c>
      <c r="CO21" s="3">
        <v>2956789.26</v>
      </c>
      <c r="CP21" s="3">
        <f>CM21-CN21-CO21</f>
        <v>28960091.890000008</v>
      </c>
      <c r="CQ21" s="3">
        <f>CP21/1000</f>
        <v>28960.091890000007</v>
      </c>
      <c r="CS21" s="3">
        <v>34438583.310000002</v>
      </c>
      <c r="CT21" s="3">
        <v>0</v>
      </c>
      <c r="CU21" s="3">
        <v>3308499.12</v>
      </c>
      <c r="CV21" s="3">
        <f>CS21-CT21-CU21</f>
        <v>31130084.190000001</v>
      </c>
      <c r="CW21" s="3">
        <f>CV21/1000</f>
        <v>31130.084190000001</v>
      </c>
      <c r="CY21" s="3">
        <v>33011700.479999997</v>
      </c>
      <c r="CZ21" s="3">
        <v>0</v>
      </c>
      <c r="DA21" s="3">
        <v>3002508.24</v>
      </c>
      <c r="DB21" s="3">
        <f t="shared" si="13"/>
        <v>30009192.239999995</v>
      </c>
      <c r="DC21" s="3">
        <f>DB21/1000</f>
        <v>30009.192239999993</v>
      </c>
      <c r="DE21" s="3">
        <v>33164531.259999998</v>
      </c>
      <c r="DF21" s="3">
        <v>0</v>
      </c>
      <c r="DG21" s="3">
        <v>3327565.66</v>
      </c>
      <c r="DH21" s="3">
        <f t="shared" si="14"/>
        <v>29836965.599999998</v>
      </c>
      <c r="DI21" s="3">
        <f>DH21/1000</f>
        <v>29836.9656</v>
      </c>
      <c r="DK21" s="3">
        <v>33843942.939999998</v>
      </c>
      <c r="DL21" s="3">
        <v>0</v>
      </c>
      <c r="DM21" s="3">
        <v>3734027.53</v>
      </c>
      <c r="DN21" s="3">
        <f t="shared" si="11"/>
        <v>30109915.409999996</v>
      </c>
      <c r="DO21" s="3">
        <f t="shared" si="12"/>
        <v>30109.915409999998</v>
      </c>
    </row>
    <row r="22" spans="1:119">
      <c r="A22" s="1" t="s">
        <v>15</v>
      </c>
      <c r="B22" s="1">
        <v>3648</v>
      </c>
      <c r="C22" s="1">
        <v>3905</v>
      </c>
      <c r="D22" s="1">
        <v>4117.0221699999993</v>
      </c>
      <c r="E22" s="1">
        <v>4734.5291500000003</v>
      </c>
      <c r="F22" s="1">
        <v>5158.2277199999999</v>
      </c>
      <c r="G22" s="1">
        <v>5058.7905599999995</v>
      </c>
      <c r="H22" s="1">
        <v>5082.1079899999995</v>
      </c>
      <c r="I22" s="1">
        <v>4920.7222600000005</v>
      </c>
      <c r="J22" s="1">
        <v>5057.86175</v>
      </c>
      <c r="K22" s="1">
        <v>5474.3829100000012</v>
      </c>
      <c r="L22" s="241">
        <f>(K22-J22)*100/J22</f>
        <v>8.2351234689244155</v>
      </c>
      <c r="M22" s="48">
        <f t="shared" si="8"/>
        <v>61.830830022849774</v>
      </c>
      <c r="N22" s="14">
        <v>1058</v>
      </c>
      <c r="O22" s="14">
        <v>1039</v>
      </c>
      <c r="P22" s="14">
        <v>1149</v>
      </c>
      <c r="Q22" s="14">
        <v>1296</v>
      </c>
      <c r="R22" s="14">
        <v>1511</v>
      </c>
      <c r="S22" s="14">
        <v>1717</v>
      </c>
      <c r="T22" s="14">
        <v>1811</v>
      </c>
      <c r="U22" s="14">
        <v>1846</v>
      </c>
      <c r="V22" s="14">
        <v>1960</v>
      </c>
      <c r="W22" s="14">
        <v>2156</v>
      </c>
      <c r="X22" s="14">
        <v>2275</v>
      </c>
      <c r="Y22" s="14">
        <v>2453</v>
      </c>
      <c r="Z22" s="14">
        <v>2656</v>
      </c>
      <c r="AA22" s="14">
        <v>2630</v>
      </c>
      <c r="AB22" s="14">
        <v>2660</v>
      </c>
      <c r="AC22" s="1">
        <v>2655</v>
      </c>
      <c r="AD22" s="1">
        <v>3063</v>
      </c>
      <c r="AE22" s="3">
        <v>2943.9380299999998</v>
      </c>
      <c r="AF22" s="1">
        <v>3382.7812100000001</v>
      </c>
      <c r="AG22" s="128">
        <v>3083114.03</v>
      </c>
      <c r="AH22" s="128">
        <v>139176</v>
      </c>
      <c r="AI22" s="128">
        <v>0</v>
      </c>
      <c r="AJ22" s="3">
        <f>AG22-AH22-AI22</f>
        <v>2943938.03</v>
      </c>
      <c r="AK22" s="3">
        <f>AJ22/1000</f>
        <v>2943.9380299999998</v>
      </c>
      <c r="AL22" s="3"/>
      <c r="AM22" s="1">
        <v>3472758.1100000003</v>
      </c>
      <c r="AN22" s="14">
        <v>89976.9</v>
      </c>
      <c r="AO22" s="14">
        <v>0</v>
      </c>
      <c r="AP22" s="14">
        <f t="shared" si="9"/>
        <v>3382781.2100000004</v>
      </c>
      <c r="AQ22" s="14">
        <f t="shared" si="10"/>
        <v>3382.7812100000006</v>
      </c>
      <c r="AR22" s="14"/>
      <c r="AS22" s="3">
        <v>3735448.84</v>
      </c>
      <c r="AT22" s="3">
        <v>87314.09</v>
      </c>
      <c r="AU22" s="92">
        <v>0</v>
      </c>
      <c r="AV22" s="3">
        <f>AS22-AT22-AU22</f>
        <v>3648134.75</v>
      </c>
      <c r="AW22" s="3">
        <f>AV22/1000</f>
        <v>3648.1347500000002</v>
      </c>
      <c r="AY22" s="3">
        <v>3923543.55</v>
      </c>
      <c r="AZ22" s="92">
        <v>18085.38</v>
      </c>
      <c r="BA22" s="92">
        <v>0</v>
      </c>
      <c r="BB22" s="3">
        <f>AY22-AZ22-BA22</f>
        <v>3905458.17</v>
      </c>
      <c r="BC22" s="3">
        <f>BB22/1000</f>
        <v>3905.4581699999999</v>
      </c>
      <c r="BE22" s="3">
        <v>0</v>
      </c>
      <c r="BF22" s="3">
        <v>0</v>
      </c>
      <c r="BG22" s="3">
        <f>SUM(BE22:BF22)</f>
        <v>0</v>
      </c>
      <c r="BI22" s="3">
        <v>4233739.1399999997</v>
      </c>
      <c r="BJ22" s="92">
        <v>116716.97</v>
      </c>
      <c r="BK22" s="92">
        <v>0</v>
      </c>
      <c r="BL22" s="3">
        <f>BI22-BJ22-BK22</f>
        <v>4117022.1699999995</v>
      </c>
      <c r="BM22" s="3">
        <f>BL22/1000</f>
        <v>4117.0221699999993</v>
      </c>
      <c r="BO22" s="242">
        <v>0</v>
      </c>
      <c r="BP22" s="3">
        <v>0</v>
      </c>
      <c r="BQ22" s="3">
        <f>SUM(BO22:BP22)</f>
        <v>0</v>
      </c>
      <c r="BS22" s="3">
        <v>4816736.83</v>
      </c>
      <c r="BT22" s="92">
        <v>82207.679999999993</v>
      </c>
      <c r="BU22" s="156">
        <f>CA22</f>
        <v>0</v>
      </c>
      <c r="BV22" s="3">
        <f>BS22-BT22-BU22</f>
        <v>4734529.1500000004</v>
      </c>
      <c r="BW22" s="3">
        <f>BV22/1000</f>
        <v>4734.5291500000003</v>
      </c>
      <c r="BY22" s="242">
        <v>0</v>
      </c>
      <c r="BZ22" s="3">
        <v>0</v>
      </c>
      <c r="CA22" s="3">
        <f>SUM(BY22:BZ22)</f>
        <v>0</v>
      </c>
      <c r="CC22" s="242">
        <v>0</v>
      </c>
      <c r="CD22" s="3">
        <v>0</v>
      </c>
      <c r="CE22" s="3">
        <f>SUM(CC22:CD22)</f>
        <v>0</v>
      </c>
      <c r="CG22" s="3">
        <v>5184118.83</v>
      </c>
      <c r="CH22" s="3">
        <v>25891.11</v>
      </c>
      <c r="CI22" s="3">
        <v>0</v>
      </c>
      <c r="CJ22" s="3">
        <f>CG22-CH22-CI22</f>
        <v>5158227.72</v>
      </c>
      <c r="CK22" s="3">
        <f>CJ22/1000</f>
        <v>5158.2277199999999</v>
      </c>
      <c r="CM22" s="3">
        <v>5080373.29</v>
      </c>
      <c r="CN22" s="3">
        <v>21582.73</v>
      </c>
      <c r="CO22" s="3">
        <v>0</v>
      </c>
      <c r="CP22" s="3">
        <f>CM22-CN22-CO22</f>
        <v>5058790.5599999996</v>
      </c>
      <c r="CQ22" s="3">
        <f>CP22/1000</f>
        <v>5058.7905599999995</v>
      </c>
      <c r="CS22" s="3">
        <v>5229268.7899999991</v>
      </c>
      <c r="CT22" s="3">
        <v>147160.80000000002</v>
      </c>
      <c r="CU22" s="3">
        <v>0</v>
      </c>
      <c r="CV22" s="3">
        <f>CS22-CT22-CU22</f>
        <v>5082107.9899999993</v>
      </c>
      <c r="CW22" s="3">
        <f>CV22/1000</f>
        <v>5082.1079899999995</v>
      </c>
      <c r="CY22" s="3">
        <v>4923796.7400000012</v>
      </c>
      <c r="CZ22" s="3">
        <v>3074.48</v>
      </c>
      <c r="DA22" s="3">
        <v>0</v>
      </c>
      <c r="DB22" s="3">
        <f t="shared" si="13"/>
        <v>4920722.2600000007</v>
      </c>
      <c r="DC22" s="3">
        <f>DB22/1000</f>
        <v>4920.7222600000005</v>
      </c>
      <c r="DE22" s="3">
        <v>5167511.97</v>
      </c>
      <c r="DF22" s="3">
        <v>109650.22</v>
      </c>
      <c r="DG22" s="3">
        <v>0</v>
      </c>
      <c r="DH22" s="3">
        <f t="shared" si="14"/>
        <v>5057861.75</v>
      </c>
      <c r="DI22" s="3">
        <f>DH22/1000</f>
        <v>5057.86175</v>
      </c>
      <c r="DK22" s="3">
        <v>5475580.9100000011</v>
      </c>
      <c r="DL22" s="3">
        <v>1198</v>
      </c>
      <c r="DM22" s="3">
        <v>0</v>
      </c>
      <c r="DN22" s="3">
        <f t="shared" si="11"/>
        <v>5474382.9100000011</v>
      </c>
      <c r="DO22" s="3">
        <f t="shared" si="12"/>
        <v>5474.3829100000012</v>
      </c>
    </row>
    <row r="23" spans="1:119">
      <c r="L23" s="48"/>
      <c r="M23" s="48"/>
      <c r="N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D23" s="1"/>
      <c r="AE23" s="3"/>
      <c r="AF23" s="1"/>
      <c r="AG23" s="128"/>
      <c r="AH23" s="128"/>
      <c r="AI23" s="128"/>
      <c r="AJ23" s="3"/>
      <c r="AK23" s="3"/>
      <c r="AL23" s="3"/>
      <c r="AM23" s="1"/>
      <c r="AN23" s="14"/>
      <c r="AO23" s="14"/>
      <c r="AP23" s="14"/>
      <c r="AQ23" s="14"/>
      <c r="AR23" s="14"/>
      <c r="AU23" s="92"/>
      <c r="AZ23" s="92"/>
      <c r="BA23" s="92"/>
      <c r="BJ23" s="92"/>
      <c r="BK23" s="92"/>
      <c r="BO23" s="242"/>
      <c r="BT23" s="92"/>
      <c r="BU23" s="92"/>
      <c r="BY23" s="242"/>
      <c r="CC23" s="242"/>
    </row>
    <row r="24" spans="1:119">
      <c r="A24" s="1" t="s">
        <v>16</v>
      </c>
      <c r="B24" s="1">
        <v>25272</v>
      </c>
      <c r="C24" s="1">
        <v>27447</v>
      </c>
      <c r="D24" s="1">
        <v>30380.379829999998</v>
      </c>
      <c r="E24" s="1">
        <v>34015.679209999995</v>
      </c>
      <c r="F24" s="1">
        <v>38722.293539999991</v>
      </c>
      <c r="G24" s="1">
        <v>41270.667930000003</v>
      </c>
      <c r="H24" s="1">
        <v>44037.093629999996</v>
      </c>
      <c r="I24" s="1">
        <v>44444.063670000003</v>
      </c>
      <c r="J24" s="1">
        <v>43556.036379999998</v>
      </c>
      <c r="K24" s="1">
        <v>43976.353390000011</v>
      </c>
      <c r="L24" s="241">
        <f>(K24-J24)*100/J24</f>
        <v>0.96500289037552089</v>
      </c>
      <c r="M24" s="48">
        <f t="shared" si="8"/>
        <v>97.817329261198424</v>
      </c>
      <c r="N24" s="14">
        <v>4233</v>
      </c>
      <c r="O24" s="14">
        <v>4298</v>
      </c>
      <c r="P24" s="14">
        <v>4746</v>
      </c>
      <c r="Q24" s="14">
        <v>5306</v>
      </c>
      <c r="R24" s="14">
        <v>6563</v>
      </c>
      <c r="S24" s="14">
        <v>7771</v>
      </c>
      <c r="T24" s="14">
        <v>8814</v>
      </c>
      <c r="U24" s="14">
        <v>9353</v>
      </c>
      <c r="V24" s="14">
        <v>10151</v>
      </c>
      <c r="W24" s="14">
        <v>11429</v>
      </c>
      <c r="X24" s="14">
        <v>12814</v>
      </c>
      <c r="Y24" s="14">
        <v>13466</v>
      </c>
      <c r="Z24" s="14">
        <v>14021</v>
      </c>
      <c r="AA24" s="14">
        <v>14858</v>
      </c>
      <c r="AB24" s="14">
        <v>16115</v>
      </c>
      <c r="AC24" s="1">
        <v>17517</v>
      </c>
      <c r="AD24" s="1">
        <v>18572</v>
      </c>
      <c r="AE24" s="3">
        <v>21128.62153</v>
      </c>
      <c r="AF24" s="1">
        <v>22230.78916</v>
      </c>
      <c r="AG24" s="128">
        <v>23185704.370000005</v>
      </c>
      <c r="AH24" s="128">
        <v>68379.259999999995</v>
      </c>
      <c r="AI24" s="128">
        <v>1988703.58</v>
      </c>
      <c r="AJ24" s="3">
        <f>AG24-AH24-AI24</f>
        <v>21128621.530000001</v>
      </c>
      <c r="AK24" s="3">
        <f>AJ24/1000</f>
        <v>21128.62153</v>
      </c>
      <c r="AL24" s="3"/>
      <c r="AM24" s="1">
        <v>25063911.949999999</v>
      </c>
      <c r="AN24" s="14">
        <v>203310.74</v>
      </c>
      <c r="AO24" s="14">
        <v>2629812.0499999998</v>
      </c>
      <c r="AP24" s="14">
        <f t="shared" si="9"/>
        <v>22230789.16</v>
      </c>
      <c r="AQ24" s="14">
        <f t="shared" si="10"/>
        <v>22230.78916</v>
      </c>
      <c r="AR24" s="14"/>
      <c r="AS24" s="3">
        <v>28521444</v>
      </c>
      <c r="AT24" s="3">
        <v>50926.45</v>
      </c>
      <c r="AU24" s="92">
        <v>3198938.99</v>
      </c>
      <c r="AV24" s="3">
        <f>AS24-AT24-AU24</f>
        <v>25271578.560000002</v>
      </c>
      <c r="AW24" s="3">
        <f>AV24/1000</f>
        <v>25271.578560000002</v>
      </c>
      <c r="AY24" s="3">
        <v>31525077</v>
      </c>
      <c r="AZ24" s="92">
        <v>49664</v>
      </c>
      <c r="BA24" s="92">
        <v>4028699</v>
      </c>
      <c r="BB24" s="3">
        <f>AY24-AZ24-BA24</f>
        <v>27446714</v>
      </c>
      <c r="BC24" s="3">
        <f>BB24/1000</f>
        <v>27446.714</v>
      </c>
      <c r="BE24" s="3">
        <v>4028699</v>
      </c>
      <c r="BF24" s="3">
        <v>0</v>
      </c>
      <c r="BG24" s="3">
        <f>SUM(BE24:BF24)</f>
        <v>4028699</v>
      </c>
      <c r="BI24" s="3">
        <v>34450466.43</v>
      </c>
      <c r="BJ24" s="92">
        <v>42438.82</v>
      </c>
      <c r="BK24" s="92">
        <v>4027647.78</v>
      </c>
      <c r="BL24" s="3">
        <f>BI24-BJ24-BK24</f>
        <v>30380379.829999998</v>
      </c>
      <c r="BM24" s="3">
        <f>BL24/1000</f>
        <v>30380.379829999998</v>
      </c>
      <c r="BO24" s="242">
        <v>4027647.78</v>
      </c>
      <c r="BP24" s="3">
        <v>0</v>
      </c>
      <c r="BQ24" s="3">
        <f>SUM(BO24:BP24)</f>
        <v>4027647.78</v>
      </c>
      <c r="BS24" s="3">
        <v>38292518.569999993</v>
      </c>
      <c r="BT24" s="92">
        <v>70618.070000000007</v>
      </c>
      <c r="BU24" s="156">
        <f>CA24</f>
        <v>4206221.29</v>
      </c>
      <c r="BV24" s="3">
        <f>BS24-BT24-BU24</f>
        <v>34015679.209999993</v>
      </c>
      <c r="BW24" s="3">
        <f>BV24/1000</f>
        <v>34015.679209999995</v>
      </c>
      <c r="BY24" s="242">
        <v>4206221.29</v>
      </c>
      <c r="BZ24" s="3">
        <v>0</v>
      </c>
      <c r="CA24" s="3">
        <f>SUM(BY24:BZ24)</f>
        <v>4206221.29</v>
      </c>
      <c r="CC24" s="242">
        <v>5184362.46</v>
      </c>
      <c r="CD24" s="3">
        <v>0</v>
      </c>
      <c r="CE24" s="3">
        <f>SUM(CC24:CD24)</f>
        <v>5184362.46</v>
      </c>
      <c r="CG24" s="3">
        <v>44022010.059999995</v>
      </c>
      <c r="CH24" s="3">
        <v>115354.06</v>
      </c>
      <c r="CI24" s="3">
        <v>5184362.46</v>
      </c>
      <c r="CJ24" s="3">
        <f>CG24-CH24-CI24</f>
        <v>38722293.539999992</v>
      </c>
      <c r="CK24" s="3">
        <f>CJ24/1000</f>
        <v>38722.293539999991</v>
      </c>
      <c r="CM24" s="3">
        <v>47384384.93</v>
      </c>
      <c r="CN24" s="3">
        <v>127116.8</v>
      </c>
      <c r="CO24" s="3">
        <v>5986600.2000000002</v>
      </c>
      <c r="CP24" s="3">
        <f>CM24-CN24-CO24</f>
        <v>41270667.93</v>
      </c>
      <c r="CQ24" s="3">
        <f>CP24/1000</f>
        <v>41270.667930000003</v>
      </c>
      <c r="CS24" s="3">
        <v>50423656.999999993</v>
      </c>
      <c r="CT24" s="3">
        <v>426180.22</v>
      </c>
      <c r="CU24" s="3">
        <v>5960383.1500000004</v>
      </c>
      <c r="CV24" s="3">
        <f>CS24-CT24-CU24</f>
        <v>44037093.629999995</v>
      </c>
      <c r="CW24" s="3">
        <f>CV24/1000</f>
        <v>44037.093629999996</v>
      </c>
      <c r="CY24" s="3">
        <v>51401542.630000003</v>
      </c>
      <c r="CZ24" s="3">
        <v>387007.46</v>
      </c>
      <c r="DA24" s="3">
        <v>6570471.5</v>
      </c>
      <c r="DB24" s="3">
        <f t="shared" ref="DB24:DB28" si="15">CY24-CZ24-DA24</f>
        <v>44444063.670000002</v>
      </c>
      <c r="DC24" s="3">
        <f>DB24/1000</f>
        <v>44444.063670000003</v>
      </c>
      <c r="DE24" s="3">
        <v>51089363.210000008</v>
      </c>
      <c r="DF24" s="3">
        <v>134640.84</v>
      </c>
      <c r="DG24" s="3">
        <v>7398685.9900000002</v>
      </c>
      <c r="DH24" s="3">
        <f t="shared" ref="DH24:DH28" si="16">DE24-DF24-DG24</f>
        <v>43556036.380000003</v>
      </c>
      <c r="DI24" s="3">
        <f>DH24/1000</f>
        <v>43556.036380000005</v>
      </c>
      <c r="DK24" s="3">
        <v>51656236.95000001</v>
      </c>
      <c r="DL24" s="3">
        <v>25840.1</v>
      </c>
      <c r="DM24" s="3">
        <v>7654043.46</v>
      </c>
      <c r="DN24" s="3">
        <f t="shared" si="11"/>
        <v>43976353.390000008</v>
      </c>
      <c r="DO24" s="3">
        <f t="shared" si="12"/>
        <v>43976.353390000011</v>
      </c>
    </row>
    <row r="25" spans="1:119">
      <c r="A25" s="1" t="s">
        <v>17</v>
      </c>
      <c r="B25" s="1">
        <v>3100</v>
      </c>
      <c r="C25" s="1">
        <v>3288</v>
      </c>
      <c r="D25" s="1">
        <v>3453.9069300000001</v>
      </c>
      <c r="E25" s="1">
        <v>3671.37482</v>
      </c>
      <c r="F25" s="1">
        <v>3883.3209100000004</v>
      </c>
      <c r="G25" s="1">
        <v>3996.5684499999993</v>
      </c>
      <c r="H25" s="1">
        <v>4028.5477600000008</v>
      </c>
      <c r="I25" s="1">
        <v>4064.3817600000007</v>
      </c>
      <c r="J25" s="1">
        <v>3724.8079400000001</v>
      </c>
      <c r="K25" s="1">
        <v>3935.2992699999995</v>
      </c>
      <c r="L25" s="241">
        <f>(K25-J25)*100/J25</f>
        <v>5.6510653271427289</v>
      </c>
      <c r="M25" s="48">
        <f t="shared" si="8"/>
        <v>34.287250264884896</v>
      </c>
      <c r="N25" s="14">
        <v>995</v>
      </c>
      <c r="O25" s="14">
        <v>1045</v>
      </c>
      <c r="P25" s="14">
        <v>1276</v>
      </c>
      <c r="Q25" s="14">
        <v>1406</v>
      </c>
      <c r="R25" s="14">
        <v>1626</v>
      </c>
      <c r="S25" s="14">
        <v>1707</v>
      </c>
      <c r="T25" s="14">
        <v>1781</v>
      </c>
      <c r="U25" s="14">
        <v>1775</v>
      </c>
      <c r="V25" s="14">
        <v>1846</v>
      </c>
      <c r="W25" s="14">
        <v>2039</v>
      </c>
      <c r="X25" s="14">
        <v>2162</v>
      </c>
      <c r="Y25" s="14">
        <v>2167</v>
      </c>
      <c r="Z25" s="14">
        <v>2289</v>
      </c>
      <c r="AA25" s="14">
        <v>2460</v>
      </c>
      <c r="AB25" s="14">
        <v>2579</v>
      </c>
      <c r="AC25" s="1">
        <v>2563</v>
      </c>
      <c r="AD25" s="1">
        <v>2677</v>
      </c>
      <c r="AE25" s="3">
        <v>2861.6443899999995</v>
      </c>
      <c r="AF25" s="1">
        <v>2930.5084900000002</v>
      </c>
      <c r="AG25" s="128">
        <v>2990351.59</v>
      </c>
      <c r="AH25" s="128">
        <v>18620.96</v>
      </c>
      <c r="AI25" s="128">
        <v>110086.24</v>
      </c>
      <c r="AJ25" s="3">
        <f>AG25-AH25-AI25</f>
        <v>2861644.3899999997</v>
      </c>
      <c r="AK25" s="3">
        <f>AJ25/1000</f>
        <v>2861.6443899999995</v>
      </c>
      <c r="AL25" s="3"/>
      <c r="AM25" s="1">
        <v>3090667.63</v>
      </c>
      <c r="AN25" s="14">
        <v>12318.4</v>
      </c>
      <c r="AO25" s="14">
        <v>147840.74</v>
      </c>
      <c r="AP25" s="14">
        <f t="shared" si="9"/>
        <v>2930508.49</v>
      </c>
      <c r="AQ25" s="14">
        <f t="shared" si="10"/>
        <v>2930.5084900000002</v>
      </c>
      <c r="AR25" s="14"/>
      <c r="AS25" s="3">
        <v>3289015.75</v>
      </c>
      <c r="AT25" s="3">
        <v>12019.89</v>
      </c>
      <c r="AU25" s="92">
        <v>176852.13</v>
      </c>
      <c r="AV25" s="3">
        <f>AS25-AT25-AU25</f>
        <v>3100143.73</v>
      </c>
      <c r="AW25" s="3">
        <f>AV25/1000</f>
        <v>3100.1437299999998</v>
      </c>
      <c r="AY25" s="3">
        <v>3514852.39</v>
      </c>
      <c r="AZ25" s="92">
        <v>19979.259999999998</v>
      </c>
      <c r="BA25" s="92">
        <v>206745</v>
      </c>
      <c r="BB25" s="3">
        <f>AY25-AZ25-BA25</f>
        <v>3288128.1300000004</v>
      </c>
      <c r="BC25" s="3">
        <f>BB25/1000</f>
        <v>3288.1281300000005</v>
      </c>
      <c r="BE25" s="3">
        <v>206745</v>
      </c>
      <c r="BF25" s="3">
        <v>0</v>
      </c>
      <c r="BG25" s="3">
        <f>SUM(BE25:BF25)</f>
        <v>206745</v>
      </c>
      <c r="BI25" s="3">
        <v>3725929.61</v>
      </c>
      <c r="BJ25" s="92">
        <v>6674.8</v>
      </c>
      <c r="BK25" s="92">
        <v>265347.88</v>
      </c>
      <c r="BL25" s="3">
        <f>BI25-BJ25-BK25</f>
        <v>3453906.93</v>
      </c>
      <c r="BM25" s="3">
        <f>BL25/1000</f>
        <v>3453.9069300000001</v>
      </c>
      <c r="BO25" s="242">
        <v>258943.66</v>
      </c>
      <c r="BP25" s="3">
        <v>6404.22</v>
      </c>
      <c r="BQ25" s="3">
        <f>SUM(BO25:BP25)</f>
        <v>265347.88</v>
      </c>
      <c r="BS25" s="3">
        <v>4095489.11</v>
      </c>
      <c r="BT25" s="92">
        <v>8994.43</v>
      </c>
      <c r="BU25" s="156">
        <f>CA25</f>
        <v>415119.86</v>
      </c>
      <c r="BV25" s="3">
        <f>BS25-BT25-BU25</f>
        <v>3671374.82</v>
      </c>
      <c r="BW25" s="3">
        <f>BV25/1000</f>
        <v>3671.37482</v>
      </c>
      <c r="BY25" s="242">
        <v>415119.86</v>
      </c>
      <c r="BZ25" s="3">
        <v>0</v>
      </c>
      <c r="CA25" s="3">
        <f>SUM(BY25:BZ25)</f>
        <v>415119.86</v>
      </c>
      <c r="CC25" s="242">
        <v>555015.42000000004</v>
      </c>
      <c r="CD25" s="3">
        <v>0</v>
      </c>
      <c r="CE25" s="3">
        <f>SUM(CC25:CD25)</f>
        <v>555015.42000000004</v>
      </c>
      <c r="CG25" s="3">
        <v>4451949.88</v>
      </c>
      <c r="CH25" s="3">
        <v>13613.55</v>
      </c>
      <c r="CI25" s="3">
        <v>555015.42000000004</v>
      </c>
      <c r="CJ25" s="3">
        <f>CG25-CH25-CI25</f>
        <v>3883320.91</v>
      </c>
      <c r="CK25" s="3">
        <f>CJ25/1000</f>
        <v>3883.3209100000004</v>
      </c>
      <c r="CM25" s="3">
        <v>4596697.9899999993</v>
      </c>
      <c r="CN25" s="3">
        <v>14852.01</v>
      </c>
      <c r="CO25" s="3">
        <v>585277.53</v>
      </c>
      <c r="CP25" s="3">
        <f>CM25-CN25-CO25</f>
        <v>3996568.4499999993</v>
      </c>
      <c r="CQ25" s="3">
        <f>CP25/1000</f>
        <v>3996.5684499999993</v>
      </c>
      <c r="CS25" s="3">
        <v>4866104.6800000006</v>
      </c>
      <c r="CT25" s="3">
        <v>66208.909999999989</v>
      </c>
      <c r="CU25" s="3">
        <v>771348.01</v>
      </c>
      <c r="CV25" s="3">
        <f>CS25-CT25-CU25</f>
        <v>4028547.7600000007</v>
      </c>
      <c r="CW25" s="3">
        <f>CV25/1000</f>
        <v>4028.5477600000008</v>
      </c>
      <c r="CY25" s="3">
        <v>4819203.9000000004</v>
      </c>
      <c r="CZ25" s="3">
        <v>30806.59</v>
      </c>
      <c r="DA25" s="3">
        <v>724015.55</v>
      </c>
      <c r="DB25" s="3">
        <f t="shared" si="15"/>
        <v>4064381.7600000007</v>
      </c>
      <c r="DC25" s="3">
        <f>DB25/1000</f>
        <v>4064.3817600000007</v>
      </c>
      <c r="DE25" s="3">
        <v>4648036.1800000006</v>
      </c>
      <c r="DF25" s="3">
        <v>55309.22</v>
      </c>
      <c r="DG25" s="3">
        <v>867919.02</v>
      </c>
      <c r="DH25" s="3">
        <f t="shared" si="16"/>
        <v>3724807.9400000009</v>
      </c>
      <c r="DI25" s="3">
        <f>DH25/1000</f>
        <v>3724.8079400000011</v>
      </c>
      <c r="DK25" s="3">
        <v>4670991.43</v>
      </c>
      <c r="DL25" s="3">
        <v>4710.28</v>
      </c>
      <c r="DM25" s="3">
        <v>730981.88</v>
      </c>
      <c r="DN25" s="3">
        <f t="shared" si="11"/>
        <v>3935299.2699999996</v>
      </c>
      <c r="DO25" s="3">
        <f t="shared" si="12"/>
        <v>3935.2992699999995</v>
      </c>
    </row>
    <row r="26" spans="1:119">
      <c r="A26" s="1" t="s">
        <v>18</v>
      </c>
      <c r="B26" s="1">
        <v>25598</v>
      </c>
      <c r="C26" s="1">
        <v>26940</v>
      </c>
      <c r="D26" s="1">
        <v>31797.527760000004</v>
      </c>
      <c r="E26" s="1">
        <v>35489.309849999991</v>
      </c>
      <c r="F26" s="1">
        <v>38073.242149999991</v>
      </c>
      <c r="G26" s="1">
        <v>40023.698959999994</v>
      </c>
      <c r="H26" s="1">
        <v>45669.915039999993</v>
      </c>
      <c r="I26" s="1">
        <v>44327.847089999996</v>
      </c>
      <c r="J26" s="1">
        <v>42522.552060000002</v>
      </c>
      <c r="K26" s="1">
        <v>42808.998300000014</v>
      </c>
      <c r="L26" s="241">
        <f>(K26-J26)*100/J26</f>
        <v>0.67363369817463403</v>
      </c>
      <c r="M26" s="48">
        <f t="shared" si="8"/>
        <v>77.481258604997876</v>
      </c>
      <c r="N26" s="14">
        <v>4614</v>
      </c>
      <c r="O26" s="14">
        <v>4704</v>
      </c>
      <c r="P26" s="14">
        <v>5343</v>
      </c>
      <c r="Q26" s="14">
        <v>5979</v>
      </c>
      <c r="R26" s="14">
        <v>6927</v>
      </c>
      <c r="S26" s="14">
        <v>7707</v>
      </c>
      <c r="T26" s="14">
        <v>8932</v>
      </c>
      <c r="U26" s="14">
        <v>9621</v>
      </c>
      <c r="V26" s="14">
        <v>10440</v>
      </c>
      <c r="W26" s="14">
        <v>12030</v>
      </c>
      <c r="X26" s="14">
        <v>13951</v>
      </c>
      <c r="Y26" s="14">
        <v>14821</v>
      </c>
      <c r="Z26" s="14">
        <v>15918</v>
      </c>
      <c r="AA26" s="14">
        <v>17303</v>
      </c>
      <c r="AB26" s="14">
        <v>17898</v>
      </c>
      <c r="AC26" s="1">
        <v>19645</v>
      </c>
      <c r="AD26" s="1">
        <v>21363</v>
      </c>
      <c r="AE26" s="3">
        <v>23805.992149999991</v>
      </c>
      <c r="AF26" s="1">
        <v>24120.292270000002</v>
      </c>
      <c r="AG26" s="128">
        <v>28763700.339999992</v>
      </c>
      <c r="AH26" s="128">
        <v>132175</v>
      </c>
      <c r="AI26" s="128">
        <v>4825533.1900000004</v>
      </c>
      <c r="AJ26" s="3">
        <f>AG26-AH26-AI26</f>
        <v>23805992.149999991</v>
      </c>
      <c r="AK26" s="3">
        <f>AJ26/1000</f>
        <v>23805.992149999991</v>
      </c>
      <c r="AL26" s="3"/>
      <c r="AM26" s="1">
        <v>29993846.539999999</v>
      </c>
      <c r="AN26" s="14">
        <v>202079.29</v>
      </c>
      <c r="AO26" s="14">
        <v>5671474.9799999995</v>
      </c>
      <c r="AP26" s="14">
        <f t="shared" si="9"/>
        <v>24120292.27</v>
      </c>
      <c r="AQ26" s="14">
        <f t="shared" si="10"/>
        <v>24120.292269999998</v>
      </c>
      <c r="AR26" s="14"/>
      <c r="AS26" s="3">
        <v>32371030</v>
      </c>
      <c r="AT26" s="3">
        <v>99371.71</v>
      </c>
      <c r="AU26" s="92">
        <v>6673444</v>
      </c>
      <c r="AV26" s="3">
        <f>AS26-AT26-AU26</f>
        <v>25598214.289999999</v>
      </c>
      <c r="AW26" s="3">
        <f>AV26/1000</f>
        <v>25598.21429</v>
      </c>
      <c r="AY26" s="3">
        <v>34263946</v>
      </c>
      <c r="AZ26" s="92">
        <v>171930.57</v>
      </c>
      <c r="BA26" s="92">
        <v>7151683</v>
      </c>
      <c r="BB26" s="3">
        <f>AY26-AZ26-BA26</f>
        <v>26940332.43</v>
      </c>
      <c r="BC26" s="3">
        <f>BB26/1000</f>
        <v>26940.332429999999</v>
      </c>
      <c r="BE26" s="3">
        <v>7151683</v>
      </c>
      <c r="BF26" s="3">
        <v>0</v>
      </c>
      <c r="BG26" s="3">
        <f>SUM(BE26:BF26)</f>
        <v>7151683</v>
      </c>
      <c r="BI26" s="3">
        <v>40211800.650000006</v>
      </c>
      <c r="BJ26" s="92">
        <v>124967.76</v>
      </c>
      <c r="BK26" s="92">
        <v>8289305.1300000008</v>
      </c>
      <c r="BL26" s="3">
        <f>BI26-BJ26-BK26</f>
        <v>31797527.760000005</v>
      </c>
      <c r="BM26" s="3">
        <f>BL26/1000</f>
        <v>31797.527760000004</v>
      </c>
      <c r="BO26" s="242">
        <v>8289305.1300000008</v>
      </c>
      <c r="BP26" s="3">
        <v>0</v>
      </c>
      <c r="BQ26" s="3">
        <f>SUM(BO26:BP26)</f>
        <v>8289305.1300000008</v>
      </c>
      <c r="BS26" s="3">
        <v>44934172.739999995</v>
      </c>
      <c r="BT26" s="92">
        <v>172807.51</v>
      </c>
      <c r="BU26" s="156">
        <f>CA26</f>
        <v>9272055.379999999</v>
      </c>
      <c r="BV26" s="3">
        <f>BS26-BT26-BU26</f>
        <v>35489309.849999994</v>
      </c>
      <c r="BW26" s="3">
        <f>BV26/1000</f>
        <v>35489.309849999991</v>
      </c>
      <c r="BY26" s="242">
        <v>9272055.379999999</v>
      </c>
      <c r="BZ26" s="3">
        <v>0</v>
      </c>
      <c r="CA26" s="3">
        <f>SUM(BY26:BZ26)</f>
        <v>9272055.379999999</v>
      </c>
      <c r="CC26" s="242">
        <v>9548022.8399999999</v>
      </c>
      <c r="CD26" s="3">
        <v>0</v>
      </c>
      <c r="CE26" s="3">
        <f>SUM(CC26:CD26)</f>
        <v>9548022.8399999999</v>
      </c>
      <c r="CG26" s="3">
        <v>47776218.239999995</v>
      </c>
      <c r="CH26" s="3">
        <v>154953.25</v>
      </c>
      <c r="CI26" s="3">
        <v>9548022.8399999999</v>
      </c>
      <c r="CJ26" s="3">
        <f>CG26-CH26-CI26</f>
        <v>38073242.149999991</v>
      </c>
      <c r="CK26" s="3">
        <f>CJ26/1000</f>
        <v>38073.242149999991</v>
      </c>
      <c r="CM26" s="3">
        <v>50732659.879999995</v>
      </c>
      <c r="CN26" s="3">
        <v>136291.73000000001</v>
      </c>
      <c r="CO26" s="3">
        <v>10572669.190000001</v>
      </c>
      <c r="CP26" s="3">
        <f>CM26-CN26-CO26</f>
        <v>40023698.959999993</v>
      </c>
      <c r="CQ26" s="3">
        <f>CP26/1000</f>
        <v>40023.698959999994</v>
      </c>
      <c r="CS26" s="3">
        <v>56322087.00999999</v>
      </c>
      <c r="CT26" s="3">
        <v>234873.79999999996</v>
      </c>
      <c r="CU26" s="3">
        <v>10417298.17</v>
      </c>
      <c r="CV26" s="3">
        <f>CS26-CT26-CU26</f>
        <v>45669915.039999992</v>
      </c>
      <c r="CW26" s="3">
        <f>CV26/1000</f>
        <v>45669.915039999993</v>
      </c>
      <c r="CY26" s="3">
        <v>56525382.75999999</v>
      </c>
      <c r="CZ26" s="3">
        <v>194845.40999999997</v>
      </c>
      <c r="DA26" s="3">
        <v>12002690.26</v>
      </c>
      <c r="DB26" s="3">
        <f t="shared" si="15"/>
        <v>44327847.089999996</v>
      </c>
      <c r="DC26" s="3">
        <f>DB26/1000</f>
        <v>44327.847089999996</v>
      </c>
      <c r="DE26" s="3">
        <v>56244952.149999991</v>
      </c>
      <c r="DF26" s="3">
        <v>134669.62</v>
      </c>
      <c r="DG26" s="3">
        <v>13587730.469999999</v>
      </c>
      <c r="DH26" s="3">
        <f t="shared" si="16"/>
        <v>42522552.059999995</v>
      </c>
      <c r="DI26" s="3">
        <f>DH26/1000</f>
        <v>42522.552059999995</v>
      </c>
      <c r="DK26" s="3">
        <v>57034370.640000008</v>
      </c>
      <c r="DL26" s="3">
        <v>108419.23</v>
      </c>
      <c r="DM26" s="3">
        <v>14116953.110000001</v>
      </c>
      <c r="DN26" s="3">
        <f t="shared" si="11"/>
        <v>42808998.300000012</v>
      </c>
      <c r="DO26" s="3">
        <f t="shared" si="12"/>
        <v>42808.998300000014</v>
      </c>
    </row>
    <row r="27" spans="1:119">
      <c r="A27" s="1" t="s">
        <v>19</v>
      </c>
      <c r="B27" s="1">
        <v>57043</v>
      </c>
      <c r="C27" s="1">
        <v>66972</v>
      </c>
      <c r="D27" s="1">
        <v>68317.160960000008</v>
      </c>
      <c r="E27" s="1">
        <v>74112.481589999996</v>
      </c>
      <c r="F27" s="1">
        <v>84562.513790000012</v>
      </c>
      <c r="G27" s="1">
        <v>86622.423020000002</v>
      </c>
      <c r="H27" s="1">
        <v>87697.686530000006</v>
      </c>
      <c r="I27" s="1">
        <v>88235.430420000019</v>
      </c>
      <c r="J27" s="1">
        <v>86277.050399999993</v>
      </c>
      <c r="K27" s="1">
        <v>89940.495850000021</v>
      </c>
      <c r="L27" s="241">
        <f>(K27-J27)*100/J27</f>
        <v>4.2461412774491754</v>
      </c>
      <c r="M27" s="48">
        <f t="shared" si="8"/>
        <v>73.588706367284985</v>
      </c>
      <c r="N27" s="14">
        <v>7187</v>
      </c>
      <c r="O27" s="14">
        <v>6957</v>
      </c>
      <c r="P27" s="14">
        <v>8121</v>
      </c>
      <c r="Q27" s="14">
        <v>9202</v>
      </c>
      <c r="R27" s="14">
        <v>10972</v>
      </c>
      <c r="S27" s="14">
        <v>12786</v>
      </c>
      <c r="T27" s="14">
        <v>15245</v>
      </c>
      <c r="U27" s="14">
        <v>15876</v>
      </c>
      <c r="V27" s="14">
        <v>16684</v>
      </c>
      <c r="W27" s="14">
        <v>18682</v>
      </c>
      <c r="X27" s="14">
        <v>20517</v>
      </c>
      <c r="Y27" s="14">
        <v>22237</v>
      </c>
      <c r="Z27" s="14">
        <v>23576</v>
      </c>
      <c r="AA27" s="14">
        <v>25977</v>
      </c>
      <c r="AB27" s="14">
        <v>28449</v>
      </c>
      <c r="AC27" s="1">
        <v>35578</v>
      </c>
      <c r="AD27" s="1">
        <v>39298</v>
      </c>
      <c r="AE27" s="3">
        <v>44977.562339999997</v>
      </c>
      <c r="AF27" s="1">
        <v>51812.412069999998</v>
      </c>
      <c r="AG27" s="128">
        <v>48344974.420000002</v>
      </c>
      <c r="AH27" s="128">
        <v>222057.09</v>
      </c>
      <c r="AI27" s="128">
        <v>3145354.99</v>
      </c>
      <c r="AJ27" s="3">
        <f>AG27-AH27-AI27</f>
        <v>44977562.339999996</v>
      </c>
      <c r="AK27" s="3">
        <f>AJ27/1000</f>
        <v>44977.562339999997</v>
      </c>
      <c r="AL27" s="3"/>
      <c r="AM27" s="1">
        <v>59537211.399999999</v>
      </c>
      <c r="AN27" s="14">
        <v>184313.11</v>
      </c>
      <c r="AO27" s="14">
        <v>7540486.2200000007</v>
      </c>
      <c r="AP27" s="14">
        <f t="shared" si="9"/>
        <v>51812412.07</v>
      </c>
      <c r="AQ27" s="14">
        <f t="shared" si="10"/>
        <v>51812.412069999998</v>
      </c>
      <c r="AR27" s="14"/>
      <c r="AS27" s="3">
        <v>65372846</v>
      </c>
      <c r="AT27" s="3">
        <v>99208.87</v>
      </c>
      <c r="AU27" s="92">
        <v>8231032</v>
      </c>
      <c r="AV27" s="3">
        <f>AS27-AT27-AU27</f>
        <v>57042605.130000003</v>
      </c>
      <c r="AW27" s="3">
        <f>AV27/1000</f>
        <v>57042.605130000004</v>
      </c>
      <c r="AY27" s="3">
        <v>71627425</v>
      </c>
      <c r="AZ27" s="92">
        <v>483881.93</v>
      </c>
      <c r="BA27" s="92">
        <v>4171756</v>
      </c>
      <c r="BB27" s="3">
        <f>AY27-AZ27-BA27</f>
        <v>66971787.069999993</v>
      </c>
      <c r="BC27" s="3">
        <f>BB27/1000</f>
        <v>66971.787069999991</v>
      </c>
      <c r="BE27" s="3">
        <v>4143873.07</v>
      </c>
      <c r="BF27" s="3">
        <v>27882.5</v>
      </c>
      <c r="BG27" s="3">
        <f>SUM(BE27:BF27)</f>
        <v>4171755.57</v>
      </c>
      <c r="BI27" s="3">
        <v>75667634.480000019</v>
      </c>
      <c r="BJ27" s="92">
        <v>139376.70000000001</v>
      </c>
      <c r="BK27" s="92">
        <v>7211096.8200000003</v>
      </c>
      <c r="BL27" s="3">
        <f>BI27-BJ27-BK27</f>
        <v>68317160.960000008</v>
      </c>
      <c r="BM27" s="3">
        <f>BL27/1000</f>
        <v>68317.160960000008</v>
      </c>
      <c r="BO27" s="242">
        <v>20251</v>
      </c>
      <c r="BP27" s="3">
        <v>7190845.8200000003</v>
      </c>
      <c r="BQ27" s="3">
        <f>SUM(BO27:BP27)</f>
        <v>7211096.8200000003</v>
      </c>
      <c r="BS27" s="3">
        <v>81815590.890000001</v>
      </c>
      <c r="BT27" s="92">
        <v>476606.9</v>
      </c>
      <c r="BU27" s="156">
        <f>CA27</f>
        <v>7226502.4000000004</v>
      </c>
      <c r="BV27" s="3">
        <f>BS27-BT27-BU27</f>
        <v>74112481.589999989</v>
      </c>
      <c r="BW27" s="3">
        <f>BV27/1000</f>
        <v>74112.481589999996</v>
      </c>
      <c r="BY27" s="242">
        <v>3335234.4</v>
      </c>
      <c r="BZ27" s="3">
        <v>3891268</v>
      </c>
      <c r="CA27" s="3">
        <f>SUM(BY27:BZ27)</f>
        <v>7226502.4000000004</v>
      </c>
      <c r="CC27" s="242">
        <v>2884203.13</v>
      </c>
      <c r="CD27" s="3">
        <v>4585652</v>
      </c>
      <c r="CE27" s="3">
        <f>SUM(CC27:CD27)</f>
        <v>7469855.1299999999</v>
      </c>
      <c r="CG27" s="3">
        <v>88301354.890000001</v>
      </c>
      <c r="CH27" s="3">
        <v>854637.97</v>
      </c>
      <c r="CI27" s="3">
        <v>2884203.13</v>
      </c>
      <c r="CJ27" s="3">
        <f>CG27-CH27-CI27</f>
        <v>84562513.790000007</v>
      </c>
      <c r="CK27" s="3">
        <f>CJ27/1000</f>
        <v>84562.513790000012</v>
      </c>
      <c r="CM27" s="3">
        <v>95120095.36999999</v>
      </c>
      <c r="CN27" s="3">
        <v>67007</v>
      </c>
      <c r="CO27" s="3">
        <v>8430665.3499999996</v>
      </c>
      <c r="CP27" s="3">
        <f>CM27-CN27-CO27</f>
        <v>86622423.019999996</v>
      </c>
      <c r="CQ27" s="3">
        <f>CP27/1000</f>
        <v>86622.423020000002</v>
      </c>
      <c r="CS27" s="3">
        <v>96773132.620000005</v>
      </c>
      <c r="CT27" s="3">
        <v>87768</v>
      </c>
      <c r="CU27" s="3">
        <v>8987678.0899999999</v>
      </c>
      <c r="CV27" s="3">
        <f>CS27-CT27-CU27</f>
        <v>87697686.530000001</v>
      </c>
      <c r="CW27" s="3">
        <f>CV27/1000</f>
        <v>87697.686530000006</v>
      </c>
      <c r="CY27" s="3">
        <v>97502547.620000005</v>
      </c>
      <c r="CZ27" s="3">
        <v>9554.16</v>
      </c>
      <c r="DA27" s="3">
        <v>9257563.0399999991</v>
      </c>
      <c r="DB27" s="3">
        <f t="shared" si="15"/>
        <v>88235430.420000017</v>
      </c>
      <c r="DC27" s="3">
        <f>DB27/1000</f>
        <v>88235.430420000019</v>
      </c>
      <c r="DE27" s="3">
        <v>96158408.169999987</v>
      </c>
      <c r="DF27" s="3">
        <v>67292.7</v>
      </c>
      <c r="DG27" s="3">
        <v>9814065.0700000003</v>
      </c>
      <c r="DH27" s="3">
        <f t="shared" si="16"/>
        <v>86277050.399999976</v>
      </c>
      <c r="DI27" s="3">
        <f>DH27/1000</f>
        <v>86277.050399999978</v>
      </c>
      <c r="DK27" s="3">
        <v>99602690.170000017</v>
      </c>
      <c r="DL27" s="3">
        <v>183326</v>
      </c>
      <c r="DM27" s="3">
        <v>9478868.3200000003</v>
      </c>
      <c r="DN27" s="3">
        <f t="shared" si="11"/>
        <v>89940495.850000024</v>
      </c>
      <c r="DO27" s="3">
        <f t="shared" si="12"/>
        <v>89940.495850000021</v>
      </c>
    </row>
    <row r="28" spans="1:119">
      <c r="A28" s="1" t="s">
        <v>20</v>
      </c>
      <c r="B28" s="1">
        <v>2117</v>
      </c>
      <c r="C28" s="1">
        <v>2389</v>
      </c>
      <c r="D28" s="1">
        <v>2473.13535</v>
      </c>
      <c r="E28" s="1">
        <v>2640.3371499999998</v>
      </c>
      <c r="F28" s="1">
        <v>2611.6748900000002</v>
      </c>
      <c r="G28" s="1">
        <v>2943.3426200000004</v>
      </c>
      <c r="H28" s="1">
        <v>3116.6459500000001</v>
      </c>
      <c r="I28" s="1">
        <v>2983.7676400000005</v>
      </c>
      <c r="J28" s="1">
        <v>2956.895</v>
      </c>
      <c r="K28" s="1">
        <v>2932.7750099999998</v>
      </c>
      <c r="L28" s="241">
        <f>(K28-J28)*100/J28</f>
        <v>-0.81572020650040478</v>
      </c>
      <c r="M28" s="48">
        <f t="shared" si="8"/>
        <v>32.922337631452052</v>
      </c>
      <c r="N28" s="14">
        <v>576</v>
      </c>
      <c r="O28" s="14">
        <v>625</v>
      </c>
      <c r="P28" s="14">
        <v>717</v>
      </c>
      <c r="Q28" s="14">
        <v>772</v>
      </c>
      <c r="R28" s="14">
        <v>841</v>
      </c>
      <c r="S28" s="14">
        <v>904</v>
      </c>
      <c r="T28" s="14">
        <v>1002</v>
      </c>
      <c r="U28" s="14">
        <v>970</v>
      </c>
      <c r="V28" s="14">
        <v>1097</v>
      </c>
      <c r="W28" s="14">
        <v>1162</v>
      </c>
      <c r="X28" s="206">
        <v>1289</v>
      </c>
      <c r="Y28" s="14">
        <v>1337</v>
      </c>
      <c r="Z28" s="14">
        <v>1386</v>
      </c>
      <c r="AA28" s="3">
        <v>1653</v>
      </c>
      <c r="AB28" s="14">
        <v>1505</v>
      </c>
      <c r="AC28" s="1">
        <v>1643</v>
      </c>
      <c r="AD28" s="1">
        <v>1850</v>
      </c>
      <c r="AE28" s="3">
        <v>1980.73829</v>
      </c>
      <c r="AF28" s="1">
        <v>2206.3823600000001</v>
      </c>
      <c r="AG28" s="128">
        <v>2124355.69</v>
      </c>
      <c r="AH28" s="128">
        <v>42032.4</v>
      </c>
      <c r="AI28" s="128">
        <v>101585</v>
      </c>
      <c r="AJ28" s="3">
        <f>AG28-AH28-AI28</f>
        <v>1980738.29</v>
      </c>
      <c r="AK28" s="3">
        <f>AJ28/1000</f>
        <v>1980.73829</v>
      </c>
      <c r="AL28" s="3"/>
      <c r="AM28" s="1">
        <v>2298989.7100000004</v>
      </c>
      <c r="AN28" s="14">
        <v>27384.35</v>
      </c>
      <c r="AO28" s="14">
        <v>65223</v>
      </c>
      <c r="AP28" s="14">
        <f t="shared" si="9"/>
        <v>2206382.3600000003</v>
      </c>
      <c r="AQ28" s="14">
        <f t="shared" si="10"/>
        <v>2206.3823600000005</v>
      </c>
      <c r="AR28" s="14"/>
      <c r="AS28" s="3">
        <v>2196101.4900000002</v>
      </c>
      <c r="AT28" s="3">
        <v>15514.84</v>
      </c>
      <c r="AU28" s="92">
        <v>63179</v>
      </c>
      <c r="AV28" s="3">
        <f>AS28-AT28-AU28</f>
        <v>2117407.6500000004</v>
      </c>
      <c r="AW28" s="3">
        <f>AV28/1000</f>
        <v>2117.4076500000006</v>
      </c>
      <c r="AY28" s="3">
        <v>2449149.0699999998</v>
      </c>
      <c r="AZ28" s="92">
        <v>2999</v>
      </c>
      <c r="BA28" s="92">
        <v>56897</v>
      </c>
      <c r="BB28" s="3">
        <f>AY28-AZ28-BA28</f>
        <v>2389253.0699999998</v>
      </c>
      <c r="BC28" s="3">
        <f>BB28/1000</f>
        <v>2389.2530699999998</v>
      </c>
      <c r="BE28" s="3">
        <v>0</v>
      </c>
      <c r="BF28" s="3">
        <v>56897</v>
      </c>
      <c r="BG28" s="3">
        <f>SUM(BE28:BF28)</f>
        <v>56897</v>
      </c>
      <c r="BI28" s="3">
        <v>2605619.35</v>
      </c>
      <c r="BJ28" s="92">
        <v>7261</v>
      </c>
      <c r="BK28" s="92">
        <v>125223</v>
      </c>
      <c r="BL28" s="3">
        <f>BI28-BJ28-BK28</f>
        <v>2473135.35</v>
      </c>
      <c r="BM28" s="3">
        <f>BL28/1000</f>
        <v>2473.13535</v>
      </c>
      <c r="BO28" s="242">
        <v>14833</v>
      </c>
      <c r="BP28" s="3">
        <v>110390</v>
      </c>
      <c r="BQ28" s="3">
        <f>SUM(BO28:BP28)</f>
        <v>125223</v>
      </c>
      <c r="BS28" s="3">
        <v>2783494.54</v>
      </c>
      <c r="BT28" s="92">
        <v>3938.39</v>
      </c>
      <c r="BU28" s="156">
        <f>CA28</f>
        <v>139219</v>
      </c>
      <c r="BV28" s="3">
        <f>BS28-BT28-BU28</f>
        <v>2640337.15</v>
      </c>
      <c r="BW28" s="3">
        <f>BV28/1000</f>
        <v>2640.3371499999998</v>
      </c>
      <c r="BY28" s="242">
        <v>0</v>
      </c>
      <c r="BZ28" s="3">
        <v>139219</v>
      </c>
      <c r="CA28" s="3">
        <f>SUM(BY28:BZ28)</f>
        <v>139219</v>
      </c>
      <c r="CC28" s="242">
        <v>0</v>
      </c>
      <c r="CD28" s="3">
        <v>20207</v>
      </c>
      <c r="CE28" s="3">
        <f>SUM(CC28:CD28)</f>
        <v>20207</v>
      </c>
      <c r="CG28" s="3">
        <v>2613601.6</v>
      </c>
      <c r="CH28" s="3">
        <v>1926.71</v>
      </c>
      <c r="CI28" s="3">
        <v>0</v>
      </c>
      <c r="CJ28" s="3">
        <f>CG28-CH28-CI28</f>
        <v>2611674.89</v>
      </c>
      <c r="CK28" s="3">
        <f>CJ28/1000</f>
        <v>2611.6748900000002</v>
      </c>
      <c r="CM28" s="3">
        <v>2966597.6200000006</v>
      </c>
      <c r="CN28" s="3">
        <v>1550</v>
      </c>
      <c r="CO28" s="3">
        <v>21705</v>
      </c>
      <c r="CP28" s="3">
        <f>CM28-CN28-CO28</f>
        <v>2943342.6200000006</v>
      </c>
      <c r="CQ28" s="3">
        <f>CP28/1000</f>
        <v>2943.3426200000004</v>
      </c>
      <c r="CS28" s="3">
        <v>3243504.4699999997</v>
      </c>
      <c r="CT28" s="3">
        <v>87484.510000000009</v>
      </c>
      <c r="CU28" s="3">
        <v>39374.009999999995</v>
      </c>
      <c r="CV28" s="3">
        <f>CS28-CT28-CU28</f>
        <v>3116645.95</v>
      </c>
      <c r="CW28" s="3">
        <f>CV28/1000</f>
        <v>3116.6459500000001</v>
      </c>
      <c r="CY28" s="3">
        <v>3273873.6300000004</v>
      </c>
      <c r="CZ28" s="3">
        <v>2351.7600000000002</v>
      </c>
      <c r="DA28" s="3">
        <v>287754.23</v>
      </c>
      <c r="DB28" s="3">
        <f t="shared" si="15"/>
        <v>2983767.6400000006</v>
      </c>
      <c r="DC28" s="3">
        <f>DB28/1000</f>
        <v>2983.7676400000005</v>
      </c>
      <c r="DE28" s="3">
        <v>3241617.4</v>
      </c>
      <c r="DF28" s="3">
        <v>2250</v>
      </c>
      <c r="DG28" s="3">
        <v>282472.40000000002</v>
      </c>
      <c r="DH28" s="3">
        <f t="shared" si="16"/>
        <v>2956895</v>
      </c>
      <c r="DI28" s="3">
        <f>DH28/1000</f>
        <v>2956.895</v>
      </c>
      <c r="DK28" s="3">
        <v>3417509.6999999997</v>
      </c>
      <c r="DL28" s="3">
        <v>0</v>
      </c>
      <c r="DM28" s="3">
        <v>484734.69</v>
      </c>
      <c r="DN28" s="3">
        <f t="shared" si="11"/>
        <v>2932775.01</v>
      </c>
      <c r="DO28" s="3">
        <f t="shared" si="12"/>
        <v>2932.7750099999998</v>
      </c>
    </row>
    <row r="29" spans="1:119">
      <c r="L29" s="48"/>
      <c r="M29" s="48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206"/>
      <c r="Y29" s="14"/>
      <c r="Z29" s="14"/>
      <c r="AA29" s="3"/>
      <c r="AB29" s="14"/>
      <c r="AD29" s="1"/>
      <c r="AE29" s="3"/>
      <c r="AF29" s="1"/>
      <c r="AG29" s="128"/>
      <c r="AH29" s="128"/>
      <c r="AI29" s="128"/>
      <c r="AJ29" s="3"/>
      <c r="AK29" s="3"/>
      <c r="AL29" s="3"/>
      <c r="AM29" s="1"/>
      <c r="AN29" s="14"/>
      <c r="AO29" s="14"/>
      <c r="AP29" s="14"/>
      <c r="AQ29" s="14"/>
      <c r="AR29" s="14"/>
      <c r="AU29" s="92"/>
      <c r="AZ29" s="92"/>
      <c r="BA29" s="92"/>
      <c r="BJ29" s="92"/>
      <c r="BK29" s="92"/>
      <c r="BO29" s="242"/>
      <c r="BT29" s="92"/>
      <c r="BU29" s="92"/>
      <c r="BY29" s="242"/>
      <c r="CC29" s="242"/>
    </row>
    <row r="30" spans="1:119">
      <c r="A30" s="1" t="s">
        <v>21</v>
      </c>
      <c r="B30" s="1">
        <v>149381</v>
      </c>
      <c r="C30" s="1">
        <v>162674</v>
      </c>
      <c r="D30" s="1">
        <v>175883.92051000003</v>
      </c>
      <c r="E30" s="1">
        <v>192531.22100999995</v>
      </c>
      <c r="F30" s="1">
        <v>207837.03132000018</v>
      </c>
      <c r="G30" s="1">
        <v>221655.70614000002</v>
      </c>
      <c r="H30" s="1">
        <v>236087.23928999994</v>
      </c>
      <c r="I30" s="1">
        <v>237328.16227999996</v>
      </c>
      <c r="J30" s="1">
        <v>234516.34669999999</v>
      </c>
      <c r="K30" s="1">
        <v>241080.91913999998</v>
      </c>
      <c r="L30" s="241">
        <f>(K30-J30)*100/J30</f>
        <v>2.7991961039703459</v>
      </c>
      <c r="M30" s="48">
        <f t="shared" si="8"/>
        <v>71.50514801446765</v>
      </c>
      <c r="N30" s="14">
        <v>41206</v>
      </c>
      <c r="O30" s="14">
        <v>38568</v>
      </c>
      <c r="P30" s="14">
        <v>41858</v>
      </c>
      <c r="Q30" s="14">
        <v>47379</v>
      </c>
      <c r="R30" s="14">
        <v>51935</v>
      </c>
      <c r="S30" s="14">
        <v>57575</v>
      </c>
      <c r="T30" s="14">
        <v>63257</v>
      </c>
      <c r="U30" s="14">
        <v>64542</v>
      </c>
      <c r="V30" s="14">
        <v>66567</v>
      </c>
      <c r="W30" s="14">
        <v>70805</v>
      </c>
      <c r="X30" s="206">
        <v>76286</v>
      </c>
      <c r="Y30" s="14">
        <v>79832</v>
      </c>
      <c r="Z30" s="14">
        <v>84710</v>
      </c>
      <c r="AA30" s="3">
        <v>93711</v>
      </c>
      <c r="AB30" s="14">
        <v>103122</v>
      </c>
      <c r="AC30" s="1">
        <v>109753</v>
      </c>
      <c r="AD30" s="1">
        <v>120506</v>
      </c>
      <c r="AE30" s="3">
        <v>130692.84431000003</v>
      </c>
      <c r="AF30" s="1">
        <v>140567.74501000001</v>
      </c>
      <c r="AG30" s="128">
        <v>155761094.45000002</v>
      </c>
      <c r="AH30" s="128">
        <v>215709.73</v>
      </c>
      <c r="AI30" s="128">
        <v>24852540.41</v>
      </c>
      <c r="AJ30" s="3">
        <f>AG30-AH30-AI30</f>
        <v>130692844.31000003</v>
      </c>
      <c r="AK30" s="3">
        <f>AJ30/1000</f>
        <v>130692.84431000003</v>
      </c>
      <c r="AL30" s="3"/>
      <c r="AM30" s="1">
        <v>170429774.64999998</v>
      </c>
      <c r="AN30" s="14">
        <v>188456.29</v>
      </c>
      <c r="AO30" s="14">
        <v>29673573.350000001</v>
      </c>
      <c r="AP30" s="14">
        <f t="shared" si="9"/>
        <v>140567745.00999999</v>
      </c>
      <c r="AQ30" s="14">
        <f t="shared" si="10"/>
        <v>140567.74500999998</v>
      </c>
      <c r="AR30" s="14"/>
      <c r="AS30" s="3">
        <v>178954324</v>
      </c>
      <c r="AT30" s="3">
        <v>191584.28</v>
      </c>
      <c r="AU30" s="92">
        <v>29381340</v>
      </c>
      <c r="AV30" s="3">
        <f>AS30-AT30-AU30</f>
        <v>149381399.72</v>
      </c>
      <c r="AW30" s="3">
        <f>AV30/1000</f>
        <v>149381.39971999999</v>
      </c>
      <c r="AY30" s="3">
        <v>193923456</v>
      </c>
      <c r="AZ30" s="92">
        <v>230887.82</v>
      </c>
      <c r="BA30" s="92">
        <v>31019017</v>
      </c>
      <c r="BB30" s="3">
        <f>AY30-AZ30-BA30</f>
        <v>162673551.18000001</v>
      </c>
      <c r="BC30" s="3">
        <f>BB30/1000</f>
        <v>162673.55118000001</v>
      </c>
      <c r="BE30" s="3">
        <v>30927436</v>
      </c>
      <c r="BF30" s="3">
        <v>91581</v>
      </c>
      <c r="BG30" s="3">
        <f>SUM(BE30:BF30)</f>
        <v>31019017</v>
      </c>
      <c r="BI30" s="3">
        <v>208211238.27000001</v>
      </c>
      <c r="BJ30" s="92">
        <v>967728</v>
      </c>
      <c r="BK30" s="92">
        <v>31359589.760000002</v>
      </c>
      <c r="BL30" s="3">
        <f>BI30-BJ30-BK30</f>
        <v>175883920.51000002</v>
      </c>
      <c r="BM30" s="3">
        <f>BL30/1000</f>
        <v>175883.92051000003</v>
      </c>
      <c r="BO30" s="242">
        <v>31259393.760000002</v>
      </c>
      <c r="BP30" s="3">
        <v>100196</v>
      </c>
      <c r="BQ30" s="3">
        <f>SUM(BO30:BP30)</f>
        <v>31359589.760000002</v>
      </c>
      <c r="BS30" s="3">
        <v>225898273.28999996</v>
      </c>
      <c r="BT30" s="92">
        <v>316349.01</v>
      </c>
      <c r="BU30" s="156">
        <f>CA30</f>
        <v>33050703.27</v>
      </c>
      <c r="BV30" s="3">
        <f>BS30-BT30-BU30</f>
        <v>192531221.00999996</v>
      </c>
      <c r="BW30" s="3">
        <f>BV30/1000</f>
        <v>192531.22100999995</v>
      </c>
      <c r="BY30" s="242">
        <v>32941497.829999998</v>
      </c>
      <c r="BZ30" s="3">
        <v>109205.44</v>
      </c>
      <c r="CA30" s="3">
        <f>SUM(BY30:BZ30)</f>
        <v>33050703.27</v>
      </c>
      <c r="CC30" s="242">
        <v>37656847.950000003</v>
      </c>
      <c r="CD30" s="3">
        <v>102687.16</v>
      </c>
      <c r="CE30" s="3">
        <f>SUM(CC30:CD30)</f>
        <v>37759535.109999999</v>
      </c>
      <c r="CG30" s="3">
        <v>245730891.94000018</v>
      </c>
      <c r="CH30" s="3">
        <v>237012.67</v>
      </c>
      <c r="CI30" s="3">
        <v>37656847.950000003</v>
      </c>
      <c r="CJ30" s="3">
        <f>CG30-CH30-CI30</f>
        <v>207837031.32000017</v>
      </c>
      <c r="CK30" s="3">
        <f>CJ30/1000</f>
        <v>207837.03132000018</v>
      </c>
      <c r="CM30" s="3">
        <v>262482047.85000002</v>
      </c>
      <c r="CN30" s="3">
        <v>106646.37</v>
      </c>
      <c r="CO30" s="3">
        <v>40719695.340000004</v>
      </c>
      <c r="CP30" s="3">
        <f>CM30-CN30-CO30</f>
        <v>221655706.14000002</v>
      </c>
      <c r="CQ30" s="3">
        <f>CP30/1000</f>
        <v>221655.70614000002</v>
      </c>
      <c r="CS30" s="3">
        <v>273565946.29999995</v>
      </c>
      <c r="CT30" s="3">
        <v>2093648.17</v>
      </c>
      <c r="CU30" s="3">
        <v>35385058.839999996</v>
      </c>
      <c r="CV30" s="3">
        <f>CS30-CT30-CU30</f>
        <v>236087239.28999993</v>
      </c>
      <c r="CW30" s="3">
        <f>CV30/1000</f>
        <v>236087.23928999994</v>
      </c>
      <c r="CY30" s="3">
        <v>271448750.47999996</v>
      </c>
      <c r="CZ30" s="3">
        <v>665697.5</v>
      </c>
      <c r="DA30" s="3">
        <v>33454890.699999999</v>
      </c>
      <c r="DB30" s="3">
        <f t="shared" ref="DB30:DB34" si="17">CY30-CZ30-DA30</f>
        <v>237328162.27999997</v>
      </c>
      <c r="DC30" s="3">
        <f>DB30/1000</f>
        <v>237328.16227999996</v>
      </c>
      <c r="DE30" s="3">
        <v>271157766.09999996</v>
      </c>
      <c r="DF30" s="3">
        <v>815341.91999999993</v>
      </c>
      <c r="DG30" s="3">
        <v>35826077.480000004</v>
      </c>
      <c r="DH30" s="3">
        <f t="shared" ref="DH30:DH34" si="18">DE30-DF30-DG30</f>
        <v>234516346.69999993</v>
      </c>
      <c r="DI30" s="3">
        <f>DH30/1000</f>
        <v>234516.34669999994</v>
      </c>
      <c r="DK30" s="3">
        <v>277822220.81</v>
      </c>
      <c r="DL30" s="3">
        <v>319870.54000000004</v>
      </c>
      <c r="DM30" s="3">
        <v>36421431.130000003</v>
      </c>
      <c r="DN30" s="3">
        <f t="shared" si="11"/>
        <v>241080919.13999999</v>
      </c>
      <c r="DO30" s="3">
        <f t="shared" si="12"/>
        <v>241080.91913999998</v>
      </c>
    </row>
    <row r="31" spans="1:119">
      <c r="A31" s="1" t="s">
        <v>22</v>
      </c>
      <c r="B31" s="1">
        <v>105112</v>
      </c>
      <c r="C31" s="1">
        <v>110686</v>
      </c>
      <c r="D31" s="1">
        <v>123107.16812999996</v>
      </c>
      <c r="E31" s="1">
        <v>150876.18141000002</v>
      </c>
      <c r="F31" s="1">
        <v>175141.38151000001</v>
      </c>
      <c r="G31" s="1">
        <v>180490.27937</v>
      </c>
      <c r="H31" s="1">
        <v>186225.26088999998</v>
      </c>
      <c r="I31" s="1">
        <v>179553.31682000007</v>
      </c>
      <c r="J31" s="1">
        <v>183658.97514</v>
      </c>
      <c r="K31" s="1">
        <v>187329.29461999994</v>
      </c>
      <c r="L31" s="241">
        <f>(K31-J31)*100/J31</f>
        <v>1.9984427535883436</v>
      </c>
      <c r="M31" s="48">
        <f t="shared" si="8"/>
        <v>72.998212164378501</v>
      </c>
      <c r="N31" s="14">
        <v>32147</v>
      </c>
      <c r="O31" s="14">
        <v>31320</v>
      </c>
      <c r="P31" s="14">
        <v>34223</v>
      </c>
      <c r="Q31" s="14">
        <v>38782</v>
      </c>
      <c r="R31" s="14">
        <v>43033</v>
      </c>
      <c r="S31" s="14">
        <v>45925</v>
      </c>
      <c r="T31" s="14">
        <v>50300</v>
      </c>
      <c r="U31" s="14">
        <v>50951</v>
      </c>
      <c r="V31" s="14">
        <v>56192</v>
      </c>
      <c r="W31" s="14">
        <v>60467</v>
      </c>
      <c r="X31" s="206">
        <v>65650</v>
      </c>
      <c r="Y31" s="14">
        <v>67823</v>
      </c>
      <c r="Z31" s="14">
        <v>70093</v>
      </c>
      <c r="AA31" s="3">
        <v>75130</v>
      </c>
      <c r="AB31" s="14">
        <v>81906</v>
      </c>
      <c r="AC31" s="1">
        <v>86529</v>
      </c>
      <c r="AD31" s="1">
        <v>93259</v>
      </c>
      <c r="AE31" s="3">
        <v>101191.45649000001</v>
      </c>
      <c r="AF31" s="1">
        <v>108283.9483</v>
      </c>
      <c r="AG31" s="128">
        <v>144122866.26000002</v>
      </c>
      <c r="AH31" s="128">
        <v>393811</v>
      </c>
      <c r="AI31" s="128">
        <v>42537598.770000003</v>
      </c>
      <c r="AJ31" s="3">
        <f>AG31-AH31-AI31</f>
        <v>101191456.49000001</v>
      </c>
      <c r="AK31" s="3">
        <f>AJ31/1000</f>
        <v>101191.45649000001</v>
      </c>
      <c r="AL31" s="3"/>
      <c r="AM31" s="1">
        <v>155716089.63999996</v>
      </c>
      <c r="AN31" s="14">
        <v>247407.6</v>
      </c>
      <c r="AO31" s="14">
        <v>47184733.740000002</v>
      </c>
      <c r="AP31" s="14">
        <f t="shared" si="9"/>
        <v>108283948.29999995</v>
      </c>
      <c r="AQ31" s="14">
        <f t="shared" si="10"/>
        <v>108283.94829999995</v>
      </c>
      <c r="AR31" s="14"/>
      <c r="AS31" s="3">
        <v>153202949</v>
      </c>
      <c r="AT31" s="3">
        <v>262903.38</v>
      </c>
      <c r="AU31" s="92">
        <v>47828432</v>
      </c>
      <c r="AV31" s="3">
        <f>AS31-AT31-AU31</f>
        <v>105111613.62</v>
      </c>
      <c r="AW31" s="3">
        <f>AV31/1000</f>
        <v>105111.61362</v>
      </c>
      <c r="AY31" s="3">
        <v>162246315</v>
      </c>
      <c r="AZ31" s="92">
        <v>671357.94</v>
      </c>
      <c r="BA31" s="92">
        <v>50889116</v>
      </c>
      <c r="BB31" s="3">
        <f>AY31-AZ31-BA31</f>
        <v>110685841.06</v>
      </c>
      <c r="BC31" s="3">
        <f>BB31/1000</f>
        <v>110685.84106000001</v>
      </c>
      <c r="BE31" s="3">
        <v>50889116</v>
      </c>
      <c r="BF31" s="3">
        <v>0</v>
      </c>
      <c r="BG31" s="3">
        <f>SUM(BE31:BF31)</f>
        <v>50889116</v>
      </c>
      <c r="BI31" s="3">
        <v>181422328.99999997</v>
      </c>
      <c r="BJ31" s="92">
        <v>1546169.74</v>
      </c>
      <c r="BK31" s="92">
        <v>56768991.130000003</v>
      </c>
      <c r="BL31" s="3">
        <f>BI31-BJ31-BK31</f>
        <v>123107168.12999997</v>
      </c>
      <c r="BM31" s="3">
        <f>BL31/1000</f>
        <v>123107.16812999996</v>
      </c>
      <c r="BO31" s="242">
        <v>56768991.130000003</v>
      </c>
      <c r="BP31" s="3">
        <v>0</v>
      </c>
      <c r="BQ31" s="3">
        <f>SUM(BO31:BP31)</f>
        <v>56768991.130000003</v>
      </c>
      <c r="BS31" s="3">
        <v>207479581.47000003</v>
      </c>
      <c r="BT31" s="92">
        <v>1159693.27</v>
      </c>
      <c r="BU31" s="156">
        <f>CA31</f>
        <v>55443706.789999999</v>
      </c>
      <c r="BV31" s="3">
        <f>BS31-BT31-BU31</f>
        <v>150876181.41000003</v>
      </c>
      <c r="BW31" s="3">
        <f>BV31/1000</f>
        <v>150876.18141000002</v>
      </c>
      <c r="BY31" s="242">
        <v>55443706.789999999</v>
      </c>
      <c r="BZ31" s="3">
        <v>0</v>
      </c>
      <c r="CA31" s="3">
        <f>SUM(BY31:BZ31)</f>
        <v>55443706.789999999</v>
      </c>
      <c r="CC31" s="242">
        <v>57061689.850000001</v>
      </c>
      <c r="CD31" s="3">
        <v>0</v>
      </c>
      <c r="CE31" s="3">
        <f>SUM(CC31:CD31)</f>
        <v>57061689.850000001</v>
      </c>
      <c r="CG31" s="3">
        <v>233380042.51000002</v>
      </c>
      <c r="CH31" s="3">
        <v>1176971.1499999999</v>
      </c>
      <c r="CI31" s="3">
        <v>57061689.850000001</v>
      </c>
      <c r="CJ31" s="3">
        <f>CG31-CH31-CI31</f>
        <v>175141381.51000002</v>
      </c>
      <c r="CK31" s="3">
        <f>CJ31/1000</f>
        <v>175141.38151000001</v>
      </c>
      <c r="CM31" s="3">
        <v>237994126.12</v>
      </c>
      <c r="CN31" s="3">
        <v>41938.97</v>
      </c>
      <c r="CO31" s="3">
        <v>57461907.780000001</v>
      </c>
      <c r="CP31" s="3">
        <f>CM31-CN31-CO31</f>
        <v>180490279.37</v>
      </c>
      <c r="CQ31" s="3">
        <f>CP31/1000</f>
        <v>180490.27937</v>
      </c>
      <c r="CS31" s="3">
        <v>241835253.71999997</v>
      </c>
      <c r="CT31" s="3">
        <v>223257.59999999998</v>
      </c>
      <c r="CU31" s="3">
        <v>55386735.229999997</v>
      </c>
      <c r="CV31" s="3">
        <f>CS31-CT31-CU31</f>
        <v>186225260.88999999</v>
      </c>
      <c r="CW31" s="3">
        <f>CV31/1000</f>
        <v>186225.26088999998</v>
      </c>
      <c r="CY31" s="3">
        <v>227703401.53000003</v>
      </c>
      <c r="CZ31" s="3">
        <v>1068209.8499999999</v>
      </c>
      <c r="DA31" s="3">
        <v>47081874.859999999</v>
      </c>
      <c r="DB31" s="3">
        <f t="shared" si="17"/>
        <v>179553316.82000005</v>
      </c>
      <c r="DC31" s="3">
        <f>DB31/1000</f>
        <v>179553.31682000007</v>
      </c>
      <c r="DE31" s="3">
        <v>232845808.73999998</v>
      </c>
      <c r="DF31" s="3">
        <v>481308.5</v>
      </c>
      <c r="DG31" s="3">
        <v>48705525.100000001</v>
      </c>
      <c r="DH31" s="3">
        <f t="shared" si="18"/>
        <v>183658975.13999999</v>
      </c>
      <c r="DI31" s="3">
        <f>DH31/1000</f>
        <v>183658.97514</v>
      </c>
      <c r="DK31" s="3">
        <v>236235281.90999994</v>
      </c>
      <c r="DL31" s="3">
        <v>260298.40999999997</v>
      </c>
      <c r="DM31" s="3">
        <v>48645688.880000003</v>
      </c>
      <c r="DN31" s="3">
        <f t="shared" si="11"/>
        <v>187329294.61999995</v>
      </c>
      <c r="DO31" s="3">
        <f t="shared" si="12"/>
        <v>187329.29461999994</v>
      </c>
    </row>
    <row r="32" spans="1:119">
      <c r="A32" s="1" t="s">
        <v>23</v>
      </c>
      <c r="B32" s="1">
        <v>5554</v>
      </c>
      <c r="C32" s="1">
        <v>5883</v>
      </c>
      <c r="D32" s="1">
        <v>6506.3838399999995</v>
      </c>
      <c r="E32" s="1">
        <v>6527.1110399999998</v>
      </c>
      <c r="F32" s="1">
        <v>7365.7435999999998</v>
      </c>
      <c r="G32" s="1">
        <v>7828.1399200000005</v>
      </c>
      <c r="H32" s="1">
        <v>8630.5812299999998</v>
      </c>
      <c r="I32" s="1">
        <v>8777.9841000000015</v>
      </c>
      <c r="J32" s="1">
        <v>8065.1531599999998</v>
      </c>
      <c r="K32" s="1">
        <v>8299.0315200000005</v>
      </c>
      <c r="L32" s="241">
        <f>(K32-J32)*100/J32</f>
        <v>2.8998625985176036</v>
      </c>
      <c r="M32" s="48">
        <f t="shared" si="8"/>
        <v>60.682631905065215</v>
      </c>
      <c r="N32" s="14">
        <v>918</v>
      </c>
      <c r="O32" s="14">
        <v>1130</v>
      </c>
      <c r="P32" s="14">
        <v>1451</v>
      </c>
      <c r="Q32" s="14">
        <v>1574</v>
      </c>
      <c r="R32" s="14">
        <v>1454</v>
      </c>
      <c r="S32" s="14">
        <v>1602</v>
      </c>
      <c r="T32" s="14">
        <v>1863</v>
      </c>
      <c r="U32" s="14">
        <v>1895</v>
      </c>
      <c r="V32" s="14">
        <v>2343</v>
      </c>
      <c r="W32" s="14">
        <v>2463</v>
      </c>
      <c r="X32" s="14">
        <v>2492</v>
      </c>
      <c r="Y32" s="14">
        <v>2685</v>
      </c>
      <c r="Z32" s="14">
        <v>2921</v>
      </c>
      <c r="AA32" s="14">
        <v>3093</v>
      </c>
      <c r="AB32" s="14">
        <v>3590</v>
      </c>
      <c r="AC32" s="1">
        <v>3791</v>
      </c>
      <c r="AD32" s="1">
        <v>4206</v>
      </c>
      <c r="AE32" s="3">
        <v>4774.4021400000001</v>
      </c>
      <c r="AF32" s="1">
        <v>5164.8590899999999</v>
      </c>
      <c r="AG32" s="128">
        <v>5331823.96</v>
      </c>
      <c r="AH32" s="128">
        <v>70886.05</v>
      </c>
      <c r="AI32" s="128">
        <v>486535.77</v>
      </c>
      <c r="AJ32" s="3">
        <f>AG32-AH32-AI32</f>
        <v>4774402.1400000006</v>
      </c>
      <c r="AK32" s="3">
        <f>AJ32/1000</f>
        <v>4774.4021400000001</v>
      </c>
      <c r="AL32" s="3"/>
      <c r="AM32" s="1">
        <v>5770394.8799999999</v>
      </c>
      <c r="AN32" s="14">
        <v>94787.89</v>
      </c>
      <c r="AO32" s="14">
        <v>510747.9</v>
      </c>
      <c r="AP32" s="14">
        <f t="shared" si="9"/>
        <v>5164859.09</v>
      </c>
      <c r="AQ32" s="14">
        <f t="shared" si="10"/>
        <v>5164.8590899999999</v>
      </c>
      <c r="AR32" s="14"/>
      <c r="AS32" s="3">
        <v>6329760</v>
      </c>
      <c r="AT32" s="3">
        <v>27216.53</v>
      </c>
      <c r="AU32" s="92">
        <v>748786.09</v>
      </c>
      <c r="AV32" s="3">
        <f>AS32-AT32-AU32</f>
        <v>5553757.3799999999</v>
      </c>
      <c r="AW32" s="3">
        <f>AV32/1000</f>
        <v>5553.75738</v>
      </c>
      <c r="AY32" s="3">
        <v>6836887</v>
      </c>
      <c r="AZ32" s="92">
        <v>6686.2</v>
      </c>
      <c r="BA32" s="92">
        <v>947180</v>
      </c>
      <c r="BB32" s="3">
        <f>AY32-AZ32-BA32</f>
        <v>5883020.7999999998</v>
      </c>
      <c r="BC32" s="3">
        <f>BB32/1000</f>
        <v>5883.0208000000002</v>
      </c>
      <c r="BE32" s="3">
        <v>947180</v>
      </c>
      <c r="BF32" s="3">
        <v>0</v>
      </c>
      <c r="BG32" s="3">
        <f>SUM(BE32:BF32)</f>
        <v>947180</v>
      </c>
      <c r="BI32" s="3">
        <v>7251930.4499999993</v>
      </c>
      <c r="BJ32" s="92">
        <v>11604.1</v>
      </c>
      <c r="BK32" s="92">
        <v>733942.51</v>
      </c>
      <c r="BL32" s="3">
        <f>BI32-BJ32-BK32</f>
        <v>6506383.8399999999</v>
      </c>
      <c r="BM32" s="3">
        <f>BL32/1000</f>
        <v>6506.3838399999995</v>
      </c>
      <c r="BO32" s="242">
        <v>733942.51</v>
      </c>
      <c r="BP32" s="3">
        <v>0</v>
      </c>
      <c r="BQ32" s="3">
        <f>SUM(BO32:BP32)</f>
        <v>733942.51</v>
      </c>
      <c r="BS32" s="3">
        <v>7323127.6900000004</v>
      </c>
      <c r="BT32" s="92">
        <v>14624.49</v>
      </c>
      <c r="BU32" s="156">
        <f>CA32</f>
        <v>781392.16</v>
      </c>
      <c r="BV32" s="3">
        <f>BS32-BT32-BU32</f>
        <v>6527111.04</v>
      </c>
      <c r="BW32" s="3">
        <f>BV32/1000</f>
        <v>6527.1110399999998</v>
      </c>
      <c r="BY32" s="242">
        <v>0</v>
      </c>
      <c r="BZ32" s="3">
        <v>781392.16</v>
      </c>
      <c r="CA32" s="3">
        <f>SUM(BY32:BZ32)</f>
        <v>781392.16</v>
      </c>
      <c r="CC32" s="242">
        <v>699281.7</v>
      </c>
      <c r="CD32" s="3">
        <v>0</v>
      </c>
      <c r="CE32" s="3">
        <f>SUM(CC32:CD32)</f>
        <v>699281.7</v>
      </c>
      <c r="CG32" s="3">
        <v>8083710.6600000001</v>
      </c>
      <c r="CH32" s="3">
        <v>18685.36</v>
      </c>
      <c r="CI32" s="3">
        <v>699281.7</v>
      </c>
      <c r="CJ32" s="3">
        <f>CG32-CH32-CI32</f>
        <v>7365743.5999999996</v>
      </c>
      <c r="CK32" s="3">
        <f>CJ32/1000</f>
        <v>7365.7435999999998</v>
      </c>
      <c r="CM32" s="3">
        <v>8494346.3200000003</v>
      </c>
      <c r="CN32" s="3">
        <v>69620.11</v>
      </c>
      <c r="CO32" s="3">
        <v>596586.29</v>
      </c>
      <c r="CP32" s="3">
        <f>CM32-CN32-CO32</f>
        <v>7828139.9200000009</v>
      </c>
      <c r="CQ32" s="3">
        <f>CP32/1000</f>
        <v>7828.1399200000005</v>
      </c>
      <c r="CS32" s="3">
        <v>9186900.75</v>
      </c>
      <c r="CT32" s="3">
        <v>58012.51</v>
      </c>
      <c r="CU32" s="3">
        <v>498307.01</v>
      </c>
      <c r="CV32" s="3">
        <f>CS32-CT32-CU32</f>
        <v>8630581.2300000004</v>
      </c>
      <c r="CW32" s="3">
        <f>CV32/1000</f>
        <v>8630.5812299999998</v>
      </c>
      <c r="CY32" s="3">
        <v>9415187.1500000022</v>
      </c>
      <c r="CZ32" s="3">
        <v>30213.59</v>
      </c>
      <c r="DA32" s="3">
        <v>606989.46</v>
      </c>
      <c r="DB32" s="3">
        <f t="shared" si="17"/>
        <v>8777984.1000000015</v>
      </c>
      <c r="DC32" s="3">
        <f>DB32/1000</f>
        <v>8777.9841000000015</v>
      </c>
      <c r="DE32" s="3">
        <v>8552830.6699999999</v>
      </c>
      <c r="DF32" s="3">
        <v>21375.14</v>
      </c>
      <c r="DG32" s="3">
        <v>466302.37</v>
      </c>
      <c r="DH32" s="3">
        <f t="shared" si="18"/>
        <v>8065153.1599999992</v>
      </c>
      <c r="DI32" s="3">
        <f>DH32/1000</f>
        <v>8065.1531599999989</v>
      </c>
      <c r="DK32" s="3">
        <v>8714871.3499999996</v>
      </c>
      <c r="DL32" s="3">
        <v>44334.67</v>
      </c>
      <c r="DM32" s="3">
        <v>371505.16</v>
      </c>
      <c r="DN32" s="3">
        <f t="shared" si="11"/>
        <v>8299031.5199999996</v>
      </c>
      <c r="DO32" s="3">
        <f t="shared" si="12"/>
        <v>8299.0315200000005</v>
      </c>
    </row>
    <row r="33" spans="1:119">
      <c r="A33" s="1" t="s">
        <v>24</v>
      </c>
      <c r="B33" s="1">
        <v>12819</v>
      </c>
      <c r="C33" s="1">
        <v>14006</v>
      </c>
      <c r="D33" s="1">
        <v>14659.329900000001</v>
      </c>
      <c r="E33" s="1">
        <v>15597.789049999999</v>
      </c>
      <c r="F33" s="1">
        <v>16196.234540000001</v>
      </c>
      <c r="G33" s="1">
        <v>17527.138019999999</v>
      </c>
      <c r="H33" s="1">
        <v>20181.464640000002</v>
      </c>
      <c r="I33" s="1">
        <v>18741.359399999994</v>
      </c>
      <c r="J33" s="1">
        <v>18856.840349999999</v>
      </c>
      <c r="K33" s="1">
        <v>18951.802849999996</v>
      </c>
      <c r="L33" s="241">
        <f>(K33-J33)*100/J33</f>
        <v>0.50359709387897444</v>
      </c>
      <c r="M33" s="48">
        <f t="shared" si="8"/>
        <v>53.53539290551209</v>
      </c>
      <c r="N33" s="14">
        <v>2918</v>
      </c>
      <c r="O33" s="14">
        <v>3758</v>
      </c>
      <c r="P33" s="14">
        <v>3773</v>
      </c>
      <c r="Q33" s="14">
        <v>4201</v>
      </c>
      <c r="R33" s="14">
        <v>4643</v>
      </c>
      <c r="S33" s="14">
        <v>4977</v>
      </c>
      <c r="T33" s="14">
        <v>5540</v>
      </c>
      <c r="U33" s="14">
        <v>5831</v>
      </c>
      <c r="V33" s="14">
        <v>6027</v>
      </c>
      <c r="W33" s="14">
        <v>6222</v>
      </c>
      <c r="X33" s="14">
        <v>6568</v>
      </c>
      <c r="Y33" s="14">
        <v>6891</v>
      </c>
      <c r="Z33" s="14">
        <v>7410</v>
      </c>
      <c r="AA33" s="14">
        <v>8050</v>
      </c>
      <c r="AB33" s="14">
        <v>9129</v>
      </c>
      <c r="AC33" s="1">
        <v>9729</v>
      </c>
      <c r="AD33" s="1">
        <v>10405</v>
      </c>
      <c r="AE33" s="3">
        <v>11462.676210000003</v>
      </c>
      <c r="AF33" s="1">
        <v>12343.60527</v>
      </c>
      <c r="AG33" s="128">
        <v>12554982.940000003</v>
      </c>
      <c r="AH33" s="128">
        <v>48976.81</v>
      </c>
      <c r="AI33" s="128">
        <v>1043329.92</v>
      </c>
      <c r="AJ33" s="3">
        <f>AG33-AH33-AI33</f>
        <v>11462676.210000003</v>
      </c>
      <c r="AK33" s="3">
        <f>AJ33/1000</f>
        <v>11462.676210000003</v>
      </c>
      <c r="AL33" s="3"/>
      <c r="AM33" s="1">
        <v>13846141.359999999</v>
      </c>
      <c r="AN33" s="14">
        <v>14903.1</v>
      </c>
      <c r="AO33" s="14">
        <v>1487632.99</v>
      </c>
      <c r="AP33" s="14">
        <f t="shared" si="9"/>
        <v>12343605.27</v>
      </c>
      <c r="AQ33" s="14">
        <f t="shared" si="10"/>
        <v>12343.60527</v>
      </c>
      <c r="AR33" s="14"/>
      <c r="AS33" s="3">
        <v>14268196</v>
      </c>
      <c r="AT33" s="3">
        <v>75165</v>
      </c>
      <c r="AU33" s="92">
        <v>1373877.74</v>
      </c>
      <c r="AV33" s="3">
        <f>AS33-AT33-AU33</f>
        <v>12819153.26</v>
      </c>
      <c r="AW33" s="3">
        <f>AV33/1000</f>
        <v>12819.153259999999</v>
      </c>
      <c r="AY33" s="3">
        <v>15664804</v>
      </c>
      <c r="AZ33" s="92">
        <v>0</v>
      </c>
      <c r="BA33" s="92">
        <v>1659207</v>
      </c>
      <c r="BB33" s="3">
        <f>AY33-AZ33-BA33</f>
        <v>14005597</v>
      </c>
      <c r="BC33" s="3">
        <f>BB33/1000</f>
        <v>14005.597</v>
      </c>
      <c r="BE33" s="3">
        <v>1659207</v>
      </c>
      <c r="BF33" s="3">
        <v>0</v>
      </c>
      <c r="BG33" s="3">
        <f>SUM(BE33:BF33)</f>
        <v>1659207</v>
      </c>
      <c r="BI33" s="3">
        <v>16539668.41</v>
      </c>
      <c r="BJ33" s="92">
        <v>0</v>
      </c>
      <c r="BK33" s="92">
        <v>1880338.51</v>
      </c>
      <c r="BL33" s="3">
        <f>BI33-BJ33-BK33</f>
        <v>14659329.9</v>
      </c>
      <c r="BM33" s="3">
        <f>BL33/1000</f>
        <v>14659.329900000001</v>
      </c>
      <c r="BO33" s="242">
        <v>1846417.51</v>
      </c>
      <c r="BP33" s="3">
        <v>33921</v>
      </c>
      <c r="BQ33" s="3">
        <f>SUM(BO33:BP33)</f>
        <v>1880338.51</v>
      </c>
      <c r="BS33" s="3">
        <v>17926252.789999999</v>
      </c>
      <c r="BT33" s="92">
        <v>58600</v>
      </c>
      <c r="BU33" s="156">
        <f>CA33</f>
        <v>2269863.7400000002</v>
      </c>
      <c r="BV33" s="3">
        <f>BS33-BT33-BU33</f>
        <v>15597789.049999999</v>
      </c>
      <c r="BW33" s="3">
        <f>BV33/1000</f>
        <v>15597.789049999999</v>
      </c>
      <c r="BY33" s="242">
        <v>1746423.61</v>
      </c>
      <c r="BZ33" s="3">
        <v>523440.13</v>
      </c>
      <c r="CA33" s="3">
        <f>SUM(BY33:BZ33)</f>
        <v>2269863.7400000002</v>
      </c>
      <c r="CC33" s="242">
        <v>1360022.76</v>
      </c>
      <c r="CD33" s="3">
        <v>93244.35</v>
      </c>
      <c r="CE33" s="3">
        <f>SUM(CC33:CD33)</f>
        <v>1453267.11</v>
      </c>
      <c r="CG33" s="3">
        <v>17556257.300000001</v>
      </c>
      <c r="CH33" s="3">
        <v>0</v>
      </c>
      <c r="CI33" s="3">
        <v>1360022.76</v>
      </c>
      <c r="CJ33" s="3">
        <f>CG33-CH33-CI33</f>
        <v>16196234.540000001</v>
      </c>
      <c r="CK33" s="3">
        <f>CJ33/1000</f>
        <v>16196.234540000001</v>
      </c>
      <c r="CM33" s="3">
        <v>19316980.670000002</v>
      </c>
      <c r="CN33" s="3">
        <v>23898.85</v>
      </c>
      <c r="CO33" s="3">
        <v>1765943.8</v>
      </c>
      <c r="CP33" s="3">
        <f>CM33-CN33-CO33</f>
        <v>17527138.02</v>
      </c>
      <c r="CQ33" s="3">
        <f>CP33/1000</f>
        <v>17527.138019999999</v>
      </c>
      <c r="CS33" s="3">
        <v>21678078.030000001</v>
      </c>
      <c r="CT33" s="3">
        <v>28177.85</v>
      </c>
      <c r="CU33" s="3">
        <v>1468435.54</v>
      </c>
      <c r="CV33" s="3">
        <f>CS33-CT33-CU33</f>
        <v>20181464.640000001</v>
      </c>
      <c r="CW33" s="3">
        <f>CV33/1000</f>
        <v>20181.464640000002</v>
      </c>
      <c r="CY33" s="3">
        <v>20161962.659999996</v>
      </c>
      <c r="CZ33" s="3">
        <v>9049</v>
      </c>
      <c r="DA33" s="3">
        <v>1411554.26</v>
      </c>
      <c r="DB33" s="3">
        <f t="shared" si="17"/>
        <v>18741359.399999995</v>
      </c>
      <c r="DC33" s="3">
        <f>DB33/1000</f>
        <v>18741.359399999994</v>
      </c>
      <c r="DE33" s="3">
        <v>20212136.580000006</v>
      </c>
      <c r="DF33" s="3">
        <v>6730</v>
      </c>
      <c r="DG33" s="3">
        <v>1348566.23</v>
      </c>
      <c r="DH33" s="3">
        <f t="shared" si="18"/>
        <v>18856840.350000005</v>
      </c>
      <c r="DI33" s="3">
        <f>DH33/1000</f>
        <v>18856.840350000006</v>
      </c>
      <c r="DK33" s="3">
        <v>20445920.469999999</v>
      </c>
      <c r="DL33" s="3">
        <v>0</v>
      </c>
      <c r="DM33" s="3">
        <v>1494117.62</v>
      </c>
      <c r="DN33" s="3">
        <f t="shared" si="11"/>
        <v>18951802.849999998</v>
      </c>
      <c r="DO33" s="3">
        <f t="shared" si="12"/>
        <v>18951.802849999996</v>
      </c>
    </row>
    <row r="34" spans="1:119">
      <c r="A34" s="1" t="s">
        <v>25</v>
      </c>
      <c r="B34" s="1">
        <v>2314</v>
      </c>
      <c r="C34" s="1">
        <v>2327</v>
      </c>
      <c r="D34" s="1">
        <v>2483.1027899999995</v>
      </c>
      <c r="E34" s="1">
        <v>2698.78694</v>
      </c>
      <c r="F34" s="1">
        <v>3114.6725000000001</v>
      </c>
      <c r="G34" s="1">
        <v>3241.2387299999996</v>
      </c>
      <c r="H34" s="1">
        <v>3579.9817000000003</v>
      </c>
      <c r="I34" s="1">
        <v>3341.6580300000001</v>
      </c>
      <c r="J34" s="1">
        <v>3376.4919799999998</v>
      </c>
      <c r="K34" s="1">
        <v>3288.1508900000008</v>
      </c>
      <c r="L34" s="241">
        <f>(K34-J34)*100/J34</f>
        <v>-2.6163571696088845</v>
      </c>
      <c r="M34" s="48">
        <f t="shared" si="8"/>
        <v>47.160643090605511</v>
      </c>
      <c r="N34" s="14">
        <v>650</v>
      </c>
      <c r="O34" s="14">
        <v>742</v>
      </c>
      <c r="P34" s="14">
        <v>802</v>
      </c>
      <c r="Q34" s="14">
        <v>964</v>
      </c>
      <c r="R34" s="14">
        <v>1091</v>
      </c>
      <c r="S34" s="14">
        <v>1232</v>
      </c>
      <c r="T34" s="14">
        <v>1349</v>
      </c>
      <c r="U34" s="14">
        <v>1365</v>
      </c>
      <c r="V34" s="14">
        <v>1462</v>
      </c>
      <c r="W34" s="14">
        <v>1541</v>
      </c>
      <c r="X34" s="14">
        <v>1523</v>
      </c>
      <c r="Y34" s="14">
        <v>1572</v>
      </c>
      <c r="Z34" s="14">
        <v>1532</v>
      </c>
      <c r="AA34" s="14">
        <v>1505</v>
      </c>
      <c r="AB34" s="14">
        <v>1684</v>
      </c>
      <c r="AC34" s="1">
        <v>1761</v>
      </c>
      <c r="AD34" s="1">
        <v>1844</v>
      </c>
      <c r="AE34" s="3">
        <v>2036.4621199999997</v>
      </c>
      <c r="AF34" s="1">
        <v>2234.3955700000001</v>
      </c>
      <c r="AG34" s="128">
        <v>2276118.7599999998</v>
      </c>
      <c r="AH34" s="128">
        <v>15155.89</v>
      </c>
      <c r="AI34" s="128">
        <v>224500.75</v>
      </c>
      <c r="AJ34" s="3">
        <f>AG34-AH34-AI34</f>
        <v>2036462.1199999996</v>
      </c>
      <c r="AK34" s="3">
        <f>AJ34/1000</f>
        <v>2036.4621199999997</v>
      </c>
      <c r="AL34" s="3"/>
      <c r="AM34" s="1">
        <v>2378614.1999999997</v>
      </c>
      <c r="AN34" s="14">
        <v>15872.03</v>
      </c>
      <c r="AO34" s="14">
        <v>128346.6</v>
      </c>
      <c r="AP34" s="14">
        <f t="shared" si="9"/>
        <v>2234395.5699999998</v>
      </c>
      <c r="AQ34" s="14">
        <f t="shared" si="10"/>
        <v>2234.3955699999997</v>
      </c>
      <c r="AR34" s="14"/>
      <c r="AS34" s="3">
        <v>2526433.88</v>
      </c>
      <c r="AT34" s="3">
        <v>103289.67</v>
      </c>
      <c r="AU34" s="92">
        <v>109411.2</v>
      </c>
      <c r="AV34" s="3">
        <f>AS34-AT34-AU34</f>
        <v>2313733.0099999998</v>
      </c>
      <c r="AW34" s="3">
        <f>AV34/1000</f>
        <v>2313.7330099999999</v>
      </c>
      <c r="AY34" s="3">
        <v>2347501.2799999998</v>
      </c>
      <c r="AZ34" s="92">
        <v>3229.86</v>
      </c>
      <c r="BA34" s="92">
        <v>16853</v>
      </c>
      <c r="BB34" s="3">
        <f>AY34-AZ34-BA34</f>
        <v>2327418.42</v>
      </c>
      <c r="BC34" s="3">
        <f>BB34/1000</f>
        <v>2327.41842</v>
      </c>
      <c r="BE34" s="3">
        <v>16853</v>
      </c>
      <c r="BF34" s="3">
        <v>0</v>
      </c>
      <c r="BG34" s="3">
        <f>SUM(BE34:BF34)</f>
        <v>16853</v>
      </c>
      <c r="BI34" s="3">
        <v>2501870.2599999998</v>
      </c>
      <c r="BJ34" s="92">
        <v>15842.47</v>
      </c>
      <c r="BK34" s="92">
        <v>2925</v>
      </c>
      <c r="BL34" s="3">
        <f>BI34-BJ34-BK34</f>
        <v>2483102.7899999996</v>
      </c>
      <c r="BM34" s="3">
        <f>BL34/1000</f>
        <v>2483.1027899999995</v>
      </c>
      <c r="BO34" s="242">
        <v>0</v>
      </c>
      <c r="BP34" s="3">
        <v>2925</v>
      </c>
      <c r="BQ34" s="3">
        <f>SUM(BO34:BP34)</f>
        <v>2925</v>
      </c>
      <c r="BS34" s="3">
        <v>2701041.16</v>
      </c>
      <c r="BT34" s="92">
        <v>2254.2199999999998</v>
      </c>
      <c r="BU34" s="156">
        <f>CA34</f>
        <v>0</v>
      </c>
      <c r="BV34" s="3">
        <f>BS34-BT34-BU34</f>
        <v>2698786.94</v>
      </c>
      <c r="BW34" s="3">
        <f>BV34/1000</f>
        <v>2698.78694</v>
      </c>
      <c r="BY34" s="242">
        <v>0</v>
      </c>
      <c r="BZ34" s="3">
        <v>0</v>
      </c>
      <c r="CA34" s="3">
        <f>SUM(BY34:BZ34)</f>
        <v>0</v>
      </c>
      <c r="CC34" s="242">
        <v>0</v>
      </c>
      <c r="CD34" s="3">
        <v>0</v>
      </c>
      <c r="CE34" s="3">
        <f>SUM(CC34:CD34)</f>
        <v>0</v>
      </c>
      <c r="CG34" s="3">
        <v>3116864.84</v>
      </c>
      <c r="CH34" s="3">
        <v>2192.34</v>
      </c>
      <c r="CI34" s="3">
        <v>0</v>
      </c>
      <c r="CJ34" s="3">
        <f>CG34-CH34-CI34</f>
        <v>3114672.5</v>
      </c>
      <c r="CK34" s="3">
        <f>CJ34/1000</f>
        <v>3114.6725000000001</v>
      </c>
      <c r="CM34" s="3">
        <v>3242965.4799999995</v>
      </c>
      <c r="CN34" s="3">
        <v>1726.75</v>
      </c>
      <c r="CO34" s="3">
        <v>0</v>
      </c>
      <c r="CP34" s="3">
        <f>CM34-CN34-CO34</f>
        <v>3241238.7299999995</v>
      </c>
      <c r="CQ34" s="3">
        <f>CP34/1000</f>
        <v>3241.2387299999996</v>
      </c>
      <c r="CS34" s="3">
        <v>3617295.8200000003</v>
      </c>
      <c r="CT34" s="3">
        <v>37314.120000000003</v>
      </c>
      <c r="CU34" s="3">
        <v>0</v>
      </c>
      <c r="CV34" s="3">
        <f>CS34-CT34-CU34</f>
        <v>3579981.7</v>
      </c>
      <c r="CW34" s="3">
        <f>CV34/1000</f>
        <v>3579.9817000000003</v>
      </c>
      <c r="CY34" s="3">
        <v>3341658.0300000003</v>
      </c>
      <c r="CZ34" s="3">
        <v>0</v>
      </c>
      <c r="DA34" s="3">
        <v>0</v>
      </c>
      <c r="DB34" s="3">
        <f t="shared" si="17"/>
        <v>3341658.0300000003</v>
      </c>
      <c r="DC34" s="3">
        <f>DB34/1000</f>
        <v>3341.6580300000001</v>
      </c>
      <c r="DE34" s="3">
        <v>3395156.5</v>
      </c>
      <c r="DF34" s="3">
        <v>5164.5200000000004</v>
      </c>
      <c r="DG34" s="3">
        <v>13500</v>
      </c>
      <c r="DH34" s="3">
        <f t="shared" si="18"/>
        <v>3376491.98</v>
      </c>
      <c r="DI34" s="3">
        <f>DH34/1000</f>
        <v>3376.4919799999998</v>
      </c>
      <c r="DK34" s="3">
        <v>3990746.5100000002</v>
      </c>
      <c r="DL34" s="3">
        <v>9105.4</v>
      </c>
      <c r="DM34" s="3">
        <v>693490.22</v>
      </c>
      <c r="DN34" s="3">
        <f t="shared" si="11"/>
        <v>3288150.8900000006</v>
      </c>
      <c r="DO34" s="3">
        <f t="shared" si="12"/>
        <v>3288.1508900000008</v>
      </c>
    </row>
    <row r="35" spans="1:119">
      <c r="L35" s="48"/>
      <c r="M35" s="48"/>
      <c r="O35" s="14"/>
      <c r="P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D35" s="1"/>
      <c r="AE35" s="3"/>
      <c r="AF35" s="1"/>
      <c r="AG35" s="128"/>
      <c r="AH35" s="128"/>
      <c r="AI35" s="128"/>
      <c r="AJ35" s="3"/>
      <c r="AK35" s="3"/>
      <c r="AL35" s="3"/>
      <c r="AM35" s="1"/>
      <c r="AN35" s="14"/>
      <c r="AO35" s="14"/>
      <c r="AP35" s="14"/>
      <c r="AQ35" s="14"/>
      <c r="AR35" s="14"/>
      <c r="AU35" s="92"/>
      <c r="AZ35" s="92"/>
      <c r="BA35" s="92"/>
      <c r="BJ35" s="92"/>
      <c r="BK35" s="92"/>
      <c r="BO35" s="242"/>
      <c r="BT35" s="92"/>
      <c r="BU35" s="92"/>
      <c r="BY35" s="242"/>
      <c r="CC35" s="242"/>
    </row>
    <row r="36" spans="1:119">
      <c r="A36" s="1" t="s">
        <v>26</v>
      </c>
      <c r="B36" s="1">
        <v>3138</v>
      </c>
      <c r="C36" s="1">
        <v>3218</v>
      </c>
      <c r="D36" s="1">
        <v>3202.3382700000002</v>
      </c>
      <c r="E36" s="1">
        <v>3377.4236000000001</v>
      </c>
      <c r="F36" s="1">
        <v>3579.11969</v>
      </c>
      <c r="G36" s="1">
        <v>3653.0369599999995</v>
      </c>
      <c r="H36" s="1">
        <v>4633.2354000000005</v>
      </c>
      <c r="I36" s="1">
        <v>4339.52358</v>
      </c>
      <c r="J36" s="1">
        <v>4278.6241799999998</v>
      </c>
      <c r="K36" s="1">
        <v>4311.2220299999999</v>
      </c>
      <c r="L36" s="241">
        <f>(K36-J36)*100/J36</f>
        <v>0.76187691717294292</v>
      </c>
      <c r="M36" s="48">
        <f t="shared" si="8"/>
        <v>48.500560521994565</v>
      </c>
      <c r="N36" s="14">
        <v>902</v>
      </c>
      <c r="O36" s="14">
        <v>857</v>
      </c>
      <c r="P36" s="14">
        <v>926</v>
      </c>
      <c r="Q36" s="14">
        <v>1185</v>
      </c>
      <c r="R36" s="14">
        <v>1378</v>
      </c>
      <c r="S36" s="14">
        <v>1513</v>
      </c>
      <c r="T36" s="14">
        <v>1549</v>
      </c>
      <c r="U36" s="14">
        <v>1609</v>
      </c>
      <c r="V36" s="14">
        <v>1657</v>
      </c>
      <c r="W36" s="14">
        <v>1802</v>
      </c>
      <c r="X36" s="14">
        <v>1765</v>
      </c>
      <c r="Y36" s="14">
        <v>1903</v>
      </c>
      <c r="Z36" s="14">
        <v>2076</v>
      </c>
      <c r="AA36" s="14">
        <v>2328</v>
      </c>
      <c r="AB36" s="14">
        <v>2660</v>
      </c>
      <c r="AC36" s="1">
        <v>2521</v>
      </c>
      <c r="AD36" s="1">
        <v>2587</v>
      </c>
      <c r="AE36" s="3">
        <v>2904.8009200000001</v>
      </c>
      <c r="AF36" s="1">
        <v>2903.1688600000002</v>
      </c>
      <c r="AG36" s="128">
        <v>2976422.71</v>
      </c>
      <c r="AH36" s="128">
        <v>71621.789999999994</v>
      </c>
      <c r="AI36" s="128">
        <v>0</v>
      </c>
      <c r="AJ36" s="3">
        <f>AG36-AH36-AI36</f>
        <v>2904800.92</v>
      </c>
      <c r="AK36" s="3">
        <f>AJ36/1000</f>
        <v>2904.8009200000001</v>
      </c>
      <c r="AL36" s="3"/>
      <c r="AM36" s="1">
        <v>3038779.89</v>
      </c>
      <c r="AN36" s="14">
        <v>72068.149999999994</v>
      </c>
      <c r="AO36" s="14">
        <v>63542.879999999997</v>
      </c>
      <c r="AP36" s="14">
        <f t="shared" si="9"/>
        <v>2903168.8600000003</v>
      </c>
      <c r="AQ36" s="14">
        <f t="shared" si="10"/>
        <v>2903.1688600000002</v>
      </c>
      <c r="AR36" s="14"/>
      <c r="AS36" s="3">
        <v>3187150.24</v>
      </c>
      <c r="AT36" s="3">
        <v>48687.83</v>
      </c>
      <c r="AU36" s="92">
        <v>0</v>
      </c>
      <c r="AV36" s="3">
        <f>AS36-AT36-AU36</f>
        <v>3138462.41</v>
      </c>
      <c r="AW36" s="3">
        <f>AV36/1000</f>
        <v>3138.4624100000001</v>
      </c>
      <c r="AY36" s="3">
        <v>3277818.98</v>
      </c>
      <c r="AZ36" s="92">
        <v>59848.53</v>
      </c>
      <c r="BA36" s="92">
        <v>0</v>
      </c>
      <c r="BB36" s="3">
        <f>AY36-AZ36-BA36</f>
        <v>3217970.45</v>
      </c>
      <c r="BC36" s="3">
        <f>BB36/1000</f>
        <v>3217.9704500000003</v>
      </c>
      <c r="BE36" s="3">
        <v>0</v>
      </c>
      <c r="BF36" s="3">
        <v>0</v>
      </c>
      <c r="BG36" s="3">
        <f>SUM(BE36:BF36)</f>
        <v>0</v>
      </c>
      <c r="BI36" s="3">
        <v>3317098.64</v>
      </c>
      <c r="BJ36" s="92">
        <v>85714.22</v>
      </c>
      <c r="BK36" s="92">
        <v>29046.15</v>
      </c>
      <c r="BL36" s="3">
        <f>BI36-BJ36-BK36</f>
        <v>3202338.27</v>
      </c>
      <c r="BM36" s="3">
        <f>BL36/1000</f>
        <v>3202.3382700000002</v>
      </c>
      <c r="BO36" s="242">
        <v>29046.15</v>
      </c>
      <c r="BP36" s="3">
        <v>0</v>
      </c>
      <c r="BQ36" s="3">
        <f>SUM(BO36:BP36)</f>
        <v>29046.15</v>
      </c>
      <c r="BS36" s="3">
        <v>3503793.27</v>
      </c>
      <c r="BT36" s="92">
        <v>126369.67</v>
      </c>
      <c r="BU36" s="156">
        <f>CA36</f>
        <v>0</v>
      </c>
      <c r="BV36" s="3">
        <f>BS36-BT36-BU36</f>
        <v>3377423.6</v>
      </c>
      <c r="BW36" s="3">
        <f>BV36/1000</f>
        <v>3377.4236000000001</v>
      </c>
      <c r="BY36" s="242">
        <v>0</v>
      </c>
      <c r="BZ36" s="3">
        <v>0</v>
      </c>
      <c r="CA36" s="3">
        <f>SUM(BY36:BZ36)</f>
        <v>0</v>
      </c>
      <c r="CC36" s="242">
        <v>50855</v>
      </c>
      <c r="CD36" s="3">
        <v>0</v>
      </c>
      <c r="CE36" s="3">
        <f>SUM(CC36:CD36)</f>
        <v>50855</v>
      </c>
      <c r="CG36" s="3">
        <v>3658301.6</v>
      </c>
      <c r="CH36" s="3">
        <v>28326.91</v>
      </c>
      <c r="CI36" s="3">
        <v>50855</v>
      </c>
      <c r="CJ36" s="3">
        <f>CG36-CH36-CI36</f>
        <v>3579119.69</v>
      </c>
      <c r="CK36" s="3">
        <f>CJ36/1000</f>
        <v>3579.11969</v>
      </c>
      <c r="CM36" s="3">
        <v>3794012.0499999993</v>
      </c>
      <c r="CN36" s="3">
        <v>90560.69</v>
      </c>
      <c r="CO36" s="3">
        <v>50414.400000000001</v>
      </c>
      <c r="CP36" s="3">
        <f>CM36-CN36-CO36</f>
        <v>3653036.9599999995</v>
      </c>
      <c r="CQ36" s="3">
        <f>CP36/1000</f>
        <v>3653.0369599999995</v>
      </c>
      <c r="CS36" s="3">
        <v>4653886.1900000004</v>
      </c>
      <c r="CT36" s="3">
        <v>20650.790000000005</v>
      </c>
      <c r="CU36" s="3">
        <v>0</v>
      </c>
      <c r="CV36" s="3">
        <f>CS36-CT36-CU36</f>
        <v>4633235.4000000004</v>
      </c>
      <c r="CW36" s="3">
        <f>CV36/1000</f>
        <v>4633.2354000000005</v>
      </c>
      <c r="CY36" s="3">
        <v>4440960.7300000004</v>
      </c>
      <c r="CZ36" s="3">
        <v>99878.15</v>
      </c>
      <c r="DA36" s="3">
        <v>1559</v>
      </c>
      <c r="DB36" s="3">
        <f t="shared" ref="DB36:DB39" si="19">CY36-CZ36-DA36</f>
        <v>4339523.58</v>
      </c>
      <c r="DC36" s="3">
        <f>DB36/1000</f>
        <v>4339.52358</v>
      </c>
      <c r="DE36" s="3">
        <v>4290098.9000000004</v>
      </c>
      <c r="DF36" s="3">
        <v>10849.720000000001</v>
      </c>
      <c r="DG36" s="3">
        <v>625</v>
      </c>
      <c r="DH36" s="3">
        <f t="shared" ref="DH36:DH39" si="20">DE36-DF36-DG36</f>
        <v>4278624.1800000006</v>
      </c>
      <c r="DI36" s="3">
        <f>DH36/1000</f>
        <v>4278.6241800000007</v>
      </c>
      <c r="DK36" s="3">
        <v>4316395.75</v>
      </c>
      <c r="DL36" s="3">
        <v>5026.72</v>
      </c>
      <c r="DM36" s="3">
        <v>147</v>
      </c>
      <c r="DN36" s="3">
        <f t="shared" si="11"/>
        <v>4311222.03</v>
      </c>
      <c r="DO36" s="3">
        <f t="shared" si="12"/>
        <v>4311.2220299999999</v>
      </c>
    </row>
    <row r="37" spans="1:119">
      <c r="A37" s="1" t="s">
        <v>27</v>
      </c>
      <c r="B37" s="1">
        <v>13668</v>
      </c>
      <c r="C37" s="1">
        <v>14622</v>
      </c>
      <c r="D37" s="1">
        <v>16225.664009999999</v>
      </c>
      <c r="E37" s="1">
        <v>16569.353469999995</v>
      </c>
      <c r="F37" s="1">
        <v>19337.636049999997</v>
      </c>
      <c r="G37" s="1">
        <v>19880.392929999995</v>
      </c>
      <c r="H37" s="1">
        <v>21990.955880000001</v>
      </c>
      <c r="I37" s="1">
        <v>22339.9264</v>
      </c>
      <c r="J37" s="1">
        <v>21757.352760000002</v>
      </c>
      <c r="K37" s="1">
        <v>21622.597000000005</v>
      </c>
      <c r="L37" s="241">
        <f>(K37-J37)*100/J37</f>
        <v>-0.61935733398476356</v>
      </c>
      <c r="M37" s="48">
        <f t="shared" si="8"/>
        <v>62.94721764456078</v>
      </c>
      <c r="N37" s="14">
        <v>3562</v>
      </c>
      <c r="O37" s="14">
        <v>3557</v>
      </c>
      <c r="P37" s="14">
        <v>3872</v>
      </c>
      <c r="Q37" s="14">
        <v>4256</v>
      </c>
      <c r="R37" s="14">
        <v>4739</v>
      </c>
      <c r="S37" s="14">
        <v>5239</v>
      </c>
      <c r="T37" s="14">
        <v>5902</v>
      </c>
      <c r="U37" s="14">
        <v>6384</v>
      </c>
      <c r="V37" s="14">
        <v>6712</v>
      </c>
      <c r="W37" s="14">
        <v>7373</v>
      </c>
      <c r="X37" s="14">
        <v>8329</v>
      </c>
      <c r="Y37" s="14">
        <v>8521</v>
      </c>
      <c r="Z37" s="14">
        <v>8663</v>
      </c>
      <c r="AA37" s="14">
        <v>8643</v>
      </c>
      <c r="AB37" s="14">
        <v>9784</v>
      </c>
      <c r="AC37" s="1">
        <v>10600</v>
      </c>
      <c r="AD37" s="1">
        <v>11293</v>
      </c>
      <c r="AE37" s="3">
        <v>12418.220280000001</v>
      </c>
      <c r="AF37" s="1">
        <v>13269.6939</v>
      </c>
      <c r="AG37" s="128">
        <v>15659008.930000002</v>
      </c>
      <c r="AH37" s="128">
        <v>8980.65</v>
      </c>
      <c r="AI37" s="128">
        <v>3231808</v>
      </c>
      <c r="AJ37" s="3">
        <f>AG37-AH37-AI37</f>
        <v>12418220.280000001</v>
      </c>
      <c r="AK37" s="3">
        <f>AJ37/1000</f>
        <v>12418.220280000001</v>
      </c>
      <c r="AL37" s="3"/>
      <c r="AM37" s="1">
        <v>16869840.449999999</v>
      </c>
      <c r="AN37" s="14">
        <v>10013.549999999999</v>
      </c>
      <c r="AO37" s="14">
        <v>3590133</v>
      </c>
      <c r="AP37" s="14">
        <f t="shared" si="9"/>
        <v>13269693.899999999</v>
      </c>
      <c r="AQ37" s="14">
        <f t="shared" si="10"/>
        <v>13269.693899999998</v>
      </c>
      <c r="AR37" s="14"/>
      <c r="AS37" s="3">
        <v>17729194</v>
      </c>
      <c r="AT37" s="3">
        <v>12912.35</v>
      </c>
      <c r="AU37" s="92">
        <v>4048694</v>
      </c>
      <c r="AV37" s="3">
        <f>AS37-AT37-AU37</f>
        <v>13667587.649999999</v>
      </c>
      <c r="AW37" s="3">
        <f>AV37/1000</f>
        <v>13667.587649999998</v>
      </c>
      <c r="AY37" s="3">
        <v>18592977</v>
      </c>
      <c r="AZ37" s="92">
        <v>22851</v>
      </c>
      <c r="BA37" s="92">
        <v>3948202</v>
      </c>
      <c r="BB37" s="3">
        <f>AY37-AZ37-BA37</f>
        <v>14621924</v>
      </c>
      <c r="BC37" s="3">
        <f>BB37/1000</f>
        <v>14621.924000000001</v>
      </c>
      <c r="BE37" s="3">
        <v>3929767</v>
      </c>
      <c r="BF37" s="3">
        <v>18435</v>
      </c>
      <c r="BG37" s="3">
        <f>SUM(BE37:BF37)</f>
        <v>3948202</v>
      </c>
      <c r="BI37" s="3">
        <v>20349320.919999998</v>
      </c>
      <c r="BJ37" s="92">
        <v>195680.12</v>
      </c>
      <c r="BK37" s="92">
        <v>3927976.79</v>
      </c>
      <c r="BL37" s="3">
        <f>BI37-BJ37-BK37</f>
        <v>16225664.009999998</v>
      </c>
      <c r="BM37" s="3">
        <f>BL37/1000</f>
        <v>16225.664009999999</v>
      </c>
      <c r="BO37" s="242">
        <v>3909125.79</v>
      </c>
      <c r="BP37" s="3">
        <v>18851</v>
      </c>
      <c r="BQ37" s="3">
        <f>SUM(BO37:BP37)</f>
        <v>3927976.79</v>
      </c>
      <c r="BS37" s="3">
        <v>21182252.839999996</v>
      </c>
      <c r="BT37" s="92">
        <v>31513.37</v>
      </c>
      <c r="BU37" s="156">
        <f>CA37</f>
        <v>4581386</v>
      </c>
      <c r="BV37" s="3">
        <f>BS37-BT37-BU37</f>
        <v>16569353.469999995</v>
      </c>
      <c r="BW37" s="3">
        <f>BV37/1000</f>
        <v>16569.353469999995</v>
      </c>
      <c r="BY37" s="242">
        <v>4544396</v>
      </c>
      <c r="BZ37" s="3">
        <v>36990</v>
      </c>
      <c r="CA37" s="3">
        <f>SUM(BY37:BZ37)</f>
        <v>4581386</v>
      </c>
      <c r="CC37" s="242">
        <v>5274048</v>
      </c>
      <c r="CD37" s="3">
        <v>25311</v>
      </c>
      <c r="CE37" s="3">
        <f>SUM(CC37:CD37)</f>
        <v>5299359</v>
      </c>
      <c r="CG37" s="3">
        <v>24743242.049999997</v>
      </c>
      <c r="CH37" s="3">
        <v>131558</v>
      </c>
      <c r="CI37" s="3">
        <v>5274048</v>
      </c>
      <c r="CJ37" s="3">
        <f>CG37-CH37-CI37</f>
        <v>19337636.049999997</v>
      </c>
      <c r="CK37" s="3">
        <f>CJ37/1000</f>
        <v>19337.636049999997</v>
      </c>
      <c r="CM37" s="3">
        <v>24513185.639999997</v>
      </c>
      <c r="CN37" s="3">
        <v>72495.86</v>
      </c>
      <c r="CO37" s="3">
        <v>4560296.8500000006</v>
      </c>
      <c r="CP37" s="3">
        <f>CM37-CN37-CO37</f>
        <v>19880392.929999996</v>
      </c>
      <c r="CQ37" s="3">
        <f>CP37/1000</f>
        <v>19880.392929999995</v>
      </c>
      <c r="CS37" s="3">
        <v>25553007.580000002</v>
      </c>
      <c r="CT37" s="3">
        <v>98434.7</v>
      </c>
      <c r="CU37" s="3">
        <v>3463617</v>
      </c>
      <c r="CV37" s="3">
        <f>CS37-CT37-CU37</f>
        <v>21990955.880000003</v>
      </c>
      <c r="CW37" s="3">
        <f>CV37/1000</f>
        <v>21990.955880000001</v>
      </c>
      <c r="CY37" s="3">
        <v>25115799.32</v>
      </c>
      <c r="CZ37" s="3">
        <v>83866.600000000006</v>
      </c>
      <c r="DA37" s="3">
        <v>2692006.32</v>
      </c>
      <c r="DB37" s="3">
        <f t="shared" si="19"/>
        <v>22339926.399999999</v>
      </c>
      <c r="DC37" s="3">
        <f>DB37/1000</f>
        <v>22339.9264</v>
      </c>
      <c r="DE37" s="3">
        <v>24535943.150000002</v>
      </c>
      <c r="DF37" s="3">
        <v>115613.23</v>
      </c>
      <c r="DG37" s="3">
        <v>2662977.16</v>
      </c>
      <c r="DH37" s="3">
        <f t="shared" si="20"/>
        <v>21757352.760000002</v>
      </c>
      <c r="DI37" s="3">
        <f>DH37/1000</f>
        <v>21757.352760000002</v>
      </c>
      <c r="DK37" s="3">
        <v>24187332.740000002</v>
      </c>
      <c r="DL37" s="3">
        <v>46171.25</v>
      </c>
      <c r="DM37" s="3">
        <v>2518564.4899999993</v>
      </c>
      <c r="DN37" s="3">
        <f t="shared" si="11"/>
        <v>21622597.000000004</v>
      </c>
      <c r="DO37" s="3">
        <f t="shared" si="12"/>
        <v>21622.597000000005</v>
      </c>
    </row>
    <row r="38" spans="1:119">
      <c r="A38" s="1" t="s">
        <v>28</v>
      </c>
      <c r="B38" s="1">
        <v>11209</v>
      </c>
      <c r="C38" s="1">
        <v>11919</v>
      </c>
      <c r="D38" s="1">
        <v>12809.114689999999</v>
      </c>
      <c r="E38" s="1">
        <v>14240.68806</v>
      </c>
      <c r="F38" s="1">
        <v>16294.837340000002</v>
      </c>
      <c r="G38" s="1">
        <v>16688.208999999995</v>
      </c>
      <c r="H38" s="1">
        <v>17819.67729</v>
      </c>
      <c r="I38" s="1">
        <v>17239.035739999999</v>
      </c>
      <c r="J38" s="1">
        <v>16829.365669999999</v>
      </c>
      <c r="K38" s="1">
        <v>17153.742079999993</v>
      </c>
      <c r="L38" s="241">
        <f>(K38-J38)*100/J38</f>
        <v>1.9274428778871111</v>
      </c>
      <c r="M38" s="48">
        <f t="shared" si="8"/>
        <v>62.136952169078356</v>
      </c>
      <c r="N38" s="14">
        <v>1940</v>
      </c>
      <c r="O38" s="14">
        <v>2249</v>
      </c>
      <c r="P38" s="14">
        <v>2394</v>
      </c>
      <c r="Q38" s="14">
        <v>3065</v>
      </c>
      <c r="R38" s="14">
        <v>3655</v>
      </c>
      <c r="S38" s="14">
        <v>4138</v>
      </c>
      <c r="T38" s="14">
        <v>4705</v>
      </c>
      <c r="U38" s="14">
        <v>4846</v>
      </c>
      <c r="V38" s="14">
        <v>5023</v>
      </c>
      <c r="W38" s="14">
        <v>5223</v>
      </c>
      <c r="X38" s="14">
        <v>5368</v>
      </c>
      <c r="Y38" s="14">
        <v>5553</v>
      </c>
      <c r="Z38" s="14">
        <v>6102</v>
      </c>
      <c r="AA38" s="14">
        <v>6712</v>
      </c>
      <c r="AB38" s="14">
        <v>7664</v>
      </c>
      <c r="AC38" s="1">
        <v>8416</v>
      </c>
      <c r="AD38" s="1">
        <v>9151</v>
      </c>
      <c r="AE38" s="3">
        <v>10025.833259999999</v>
      </c>
      <c r="AF38" s="1">
        <v>10579.7857</v>
      </c>
      <c r="AG38" s="128">
        <v>10513149.610000001</v>
      </c>
      <c r="AH38" s="128">
        <v>79018.710000000006</v>
      </c>
      <c r="AI38" s="128">
        <v>408297.64</v>
      </c>
      <c r="AJ38" s="3">
        <f>AG38-AH38-AI38</f>
        <v>10025833.26</v>
      </c>
      <c r="AK38" s="3">
        <f>AJ38/1000</f>
        <v>10025.833259999999</v>
      </c>
      <c r="AL38" s="3"/>
      <c r="AM38" s="1">
        <v>11102148.979999999</v>
      </c>
      <c r="AN38" s="14">
        <v>19265.54</v>
      </c>
      <c r="AO38" s="14">
        <v>503097.74</v>
      </c>
      <c r="AP38" s="14">
        <f t="shared" si="9"/>
        <v>10579785.699999999</v>
      </c>
      <c r="AQ38" s="14">
        <f t="shared" si="10"/>
        <v>10579.785699999999</v>
      </c>
      <c r="AR38" s="14"/>
      <c r="AS38" s="3">
        <v>11684240</v>
      </c>
      <c r="AT38" s="3">
        <v>25144.25</v>
      </c>
      <c r="AU38" s="92">
        <v>450215.46</v>
      </c>
      <c r="AV38" s="3">
        <f>AS38-AT38-AU38</f>
        <v>11208880.289999999</v>
      </c>
      <c r="AW38" s="3">
        <f>AV38/1000</f>
        <v>11208.880289999999</v>
      </c>
      <c r="AY38" s="3">
        <v>12448266</v>
      </c>
      <c r="AZ38" s="92">
        <v>23717.21</v>
      </c>
      <c r="BA38" s="92">
        <v>505722</v>
      </c>
      <c r="BB38" s="3">
        <f>AY38-AZ38-BA38</f>
        <v>11918826.789999999</v>
      </c>
      <c r="BC38" s="3">
        <f>BB38/1000</f>
        <v>11918.826789999999</v>
      </c>
      <c r="BE38" s="3">
        <v>497706</v>
      </c>
      <c r="BF38" s="3">
        <v>8016</v>
      </c>
      <c r="BG38" s="3">
        <f>SUM(BE38:BF38)</f>
        <v>505722</v>
      </c>
      <c r="BI38" s="3">
        <v>13316113.659999996</v>
      </c>
      <c r="BJ38" s="92">
        <v>35711.360000000001</v>
      </c>
      <c r="BK38" s="92">
        <v>471287.61</v>
      </c>
      <c r="BL38" s="3">
        <f>BI38-BJ38-BK38</f>
        <v>12809114.689999998</v>
      </c>
      <c r="BM38" s="3">
        <f>BL38/1000</f>
        <v>12809.114689999999</v>
      </c>
      <c r="BO38" s="242">
        <v>321522.95</v>
      </c>
      <c r="BP38" s="3">
        <v>149764.66</v>
      </c>
      <c r="BQ38" s="3">
        <f>SUM(BO38:BP38)</f>
        <v>471287.61</v>
      </c>
      <c r="BS38" s="3">
        <v>14766710.300000001</v>
      </c>
      <c r="BT38" s="92">
        <v>10586</v>
      </c>
      <c r="BU38" s="156">
        <f>CA38</f>
        <v>515436.24</v>
      </c>
      <c r="BV38" s="3">
        <f>BS38-BT38-BU38</f>
        <v>14240688.060000001</v>
      </c>
      <c r="BW38" s="3">
        <f>BV38/1000</f>
        <v>14240.68806</v>
      </c>
      <c r="BY38" s="242">
        <v>491816.71</v>
      </c>
      <c r="BZ38" s="3">
        <v>23619.53</v>
      </c>
      <c r="CA38" s="3">
        <f>SUM(BY38:BZ38)</f>
        <v>515436.24</v>
      </c>
      <c r="CC38" s="242">
        <v>0</v>
      </c>
      <c r="CD38" s="3">
        <v>357901.24</v>
      </c>
      <c r="CE38" s="3">
        <f>SUM(CC38:CD38)</f>
        <v>357901.24</v>
      </c>
      <c r="CG38" s="3">
        <v>16299284.470000003</v>
      </c>
      <c r="CH38" s="3">
        <v>4447.13</v>
      </c>
      <c r="CI38" s="3">
        <v>0</v>
      </c>
      <c r="CJ38" s="3">
        <f>CG38-CH38-CI38</f>
        <v>16294837.340000002</v>
      </c>
      <c r="CK38" s="3">
        <f>CJ38/1000</f>
        <v>16294.837340000002</v>
      </c>
      <c r="CM38" s="3">
        <v>16890964.669999998</v>
      </c>
      <c r="CN38" s="3">
        <v>27654.21</v>
      </c>
      <c r="CO38" s="3">
        <v>175101.46</v>
      </c>
      <c r="CP38" s="3">
        <f>CM38-CN38-CO38</f>
        <v>16688208.999999996</v>
      </c>
      <c r="CQ38" s="3">
        <f>CP38/1000</f>
        <v>16688.208999999995</v>
      </c>
      <c r="CS38" s="3">
        <v>18512337.649999999</v>
      </c>
      <c r="CT38" s="3">
        <v>65625.62</v>
      </c>
      <c r="CU38" s="3">
        <v>627034.74</v>
      </c>
      <c r="CV38" s="3">
        <f>CS38-CT38-CU38</f>
        <v>17819677.289999999</v>
      </c>
      <c r="CW38" s="3">
        <f>CV38/1000</f>
        <v>17819.67729</v>
      </c>
      <c r="CY38" s="3">
        <v>17582077.719999999</v>
      </c>
      <c r="CZ38" s="3">
        <v>208264.44999999998</v>
      </c>
      <c r="DA38" s="3">
        <v>134777.53</v>
      </c>
      <c r="DB38" s="3">
        <f t="shared" si="19"/>
        <v>17239035.739999998</v>
      </c>
      <c r="DC38" s="3">
        <f>DB38/1000</f>
        <v>17239.035739999999</v>
      </c>
      <c r="DE38" s="3">
        <v>17267476.379999995</v>
      </c>
      <c r="DF38" s="3">
        <v>77653.899999999994</v>
      </c>
      <c r="DG38" s="3">
        <v>360456.81</v>
      </c>
      <c r="DH38" s="3">
        <f t="shared" si="20"/>
        <v>16829365.669999998</v>
      </c>
      <c r="DI38" s="3">
        <f>DH38/1000</f>
        <v>16829.365669999999</v>
      </c>
      <c r="DK38" s="3">
        <v>17626381.759999994</v>
      </c>
      <c r="DL38" s="3">
        <v>7726.65</v>
      </c>
      <c r="DM38" s="3">
        <v>464913.03</v>
      </c>
      <c r="DN38" s="3">
        <f t="shared" si="11"/>
        <v>17153742.079999994</v>
      </c>
      <c r="DO38" s="3">
        <f t="shared" si="12"/>
        <v>17153.742079999993</v>
      </c>
    </row>
    <row r="39" spans="1:119">
      <c r="A39" s="17" t="s">
        <v>29</v>
      </c>
      <c r="B39" s="1">
        <v>6012</v>
      </c>
      <c r="C39" s="1">
        <v>6762</v>
      </c>
      <c r="D39" s="1">
        <v>7345.9345000000012</v>
      </c>
      <c r="E39" s="1">
        <v>8400.4894999999997</v>
      </c>
      <c r="F39" s="1">
        <v>9330.1114599999983</v>
      </c>
      <c r="G39" s="1">
        <v>9744.5408299999999</v>
      </c>
      <c r="H39" s="1">
        <v>10217.967210000001</v>
      </c>
      <c r="I39" s="1">
        <v>10391.176180000002</v>
      </c>
      <c r="J39" s="1">
        <v>10433.12045</v>
      </c>
      <c r="K39" s="1">
        <v>10121.349760000001</v>
      </c>
      <c r="L39" s="241">
        <f>(K39-J39)*100/J39</f>
        <v>-2.9882784493300791</v>
      </c>
      <c r="M39" s="48">
        <f t="shared" si="8"/>
        <v>81.52443735951087</v>
      </c>
      <c r="N39" s="14">
        <v>1148</v>
      </c>
      <c r="O39" s="14">
        <v>1350</v>
      </c>
      <c r="P39" s="14">
        <v>1482</v>
      </c>
      <c r="Q39" s="14">
        <v>1651</v>
      </c>
      <c r="R39" s="14">
        <v>1797</v>
      </c>
      <c r="S39" s="14">
        <v>1985</v>
      </c>
      <c r="T39" s="24">
        <v>2123</v>
      </c>
      <c r="U39" s="24">
        <v>2177</v>
      </c>
      <c r="V39" s="24">
        <v>2169</v>
      </c>
      <c r="W39" s="24">
        <v>2329</v>
      </c>
      <c r="X39" s="14">
        <v>2607</v>
      </c>
      <c r="Y39" s="14">
        <v>2806</v>
      </c>
      <c r="Z39" s="24">
        <v>3122</v>
      </c>
      <c r="AA39" s="14">
        <v>3286</v>
      </c>
      <c r="AB39" s="24">
        <v>3474</v>
      </c>
      <c r="AC39" s="17">
        <v>3909</v>
      </c>
      <c r="AD39" s="17">
        <v>4495</v>
      </c>
      <c r="AE39" s="187">
        <v>5172.1240200000002</v>
      </c>
      <c r="AF39" s="17">
        <v>5575.7505199999996</v>
      </c>
      <c r="AG39" s="129">
        <v>5230294.54</v>
      </c>
      <c r="AH39" s="129">
        <v>13720</v>
      </c>
      <c r="AI39" s="129">
        <v>44450.52</v>
      </c>
      <c r="AJ39" s="3">
        <f>AG39-AH39-AI39</f>
        <v>5172124.0200000005</v>
      </c>
      <c r="AK39" s="3">
        <f>AJ39/1000</f>
        <v>5172.1240200000002</v>
      </c>
      <c r="AL39" s="3"/>
      <c r="AM39" s="1">
        <v>5629276.3799999999</v>
      </c>
      <c r="AN39" s="14">
        <v>53525.86</v>
      </c>
      <c r="AO39" s="14">
        <v>0</v>
      </c>
      <c r="AP39" s="14">
        <f t="shared" si="9"/>
        <v>5575750.5199999996</v>
      </c>
      <c r="AQ39" s="14">
        <f t="shared" si="10"/>
        <v>5575.7505199999996</v>
      </c>
      <c r="AR39" s="14"/>
      <c r="AS39" s="3">
        <v>6090693</v>
      </c>
      <c r="AT39" s="3">
        <v>14541.87</v>
      </c>
      <c r="AU39" s="107">
        <v>64404.98</v>
      </c>
      <c r="AV39" s="3">
        <f>AS39-AT39-AU39</f>
        <v>6011746.1499999994</v>
      </c>
      <c r="AW39" s="3">
        <f>AV39/1000</f>
        <v>6011.746149999999</v>
      </c>
      <c r="AY39" s="3">
        <v>6824109</v>
      </c>
      <c r="AZ39" s="107">
        <v>27924.91</v>
      </c>
      <c r="BA39" s="107">
        <v>34397</v>
      </c>
      <c r="BB39" s="3">
        <f>AY39-AZ39-BA39</f>
        <v>6761787.0899999999</v>
      </c>
      <c r="BC39" s="3">
        <f>BB39/1000</f>
        <v>6761.7870899999998</v>
      </c>
      <c r="BE39" s="3">
        <v>34397.449999999997</v>
      </c>
      <c r="BF39" s="3">
        <v>0</v>
      </c>
      <c r="BG39" s="3">
        <f>SUM(BE39:BF39)</f>
        <v>34397.449999999997</v>
      </c>
      <c r="BI39" s="3">
        <v>7403525.790000001</v>
      </c>
      <c r="BJ39" s="107">
        <v>13170.89</v>
      </c>
      <c r="BK39" s="107">
        <v>44420.4</v>
      </c>
      <c r="BL39" s="3">
        <f>BI39-BJ39-BK39</f>
        <v>7345934.5000000009</v>
      </c>
      <c r="BM39" s="3">
        <f>BL39/1000</f>
        <v>7345.9345000000012</v>
      </c>
      <c r="BO39" s="242">
        <v>0</v>
      </c>
      <c r="BP39" s="3">
        <v>44420.4</v>
      </c>
      <c r="BQ39" s="3">
        <f>SUM(BO39:BP39)</f>
        <v>44420.4</v>
      </c>
      <c r="BS39" s="3">
        <v>8470752.9600000009</v>
      </c>
      <c r="BT39" s="107">
        <v>41579.06</v>
      </c>
      <c r="BU39" s="156">
        <f>CA39</f>
        <v>28684.400000000001</v>
      </c>
      <c r="BV39" s="3">
        <f>BS39-BT39-BU39</f>
        <v>8400489.5</v>
      </c>
      <c r="BW39" s="3">
        <f>BV39/1000</f>
        <v>8400.4894999999997</v>
      </c>
      <c r="BY39" s="242">
        <v>0</v>
      </c>
      <c r="BZ39" s="3">
        <v>28684.400000000001</v>
      </c>
      <c r="CA39" s="3">
        <f>SUM(BY39:BZ39)</f>
        <v>28684.400000000001</v>
      </c>
      <c r="CC39" s="242">
        <v>0</v>
      </c>
      <c r="CD39" s="3">
        <v>30101</v>
      </c>
      <c r="CE39" s="3">
        <f>SUM(CC39:CD39)</f>
        <v>30101</v>
      </c>
      <c r="CG39" s="3">
        <v>9334422.4399999995</v>
      </c>
      <c r="CH39" s="3">
        <v>4310.9799999999996</v>
      </c>
      <c r="CI39" s="3">
        <v>0</v>
      </c>
      <c r="CJ39" s="3">
        <f>CG39-CH39-CI39</f>
        <v>9330111.459999999</v>
      </c>
      <c r="CK39" s="3">
        <f>CJ39/1000</f>
        <v>9330.1114599999983</v>
      </c>
      <c r="CM39" s="3">
        <v>9776001.8100000005</v>
      </c>
      <c r="CN39" s="3">
        <v>4826.1499999999996</v>
      </c>
      <c r="CO39" s="3">
        <v>26634.83</v>
      </c>
      <c r="CP39" s="3">
        <f>CM39-CN39-CO39</f>
        <v>9744540.8300000001</v>
      </c>
      <c r="CQ39" s="3">
        <f>CP39/1000</f>
        <v>9744.5408299999999</v>
      </c>
      <c r="CS39" s="3">
        <v>10446243.6</v>
      </c>
      <c r="CT39" s="3">
        <v>186303.27000000002</v>
      </c>
      <c r="CU39" s="3">
        <v>41973.120000000003</v>
      </c>
      <c r="CV39" s="3">
        <f>CS39-CT39-CU39</f>
        <v>10217967.210000001</v>
      </c>
      <c r="CW39" s="3">
        <f>CV39/1000</f>
        <v>10217.967210000001</v>
      </c>
      <c r="CY39" s="3">
        <v>10469692.400000002</v>
      </c>
      <c r="CZ39" s="3">
        <v>760.16</v>
      </c>
      <c r="DA39" s="3">
        <v>77756.06</v>
      </c>
      <c r="DB39" s="3">
        <f t="shared" si="19"/>
        <v>10391176.180000002</v>
      </c>
      <c r="DC39" s="3">
        <f>DB39/1000</f>
        <v>10391.176180000002</v>
      </c>
      <c r="DE39" s="3">
        <v>10572743.33</v>
      </c>
      <c r="DF39" s="3">
        <v>22048.52</v>
      </c>
      <c r="DG39" s="3">
        <v>117574.36</v>
      </c>
      <c r="DH39" s="3">
        <f t="shared" si="20"/>
        <v>10433120.450000001</v>
      </c>
      <c r="DI39" s="3">
        <f>DH39/1000</f>
        <v>10433.12045</v>
      </c>
      <c r="DK39" s="3">
        <v>10268899.880000001</v>
      </c>
      <c r="DL39" s="3">
        <v>0</v>
      </c>
      <c r="DM39" s="3">
        <v>147550.12</v>
      </c>
      <c r="DN39" s="3">
        <f t="shared" si="11"/>
        <v>10121349.760000002</v>
      </c>
      <c r="DO39" s="3">
        <f t="shared" si="12"/>
        <v>10121.349760000001</v>
      </c>
    </row>
    <row r="40" spans="1:119">
      <c r="A40" s="1" t="s">
        <v>231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X40" s="18"/>
      <c r="Y40" s="18"/>
      <c r="AA40" s="19"/>
      <c r="AB40" s="206"/>
      <c r="AC40" s="206"/>
    </row>
    <row r="41" spans="1:119">
      <c r="O41" s="1" t="s">
        <v>103</v>
      </c>
      <c r="AA41" s="14"/>
      <c r="AB41" s="14"/>
      <c r="AC41" s="14"/>
    </row>
    <row r="42" spans="1:119">
      <c r="Q42" s="14"/>
      <c r="R42" s="14"/>
      <c r="S42" s="14"/>
      <c r="Y42" s="14"/>
      <c r="AA42" s="14"/>
      <c r="AB42" s="14"/>
      <c r="AC42" s="14"/>
    </row>
    <row r="43" spans="1:119">
      <c r="Q43" s="14"/>
      <c r="R43" s="14"/>
      <c r="S43" s="14"/>
      <c r="Y43" s="14"/>
      <c r="AA43" s="14"/>
      <c r="AB43" s="14"/>
      <c r="AC43" s="14"/>
    </row>
    <row r="44" spans="1:119">
      <c r="Q44" s="14"/>
      <c r="R44" s="14"/>
      <c r="S44" s="14"/>
      <c r="Y44" s="14"/>
      <c r="AA44" s="14"/>
      <c r="AB44" s="14"/>
      <c r="AC44" s="14"/>
    </row>
    <row r="45" spans="1:119">
      <c r="Q45" s="14"/>
      <c r="R45" s="14"/>
      <c r="S45" s="14"/>
      <c r="Y45" s="14"/>
      <c r="AA45" s="14"/>
      <c r="AB45" s="14"/>
      <c r="AC45" s="14"/>
    </row>
    <row r="46" spans="1:119">
      <c r="Q46" s="14"/>
      <c r="R46" s="14"/>
      <c r="S46" s="14"/>
      <c r="Y46" s="14"/>
      <c r="AA46" s="14"/>
      <c r="AB46" s="14"/>
      <c r="AC46" s="14"/>
    </row>
    <row r="47" spans="1:119">
      <c r="Y47" s="14"/>
      <c r="AA47" s="14"/>
      <c r="AB47" s="14"/>
      <c r="AC47" s="14"/>
    </row>
    <row r="48" spans="1:119">
      <c r="Y48" s="14"/>
      <c r="AA48" s="14"/>
      <c r="AB48" s="14"/>
      <c r="AC48" s="14"/>
    </row>
    <row r="49" spans="25:29">
      <c r="Y49" s="14"/>
      <c r="AA49" s="14"/>
      <c r="AB49" s="14"/>
      <c r="AC49" s="14"/>
    </row>
    <row r="50" spans="25:29">
      <c r="Y50" s="14"/>
      <c r="AA50" s="14"/>
      <c r="AB50" s="14"/>
      <c r="AC50" s="14"/>
    </row>
    <row r="51" spans="25:29">
      <c r="Y51" s="14"/>
      <c r="AA51" s="14"/>
      <c r="AB51" s="14"/>
      <c r="AC51" s="14"/>
    </row>
    <row r="52" spans="25:29">
      <c r="AA52" s="14"/>
      <c r="AB52" s="14"/>
      <c r="AC52" s="14"/>
    </row>
    <row r="53" spans="25:29">
      <c r="AA53" s="14"/>
      <c r="AB53" s="14"/>
      <c r="AC53" s="14"/>
    </row>
  </sheetData>
  <sheetProtection password="CAF5" sheet="1" objects="1" scenarios="1"/>
  <mergeCells count="21">
    <mergeCell ref="DM8:DM9"/>
    <mergeCell ref="DN8:DO8"/>
    <mergeCell ref="DG8:DG9"/>
    <mergeCell ref="DH8:DI8"/>
    <mergeCell ref="DA8:DA9"/>
    <mergeCell ref="DB8:DC8"/>
    <mergeCell ref="BK8:BK9"/>
    <mergeCell ref="A4:M4"/>
    <mergeCell ref="CC6:CD6"/>
    <mergeCell ref="AS6:AW6"/>
    <mergeCell ref="AY6:BC6"/>
    <mergeCell ref="BA8:BA9"/>
    <mergeCell ref="L7:M7"/>
    <mergeCell ref="BS6:BW6"/>
    <mergeCell ref="BU8:BU9"/>
    <mergeCell ref="BY6:BZ6"/>
    <mergeCell ref="BI6:BM6"/>
    <mergeCell ref="AI8:AI9"/>
    <mergeCell ref="AG6:AK6"/>
    <mergeCell ref="AM6:AQ6"/>
    <mergeCell ref="AO8:AO9"/>
  </mergeCells>
  <phoneticPr fontId="2" type="noConversion"/>
  <pageMargins left="0.48" right="0.54" top="1" bottom="1" header="0.5" footer="0.5"/>
  <pageSetup scale="76" orientation="landscape" horizontalDpi="4294967292" verticalDpi="4294967292" r:id="rId1"/>
  <headerFooter scaleWithDoc="0" alignWithMargins="0">
    <oddFooter>&amp;L&amp;"Arial,Italic"&amp;10MSDE - LFRO   12 / 2014&amp;C&amp;"Arial,Regular"&amp;10- 9 -&amp;R&amp;"Arial,Italic"&amp;10Selected Financial Data - Part 4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Sheet1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>MSDE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 PART 4 FY 2008 10-28-2009 Release</dc:title>
  <dc:subject>10-28-2009 Compilation Revised 1-21-2010</dc:subject>
  <dc:creator>Hiatt/Finn/Ieng</dc:creator>
  <cp:lastModifiedBy>mbenjamin</cp:lastModifiedBy>
  <cp:lastPrinted>2014-12-30T17:13:37Z</cp:lastPrinted>
  <dcterms:created xsi:type="dcterms:W3CDTF">1997-05-28T15:16:37Z</dcterms:created>
  <dcterms:modified xsi:type="dcterms:W3CDTF">2015-01-29T14:50:59Z</dcterms:modified>
</cp:coreProperties>
</file>