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165" windowWidth="12120" windowHeight="9090" tabRatio="867" firstSheet="3" activeTab="18"/>
  </bookViews>
  <sheets>
    <sheet name="table 1" sheetId="1" r:id="rId1"/>
    <sheet name="table 2" sheetId="2" r:id="rId2"/>
    <sheet name="table3" sheetId="3" r:id="rId3"/>
    <sheet name="table4" sheetId="4" r:id="rId4"/>
    <sheet name="table5" sheetId="5" r:id="rId5"/>
    <sheet name="table 6" sheetId="6" r:id="rId6"/>
    <sheet name="state1" sheetId="7" r:id="rId7"/>
    <sheet name="state2" sheetId="8" r:id="rId8"/>
    <sheet name="state3" sheetId="9" r:id="rId9"/>
    <sheet name="state4" sheetId="10" r:id="rId10"/>
    <sheet name="state4a" sheetId="11" r:id="rId11"/>
    <sheet name="state5" sheetId="12" r:id="rId12"/>
    <sheet name="fed1" sheetId="13" r:id="rId13"/>
    <sheet name="fed2" sheetId="14" r:id="rId14"/>
    <sheet name="fed3" sheetId="15" r:id="rId15"/>
    <sheet name="fed4" sheetId="16" r:id="rId16"/>
    <sheet name="fed5" sheetId="17" r:id="rId17"/>
    <sheet name="table9" sheetId="18" r:id="rId18"/>
    <sheet name="table 10" sheetId="19" r:id="rId19"/>
  </sheets>
  <definedNames>
    <definedName name="_xlnm.Print_Area" localSheetId="11">'state5'!$A$1:$J$39</definedName>
    <definedName name="_xlnm.Print_Area" localSheetId="0">'table 1'!$A$1:$L$39</definedName>
    <definedName name="_xlnm.Print_Area" localSheetId="5">'table 6'!$A$1:$P$40</definedName>
    <definedName name="_xlnm.Print_Area" localSheetId="2">'table3'!$A$1:$L$41</definedName>
    <definedName name="_xlnm.Print_Area" localSheetId="3">'table4'!$A$1:$K$39</definedName>
  </definedNames>
  <calcPr fullCalcOnLoad="1"/>
</workbook>
</file>

<file path=xl/sharedStrings.xml><?xml version="1.0" encoding="utf-8"?>
<sst xmlns="http://schemas.openxmlformats.org/spreadsheetml/2006/main" count="955" uniqueCount="315">
  <si>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</si>
  <si>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</si>
  <si>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</si>
  <si>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</si>
  <si>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</si>
  <si>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</si>
  <si>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</si>
  <si>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</si>
  <si>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</si>
  <si>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</si>
  <si>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</si>
  <si>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</si>
  <si>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</si>
  <si>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</si>
  <si>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</si>
  <si>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</si>
  <si>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</si>
  <si>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</si>
  <si>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</si>
  <si>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</si>
  <si>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</si>
  <si>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</si>
  <si>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</si>
  <si>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</si>
  <si>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</si>
  <si>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</si>
  <si>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</si>
  <si>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</si>
  <si>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Targeted</t>
  </si>
  <si>
    <t>Compensatory Education</t>
  </si>
  <si>
    <t>Suicide</t>
  </si>
  <si>
    <t>Teen</t>
  </si>
  <si>
    <t>Child</t>
  </si>
  <si>
    <t>Abuse</t>
  </si>
  <si>
    <t>Nonpublic</t>
  </si>
  <si>
    <t>Placements</t>
  </si>
  <si>
    <t>Gifted</t>
  </si>
  <si>
    <t>and</t>
  </si>
  <si>
    <t>Talented</t>
  </si>
  <si>
    <t>Environ-</t>
  </si>
  <si>
    <t>mental</t>
  </si>
  <si>
    <t>Education</t>
  </si>
  <si>
    <t>School</t>
  </si>
  <si>
    <t>Community</t>
  </si>
  <si>
    <t>Centers</t>
  </si>
  <si>
    <t>Extended</t>
  </si>
  <si>
    <t>Elementary</t>
  </si>
  <si>
    <t>Other</t>
  </si>
  <si>
    <t>Food</t>
  </si>
  <si>
    <t>Service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</si>
  <si>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</si>
  <si>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</si>
  <si>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</si>
  <si>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</si>
  <si>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</si>
  <si>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</si>
  <si>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</si>
  <si>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Aid</t>
  </si>
  <si>
    <t>Unrestricted</t>
  </si>
  <si>
    <t>Preven-</t>
  </si>
  <si>
    <t>Preg-</t>
  </si>
  <si>
    <t>nancy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</si>
  <si>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</si>
  <si>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</si>
  <si>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</si>
  <si>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</si>
  <si>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</si>
  <si>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</si>
  <si>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</si>
  <si>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</si>
  <si>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</si>
  <si>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Homeless</t>
  </si>
  <si>
    <t>Elementary and Secondary Education Act</t>
  </si>
  <si>
    <t>Title 1</t>
  </si>
  <si>
    <t>Concentration</t>
  </si>
  <si>
    <t>Even</t>
  </si>
  <si>
    <t>Start</t>
  </si>
  <si>
    <t>Program</t>
  </si>
  <si>
    <t>Basic and</t>
  </si>
  <si>
    <t>Grants</t>
  </si>
  <si>
    <t>Assistance</t>
  </si>
  <si>
    <t>Innovative</t>
  </si>
  <si>
    <t>Educational</t>
  </si>
  <si>
    <t>Strategies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</si>
  <si>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</si>
  <si>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</si>
  <si>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</si>
  <si>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</si>
  <si>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</si>
  <si>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</si>
  <si>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</si>
  <si>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</si>
  <si>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Stewart B.</t>
  </si>
  <si>
    <t>McKinney</t>
  </si>
  <si>
    <t>Value of</t>
  </si>
  <si>
    <t>Commodities</t>
  </si>
  <si>
    <t>Food Service Programs</t>
  </si>
  <si>
    <t>Construction</t>
  </si>
  <si>
    <t>Impact</t>
  </si>
  <si>
    <t>Aid</t>
  </si>
  <si>
    <t>Lunch/Child</t>
  </si>
  <si>
    <t>Local</t>
  </si>
  <si>
    <t>Appropriation</t>
  </si>
  <si>
    <t>Non-</t>
  </si>
  <si>
    <t>Other+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</si>
  <si>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</si>
  <si>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</si>
  <si>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</si>
  <si>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</si>
  <si>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</si>
  <si>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</si>
  <si>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</si>
  <si>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</si>
  <si>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</si>
  <si>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*Includes revenue to meet principal and interest obligations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</si>
  <si>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</si>
  <si>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</si>
  <si>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</si>
  <si>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</si>
  <si>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</si>
  <si>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</si>
  <si>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</si>
  <si>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</si>
  <si>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</si>
  <si>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</si>
  <si>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 xml:space="preserve">                                         </t>
  </si>
  <si>
    <t>*Includes federal and state revenue for food service operations; excludes sale of meals and value of USDA commodities</t>
  </si>
  <si>
    <t>Table 3</t>
  </si>
  <si>
    <t>Cash</t>
  </si>
  <si>
    <t>Other*</t>
  </si>
  <si>
    <t xml:space="preserve">* Included are taxable income, real and public utility property assessments for state purposes, and 50% of personal property assessments for county purposes; public </t>
  </si>
  <si>
    <t xml:space="preserve">  utility shares and one-half semi-annual are excluded.</t>
  </si>
  <si>
    <t>Table 7 (continued)</t>
  </si>
  <si>
    <t>Safe and</t>
  </si>
  <si>
    <t>Drug Free</t>
  </si>
  <si>
    <t>Table 8</t>
  </si>
  <si>
    <t>Table 8 (continued)</t>
  </si>
  <si>
    <t>Disruptive</t>
  </si>
  <si>
    <t>Youth</t>
  </si>
  <si>
    <t xml:space="preserve">Infants </t>
  </si>
  <si>
    <t>Toddlers</t>
  </si>
  <si>
    <t>+Includes miscellaneous other revenue</t>
  </si>
  <si>
    <t>Innovative Programs</t>
  </si>
  <si>
    <t>Schools</t>
  </si>
  <si>
    <t>Adult Education</t>
  </si>
  <si>
    <t>External</t>
  </si>
  <si>
    <t>Diploma</t>
  </si>
  <si>
    <t>Works</t>
  </si>
  <si>
    <t>City</t>
  </si>
  <si>
    <t>Science/</t>
  </si>
  <si>
    <t>Partnership</t>
  </si>
  <si>
    <t>Math</t>
  </si>
  <si>
    <t>Near County</t>
  </si>
  <si>
    <t>Lines</t>
  </si>
  <si>
    <t>Agency</t>
  </si>
  <si>
    <t>(Excluding State-Paid Teachers' Retirement)</t>
  </si>
  <si>
    <t>Adult</t>
  </si>
  <si>
    <t xml:space="preserve">Title II - </t>
  </si>
  <si>
    <t xml:space="preserve">Indian </t>
  </si>
  <si>
    <t>Improvement</t>
  </si>
  <si>
    <t>Title II</t>
  </si>
  <si>
    <t>Title III</t>
  </si>
  <si>
    <t>Title VI</t>
  </si>
  <si>
    <t>Title XIX</t>
  </si>
  <si>
    <t xml:space="preserve">Part B - </t>
  </si>
  <si>
    <t xml:space="preserve">Part H - </t>
  </si>
  <si>
    <t>National &amp;</t>
  </si>
  <si>
    <t>Medical</t>
  </si>
  <si>
    <t xml:space="preserve">  Non-</t>
  </si>
  <si>
    <t>*Includes the following:  earnings on investments, rental income, and other miscellaneous revenue</t>
  </si>
  <si>
    <t>(Including State-Paid Teachers' Retirement)</t>
  </si>
  <si>
    <t>USDA</t>
  </si>
  <si>
    <t>Job Training</t>
  </si>
  <si>
    <t>State Grant</t>
  </si>
  <si>
    <t>Communities</t>
  </si>
  <si>
    <t>Neglected</t>
  </si>
  <si>
    <t>Delinquent</t>
  </si>
  <si>
    <t>* Includes federal and state revenue for food service operations; excludes sale of meals and value of USDA commodities</t>
  </si>
  <si>
    <r>
      <t>Other</t>
    </r>
    <r>
      <rPr>
        <sz val="10"/>
        <rFont val="WP TypographicSymbols"/>
        <family val="0"/>
      </rPr>
      <t xml:space="preserve"> +</t>
    </r>
  </si>
  <si>
    <t>* Includes revenue from the following funds:  Current Expense, School Construction, Debt Service, and Food Service</t>
  </si>
  <si>
    <t>SAFE</t>
  </si>
  <si>
    <t>Poverty I</t>
  </si>
  <si>
    <t>Out of County</t>
  </si>
  <si>
    <t>Living - Foster</t>
  </si>
  <si>
    <t>Student Transportation</t>
  </si>
  <si>
    <t>Other State Revenue</t>
  </si>
  <si>
    <t xml:space="preserve"> </t>
  </si>
  <si>
    <r>
      <t>Other</t>
    </r>
    <r>
      <rPr>
        <b/>
        <sz val="10"/>
        <rFont val="Arial"/>
        <family val="2"/>
      </rPr>
      <t>+</t>
    </r>
  </si>
  <si>
    <t>Comp Sch Reform Demo</t>
  </si>
  <si>
    <t>Combined Grants</t>
  </si>
  <si>
    <t>LEA School System Support</t>
  </si>
  <si>
    <t>Higher Education Act - Advanced Placement Fees</t>
  </si>
  <si>
    <t>Intervention Initiative</t>
  </si>
  <si>
    <t>Cigarette</t>
  </si>
  <si>
    <t>Restitution</t>
  </si>
  <si>
    <t>Gaining</t>
  </si>
  <si>
    <t>Early</t>
  </si>
  <si>
    <t>Awareness</t>
  </si>
  <si>
    <t xml:space="preserve">and </t>
  </si>
  <si>
    <t>Readiness</t>
  </si>
  <si>
    <t>Character</t>
  </si>
  <si>
    <t>Temporary</t>
  </si>
  <si>
    <t>for</t>
  </si>
  <si>
    <t>Needy</t>
  </si>
  <si>
    <t>Families</t>
  </si>
  <si>
    <t>Social</t>
  </si>
  <si>
    <t>Security Act</t>
  </si>
  <si>
    <t>Public Services</t>
  </si>
  <si>
    <t>Health Act</t>
  </si>
  <si>
    <t>Sexual</t>
  </si>
  <si>
    <t>+Includes the following:  tuition, transportation fees, transfers from school units in other states, and other miscellaneous revenue</t>
  </si>
  <si>
    <t>System Reform Initiative</t>
  </si>
  <si>
    <t xml:space="preserve">State Share of Teachers' Retirement </t>
  </si>
  <si>
    <t>Provisional Teacher Development</t>
  </si>
  <si>
    <t>Pilot Integrated Student Support Services</t>
  </si>
  <si>
    <t>School Library Media Incentive</t>
  </si>
  <si>
    <t>Targeted Improvement Program</t>
  </si>
  <si>
    <t>Teacher Development Program</t>
  </si>
  <si>
    <t>Teacher Mentoring Programs</t>
  </si>
  <si>
    <t>Limited English Proficient</t>
  </si>
  <si>
    <t>Regular Transportation</t>
  </si>
  <si>
    <t>Transportation of Students with Disibilities</t>
  </si>
  <si>
    <t>DHMH-Tobacco Prevention</t>
  </si>
  <si>
    <t>Continuing Education</t>
  </si>
  <si>
    <t>Tobacco Tax Revenue</t>
  </si>
  <si>
    <t>Local      Education Agency</t>
  </si>
  <si>
    <t>Teacher Stipends &amp; Bonuses</t>
  </si>
  <si>
    <t>Reconsitution</t>
  </si>
  <si>
    <t xml:space="preserve">Teacher Mentoring </t>
  </si>
  <si>
    <t>Annapolis Road Middle School</t>
  </si>
  <si>
    <t>Education Modernization</t>
  </si>
  <si>
    <t>Rural School Nurses</t>
  </si>
  <si>
    <t>Hoyer Funds II</t>
  </si>
  <si>
    <t>Hoyer General Funds</t>
  </si>
  <si>
    <t>Hoyer</t>
  </si>
  <si>
    <t>Staff Development Centers</t>
  </si>
  <si>
    <t>Smith Island</t>
  </si>
  <si>
    <t>School Boat</t>
  </si>
  <si>
    <t>PreK to 3rd Grade Initiative</t>
  </si>
  <si>
    <t>Effective Schools Program</t>
  </si>
  <si>
    <t>Foundation Program</t>
  </si>
  <si>
    <t>Total Local Wealth</t>
  </si>
  <si>
    <t>Local Education Agency</t>
  </si>
  <si>
    <t>Regional Difference</t>
  </si>
  <si>
    <t>Per Student Foundation Program</t>
  </si>
  <si>
    <t>Wealth Per Student</t>
  </si>
  <si>
    <t>Total Foundation Program minus Local Share                 ( S1)</t>
  </si>
  <si>
    <t>Wealth Per Student - Table 9</t>
  </si>
  <si>
    <t>Minimum Grant</t>
  </si>
  <si>
    <t>Total Grant - Greater of Adjusted or Minimum Calculation</t>
  </si>
  <si>
    <t xml:space="preserve">Infants &amp; Toddlers </t>
  </si>
  <si>
    <t>Class Size Initiative</t>
  </si>
  <si>
    <t>Fine Arts Initiative</t>
  </si>
  <si>
    <t>Schools for Success</t>
  </si>
  <si>
    <t>Children At Risk</t>
  </si>
  <si>
    <t>Governor Teacher Salary Challenge Program</t>
  </si>
  <si>
    <t>English Language Acquisition</t>
  </si>
  <si>
    <t>Improving Teacher Quality State Grants</t>
  </si>
  <si>
    <t>TITLE II</t>
  </si>
  <si>
    <t>Part B - Math &amp; Sciences</t>
  </si>
  <si>
    <t xml:space="preserve">Reading </t>
  </si>
  <si>
    <t>First</t>
  </si>
  <si>
    <t>NOAA Environmental Education</t>
  </si>
  <si>
    <t>National Science Foundation Grants</t>
  </si>
  <si>
    <r>
      <t xml:space="preserve">+ </t>
    </r>
    <r>
      <rPr>
        <sz val="10"/>
        <rFont val="Arial"/>
        <family val="0"/>
      </rPr>
      <t>Includes the following:  tuition, transportation fees, transfers from school units in other states, and other miscellaneous revenue</t>
    </r>
  </si>
  <si>
    <t>Foundation Current Expense Formula Aid for Maryland Public Schools:  2004 - 2005</t>
  </si>
  <si>
    <t>Total Foundation Program (Enrollment X $5,029)</t>
  </si>
  <si>
    <t>Enrollment  09-30-2003</t>
  </si>
  <si>
    <t>Local Share         ( Local Wealth X .84005%)</t>
  </si>
  <si>
    <t>Minimum State Share  = Foundation Progam x .24                 (S2)</t>
  </si>
  <si>
    <t>SOURCE:  MSDE final calculations for the Major State Aid Programs for Fiscal Year 2005</t>
  </si>
  <si>
    <t xml:space="preserve">                The FY 2005 Appropriation does not include funding for a regional adjustment - GCEI.</t>
  </si>
  <si>
    <t>Revenue from All Sources for School Construction:  Maryland Public Schools:  2004 - 2005</t>
  </si>
  <si>
    <t>Revenue from All Sources for Debt Service*:  Maryland Public Schools:  2004 - 2005</t>
  </si>
  <si>
    <t>Revenue from All Sources for Food Service Operations:  Maryland Public Schools:  2004 - 2005</t>
  </si>
  <si>
    <t>*Charles County Local Appropriation for Food Services Program ($200,216.90) is being included in Other Local Revenue</t>
  </si>
  <si>
    <t>10-31-2003 Eligible FARMS Students</t>
  </si>
  <si>
    <t>Other Earnings</t>
  </si>
  <si>
    <t>on Investment</t>
  </si>
  <si>
    <t>Charles*</t>
  </si>
  <si>
    <t>Baltimore City**</t>
  </si>
  <si>
    <t>Revenue from the State for Maryland Public School Purposes:  2004 - 2005</t>
  </si>
  <si>
    <t>Revenue from the State for Maryland Public School Purposes:  2004 -2005</t>
  </si>
  <si>
    <t>Revenue from the State for Maryland Public School Purposes: 2004 - 2005</t>
  </si>
  <si>
    <t>Grant for Specific Population</t>
  </si>
  <si>
    <t>Guaranteed</t>
  </si>
  <si>
    <t>Tax</t>
  </si>
  <si>
    <t>Base</t>
  </si>
  <si>
    <t>Revenue from the Federal Government for Maryland Public Schools:  2004 -2005</t>
  </si>
  <si>
    <t xml:space="preserve">LEA </t>
  </si>
  <si>
    <t>Administration</t>
  </si>
  <si>
    <t>Charter School</t>
  </si>
  <si>
    <t>Transition to Teaching</t>
  </si>
  <si>
    <t>Refugee &amp; Entrant Assistance</t>
  </si>
  <si>
    <t>Carl T. Perkins - Career and Technology</t>
  </si>
  <si>
    <t>Teachers</t>
  </si>
  <si>
    <t>Revenue from All Sources* for Maryland Public Schools:  2004 - 2005</t>
  </si>
  <si>
    <t>Revenue from All Sources for Current Expenses*:   Maryland Public Schools:  2004 - 2005</t>
  </si>
  <si>
    <t>Revenue from the Federal Government for Maryland Public Schools:  2004 - 2005</t>
  </si>
  <si>
    <t>State Compensatory Education Aid for Maryland Public Schools:  2004 - 2005</t>
  </si>
  <si>
    <t>SOURCE:  MSDE final calculations for the Major State Aid Programs for Fiscal Year 2005--  June 1, 2004</t>
  </si>
  <si>
    <t>Grant Adjusted Calculation        @ .7774334</t>
  </si>
  <si>
    <t>(B) X 66%</t>
  </si>
  <si>
    <t>Unadjusted Grant Calculation</t>
  </si>
  <si>
    <t>Additional Grant to Adjusted Calculation</t>
  </si>
  <si>
    <t>School Performance Recognition Awards</t>
  </si>
  <si>
    <t>** Baltimore City reported $2,464,990.35 as negative interfund transfer  omitted herein this table.</t>
  </si>
  <si>
    <t>Disabled Children</t>
  </si>
  <si>
    <t>Nonrevenue**</t>
  </si>
  <si>
    <t>21st Century Community Learning Centers</t>
  </si>
  <si>
    <t xml:space="preserve">Greater </t>
  </si>
  <si>
    <t>of (S1) or ( S2)</t>
  </si>
  <si>
    <t>X $1,805</t>
  </si>
  <si>
    <t>Students</t>
  </si>
  <si>
    <t>(B) / [(C)/$297,097]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</si>
</sst>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\ ;\(&quot;$&quot;#,##0\)"/>
    <numFmt numFmtId="170" formatCode="&quot;$&quot;#,##0.00\ ;\(&quot;$&quot;#,##0.00\)"/>
    <numFmt numFmtId="171" formatCode="#,##0.000"/>
    <numFmt numFmtId="172" formatCode="#,##0.0000"/>
    <numFmt numFmtId="173" formatCode="&quot;$&quot;#,##0.0\ ;\(&quot;$&quot;#,##0.0\)"/>
    <numFmt numFmtId="174" formatCode="_(* #,##0.0_);_(* \(#,##0.0\);_(* &quot;-&quot;?_);_(@_)"/>
    <numFmt numFmtId="175" formatCode="0.000%"/>
    <numFmt numFmtId="176" formatCode="0.0000%"/>
    <numFmt numFmtId="177" formatCode="0.00000%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??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&quot;$&quot;#,##0"/>
    <numFmt numFmtId="191" formatCode="_(&quot;$&quot;* #,##0.0_);_(&quot;$&quot;* \(#,##0.0\);_(&quot;$&quot;* &quot;-&quot;_);_(@_)"/>
    <numFmt numFmtId="192" formatCode="_(&quot;$&quot;* #,##0.00_);_(&quot;$&quot;* \(#,##0.00\);_(&quot;$&quot;* &quot;-&quot;_);_(@_)"/>
    <numFmt numFmtId="193" formatCode="_(&quot;$&quot;* #,##0.000_);_(&quot;$&quot;* \(#,##0.000\);_(&quot;$&quot;* &quot;-&quot;_);_(@_)"/>
    <numFmt numFmtId="194" formatCode="m/d"/>
    <numFmt numFmtId="195" formatCode="mmmm\ d\,\ yyyy"/>
    <numFmt numFmtId="196" formatCode="_(* #,##0.0000_);_(* \(#,##0.0000\);_(* &quot;-&quot;??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0000_);_(* \(#,##0.00000\);_(* &quot;-&quot;?????_);_(@_)"/>
    <numFmt numFmtId="201" formatCode="[$€-2]\ #,##0.00_);[Red]\([$€-2]\ #,##0.00\)"/>
    <numFmt numFmtId="202" formatCode="_(* #,##0.0000_);_(* \(#,##0.0000\);_(* &quot;-&quot;??_);_(@_)"/>
  </numFmts>
  <fonts count="9">
    <font>
      <sz val="10"/>
      <name val="Arial"/>
      <family val="0"/>
    </font>
    <font>
      <sz val="10"/>
      <name val="Times New Roman"/>
      <family val="0"/>
    </font>
    <font>
      <sz val="10"/>
      <name val="WP TypographicSymbols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7" fontId="0" fillId="0" borderId="0" xfId="17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17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3" fontId="0" fillId="0" borderId="5" xfId="0" applyFont="1" applyBorder="1" applyAlignment="1">
      <alignment/>
    </xf>
    <xf numFmtId="172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indent="3"/>
    </xf>
    <xf numFmtId="0" fontId="0" fillId="0" borderId="0" xfId="0" applyFont="1" applyAlignment="1">
      <alignment horizontal="left" indent="3"/>
    </xf>
    <xf numFmtId="3" fontId="0" fillId="0" borderId="0" xfId="0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4" xfId="15" applyNumberFormat="1" applyBorder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Border="1" applyAlignment="1">
      <alignment/>
    </xf>
    <xf numFmtId="167" fontId="0" fillId="0" borderId="0" xfId="0" applyNumberFormat="1" applyBorder="1" applyAlignment="1">
      <alignment/>
    </xf>
    <xf numFmtId="43" fontId="0" fillId="0" borderId="0" xfId="15" applyAlignment="1">
      <alignment/>
    </xf>
    <xf numFmtId="43" fontId="0" fillId="0" borderId="0" xfId="15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0" xfId="17" applyNumberFormat="1" applyAlignment="1">
      <alignment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right"/>
    </xf>
    <xf numFmtId="167" fontId="0" fillId="0" borderId="0" xfId="17" applyNumberFormat="1" applyFont="1" applyBorder="1" applyAlignment="1">
      <alignment horizontal="left" indent="3"/>
    </xf>
    <xf numFmtId="0" fontId="0" fillId="0" borderId="0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49" fontId="0" fillId="0" borderId="0" xfId="17" applyNumberFormat="1" applyBorder="1" applyAlignment="1">
      <alignment/>
    </xf>
    <xf numFmtId="167" fontId="0" fillId="0" borderId="0" xfId="17" applyNumberFormat="1" applyAlignment="1">
      <alignment horizontal="left" indent="2"/>
    </xf>
    <xf numFmtId="167" fontId="0" fillId="0" borderId="0" xfId="17" applyNumberFormat="1" applyAlignment="1">
      <alignment horizontal="left" indent="3"/>
    </xf>
    <xf numFmtId="0" fontId="0" fillId="0" borderId="2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9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43" fontId="0" fillId="0" borderId="0" xfId="15" applyFont="1" applyBorder="1" applyAlignment="1">
      <alignment/>
    </xf>
    <xf numFmtId="169" fontId="0" fillId="0" borderId="0" xfId="0" applyFont="1" applyBorder="1" applyAlignment="1">
      <alignment horizontal="left" indent="2"/>
    </xf>
    <xf numFmtId="17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8" xfId="15" applyNumberFormat="1" applyFont="1" applyBorder="1" applyAlignment="1">
      <alignment horizontal="center"/>
    </xf>
    <xf numFmtId="165" fontId="0" fillId="0" borderId="9" xfId="15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167" fontId="0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167" fontId="3" fillId="0" borderId="0" xfId="17" applyNumberFormat="1" applyFont="1" applyBorder="1" applyAlignment="1">
      <alignment/>
    </xf>
    <xf numFmtId="165" fontId="0" fillId="0" borderId="0" xfId="15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7" fontId="0" fillId="0" borderId="0" xfId="17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0" fontId="0" fillId="0" borderId="0" xfId="0" applyFont="1" applyAlignment="1">
      <alignment horizontal="right"/>
    </xf>
    <xf numFmtId="43" fontId="0" fillId="0" borderId="0" xfId="15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0" fontId="0" fillId="0" borderId="2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167" fontId="0" fillId="0" borderId="0" xfId="17" applyNumberFormat="1" applyFont="1" applyBorder="1" applyAlignment="1">
      <alignment horizontal="right"/>
    </xf>
    <xf numFmtId="10" fontId="0" fillId="0" borderId="0" xfId="21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15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41" fontId="0" fillId="0" borderId="4" xfId="15" applyNumberFormat="1" applyFont="1" applyBorder="1" applyAlignment="1">
      <alignment/>
    </xf>
    <xf numFmtId="43" fontId="0" fillId="0" borderId="4" xfId="15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4" fontId="3" fillId="0" borderId="0" xfId="17" applyNumberFormat="1" applyFont="1" applyBorder="1" applyAlignment="1">
      <alignment/>
    </xf>
    <xf numFmtId="0" fontId="0" fillId="0" borderId="0" xfId="0" applyFill="1" applyAlignment="1">
      <alignment/>
    </xf>
    <xf numFmtId="44" fontId="0" fillId="0" borderId="0" xfId="17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165" fontId="0" fillId="0" borderId="0" xfId="15" applyNumberFormat="1" applyFill="1" applyBorder="1" applyAlignment="1">
      <alignment/>
    </xf>
    <xf numFmtId="43" fontId="0" fillId="0" borderId="0" xfId="15" applyBorder="1" applyAlignment="1">
      <alignment/>
    </xf>
    <xf numFmtId="43" fontId="0" fillId="0" borderId="1" xfId="15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15" applyBorder="1" applyAlignment="1">
      <alignment wrapText="1"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65" fontId="0" fillId="0" borderId="4" xfId="15" applyNumberFormat="1" applyFill="1" applyBorder="1" applyAlignment="1">
      <alignment/>
    </xf>
    <xf numFmtId="43" fontId="0" fillId="0" borderId="4" xfId="15" applyFill="1" applyBorder="1" applyAlignment="1">
      <alignment/>
    </xf>
    <xf numFmtId="165" fontId="0" fillId="0" borderId="0" xfId="15" applyNumberFormat="1" applyFill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Fill="1" applyAlignment="1">
      <alignment horizontal="center"/>
    </xf>
    <xf numFmtId="165" fontId="0" fillId="0" borderId="2" xfId="15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4" fontId="3" fillId="0" borderId="0" xfId="0" applyNumberFormat="1" applyFont="1" applyFill="1" applyBorder="1" applyAlignment="1" applyProtection="1">
      <alignment/>
      <protection locked="0"/>
    </xf>
    <xf numFmtId="43" fontId="3" fillId="0" borderId="0" xfId="15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5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65" fontId="0" fillId="0" borderId="0" xfId="15" applyNumberFormat="1" applyFont="1" applyBorder="1" applyAlignment="1">
      <alignment horizontal="center" wrapText="1"/>
    </xf>
    <xf numFmtId="165" fontId="0" fillId="0" borderId="0" xfId="15" applyNumberFormat="1" applyFill="1" applyBorder="1" applyAlignment="1">
      <alignment horizontal="right" vertical="top" wrapText="1"/>
    </xf>
    <xf numFmtId="165" fontId="0" fillId="0" borderId="0" xfId="15" applyNumberFormat="1" applyFont="1" applyFill="1" applyAlignment="1">
      <alignment/>
    </xf>
    <xf numFmtId="41" fontId="5" fillId="0" borderId="0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165" fontId="5" fillId="0" borderId="0" xfId="15" applyNumberFormat="1" applyFont="1" applyBorder="1" applyAlignment="1">
      <alignment/>
    </xf>
    <xf numFmtId="177" fontId="0" fillId="0" borderId="0" xfId="0" applyNumberFormat="1" applyFont="1" applyAlignment="1">
      <alignment/>
    </xf>
    <xf numFmtId="3" fontId="0" fillId="0" borderId="0" xfId="0" applyAlignment="1">
      <alignment/>
    </xf>
    <xf numFmtId="43" fontId="0" fillId="0" borderId="0" xfId="15" applyFont="1" applyAlignment="1">
      <alignment/>
    </xf>
    <xf numFmtId="3" fontId="0" fillId="0" borderId="0" xfId="0" applyBorder="1" applyAlignment="1">
      <alignment/>
    </xf>
    <xf numFmtId="3" fontId="0" fillId="0" borderId="4" xfId="0" applyBorder="1" applyAlignment="1">
      <alignment/>
    </xf>
    <xf numFmtId="3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165" fontId="0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Fill="1" applyBorder="1" applyAlignment="1">
      <alignment/>
    </xf>
    <xf numFmtId="43" fontId="5" fillId="0" borderId="0" xfId="15" applyFont="1" applyFill="1" applyAlignment="1">
      <alignment/>
    </xf>
    <xf numFmtId="43" fontId="5" fillId="0" borderId="0" xfId="15" applyFont="1" applyFill="1" applyBorder="1" applyAlignment="1">
      <alignment/>
    </xf>
    <xf numFmtId="0" fontId="0" fillId="0" borderId="4" xfId="0" applyFont="1" applyBorder="1" applyAlignment="1">
      <alignment horizontal="center"/>
    </xf>
    <xf numFmtId="165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5" fontId="5" fillId="0" borderId="0" xfId="15" applyNumberFormat="1" applyFont="1" applyFill="1" applyAlignment="1">
      <alignment/>
    </xf>
    <xf numFmtId="165" fontId="5" fillId="0" borderId="4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4" xfId="15" applyNumberFormat="1" applyFont="1" applyFill="1" applyBorder="1" applyAlignment="1">
      <alignment/>
    </xf>
    <xf numFmtId="165" fontId="5" fillId="0" borderId="0" xfId="15" applyNumberFormat="1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5" fontId="0" fillId="0" borderId="7" xfId="15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167" fontId="0" fillId="0" borderId="0" xfId="17" applyNumberFormat="1" applyFont="1" applyAlignment="1">
      <alignment/>
    </xf>
    <xf numFmtId="167" fontId="0" fillId="0" borderId="0" xfId="17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17" applyNumberFormat="1" applyFont="1" applyFill="1" applyBorder="1" applyAlignment="1">
      <alignment horizontal="center"/>
    </xf>
    <xf numFmtId="42" fontId="0" fillId="0" borderId="0" xfId="17" applyNumberFormat="1" applyFont="1" applyFill="1" applyBorder="1" applyAlignment="1">
      <alignment horizontal="center"/>
    </xf>
    <xf numFmtId="10" fontId="0" fillId="0" borderId="0" xfId="21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 horizontal="center"/>
    </xf>
    <xf numFmtId="44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3" fontId="0" fillId="0" borderId="0" xfId="1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41" fontId="0" fillId="0" borderId="4" xfId="0" applyNumberFormat="1" applyFont="1" applyBorder="1" applyAlignment="1">
      <alignment/>
    </xf>
    <xf numFmtId="43" fontId="0" fillId="0" borderId="4" xfId="15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165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2" xfId="15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67" fontId="0" fillId="0" borderId="0" xfId="17" applyNumberFormat="1" applyFont="1" applyBorder="1" applyAlignment="1">
      <alignment horizontal="center"/>
    </xf>
    <xf numFmtId="10" fontId="0" fillId="0" borderId="0" xfId="21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4" xfId="15" applyNumberFormat="1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15" applyNumberFormat="1" applyFont="1" applyBorder="1" applyAlignment="1">
      <alignment/>
    </xf>
    <xf numFmtId="42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4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7" fontId="0" fillId="0" borderId="0" xfId="17" applyNumberFormat="1" applyFont="1" applyAlignment="1">
      <alignment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4" fontId="0" fillId="0" borderId="0" xfId="17" applyFont="1" applyBorder="1" applyAlignment="1">
      <alignment/>
    </xf>
    <xf numFmtId="44" fontId="0" fillId="0" borderId="0" xfId="0" applyNumberFormat="1" applyAlignment="1">
      <alignment/>
    </xf>
    <xf numFmtId="165" fontId="0" fillId="0" borderId="0" xfId="15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 horizontal="left" vertical="top" wrapText="1"/>
    </xf>
    <xf numFmtId="41" fontId="0" fillId="0" borderId="4" xfId="0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quotePrefix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165" fontId="0" fillId="0" borderId="0" xfId="15" applyNumberFormat="1" applyAlignment="1">
      <alignment horizontal="right"/>
    </xf>
    <xf numFmtId="42" fontId="0" fillId="0" borderId="0" xfId="17" applyNumberFormat="1" applyFont="1" applyFill="1" applyAlignment="1">
      <alignment/>
    </xf>
    <xf numFmtId="41" fontId="0" fillId="0" borderId="0" xfId="15" applyNumberFormat="1" applyFont="1" applyFill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0" fillId="0" borderId="0" xfId="15" applyNumberFormat="1" applyFont="1" applyFill="1" applyAlignment="1">
      <alignment/>
    </xf>
    <xf numFmtId="41" fontId="0" fillId="0" borderId="0" xfId="0" applyNumberFormat="1" applyFont="1" applyAlignment="1">
      <alignment/>
    </xf>
    <xf numFmtId="165" fontId="0" fillId="0" borderId="4" xfId="15" applyNumberFormat="1" applyFont="1" applyFill="1" applyBorder="1" applyAlignment="1">
      <alignment/>
    </xf>
    <xf numFmtId="41" fontId="0" fillId="0" borderId="4" xfId="15" applyNumberFormat="1" applyFont="1" applyFill="1" applyBorder="1" applyAlignment="1">
      <alignment/>
    </xf>
    <xf numFmtId="42" fontId="0" fillId="0" borderId="0" xfId="17" applyNumberFormat="1" applyFont="1" applyAlignment="1">
      <alignment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/>
    </xf>
    <xf numFmtId="3" fontId="0" fillId="0" borderId="0" xfId="0" applyFont="1" applyAlignment="1">
      <alignment horizontal="center"/>
    </xf>
    <xf numFmtId="3" fontId="0" fillId="0" borderId="2" xfId="0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Alignment="1">
      <alignment horizontal="left" indent="2"/>
    </xf>
    <xf numFmtId="41" fontId="0" fillId="0" borderId="0" xfId="17" applyNumberFormat="1" applyFont="1" applyFill="1" applyAlignment="1">
      <alignment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/>
    </xf>
    <xf numFmtId="165" fontId="0" fillId="0" borderId="4" xfId="15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9" fontId="0" fillId="0" borderId="0" xfId="17" applyNumberFormat="1" applyFont="1" applyBorder="1" applyAlignment="1">
      <alignment/>
    </xf>
    <xf numFmtId="42" fontId="0" fillId="0" borderId="0" xfId="17" applyNumberFormat="1" applyFont="1" applyBorder="1" applyAlignment="1">
      <alignment/>
    </xf>
    <xf numFmtId="167" fontId="0" fillId="0" borderId="0" xfId="17" applyNumberFormat="1" applyFont="1" applyAlignment="1">
      <alignment/>
    </xf>
    <xf numFmtId="167" fontId="0" fillId="0" borderId="0" xfId="17" applyNumberFormat="1" applyFont="1" applyAlignment="1">
      <alignment horizontal="left" indent="3"/>
    </xf>
    <xf numFmtId="167" fontId="0" fillId="0" borderId="4" xfId="17" applyNumberFormat="1" applyFont="1" applyBorder="1" applyAlignment="1">
      <alignment horizontal="left" indent="3"/>
    </xf>
    <xf numFmtId="41" fontId="0" fillId="0" borderId="4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42" fontId="0" fillId="0" borderId="0" xfId="17" applyNumberFormat="1" applyFont="1" applyAlignment="1">
      <alignment/>
    </xf>
    <xf numFmtId="41" fontId="0" fillId="0" borderId="4" xfId="15" applyNumberFormat="1" applyFont="1" applyBorder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41" fontId="0" fillId="0" borderId="0" xfId="0" applyNumberFormat="1" applyFont="1" applyAlignment="1" applyProtection="1">
      <alignment/>
      <protection locked="0"/>
    </xf>
    <xf numFmtId="44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3" fontId="0" fillId="0" borderId="3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3" fontId="0" fillId="0" borderId="2" xfId="15" applyNumberFormat="1" applyFont="1" applyBorder="1" applyAlignment="1">
      <alignment horizontal="center"/>
    </xf>
    <xf numFmtId="42" fontId="0" fillId="0" borderId="0" xfId="17" applyNumberFormat="1" applyFont="1" applyFill="1" applyBorder="1" applyAlignment="1">
      <alignment horizontal="center"/>
    </xf>
    <xf numFmtId="42" fontId="0" fillId="0" borderId="0" xfId="17" applyNumberFormat="1" applyFont="1" applyBorder="1" applyAlignment="1">
      <alignment horizontal="center"/>
    </xf>
    <xf numFmtId="42" fontId="0" fillId="0" borderId="0" xfId="17" applyNumberFormat="1" applyFont="1" applyBorder="1" applyAlignment="1">
      <alignment horizontal="right"/>
    </xf>
    <xf numFmtId="42" fontId="0" fillId="0" borderId="0" xfId="15" applyNumberFormat="1" applyFont="1" applyFill="1" applyAlignment="1">
      <alignment/>
    </xf>
    <xf numFmtId="42" fontId="0" fillId="0" borderId="0" xfId="15" applyNumberFormat="1" applyFont="1" applyFill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42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0" fillId="0" borderId="0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41" fontId="0" fillId="0" borderId="4" xfId="0" applyNumberFormat="1" applyFont="1" applyFill="1" applyBorder="1" applyAlignment="1">
      <alignment/>
    </xf>
    <xf numFmtId="167" fontId="0" fillId="0" borderId="0" xfId="17" applyNumberFormat="1" applyFont="1" applyAlignment="1">
      <alignment/>
    </xf>
    <xf numFmtId="202" fontId="0" fillId="0" borderId="0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41" fontId="0" fillId="0" borderId="0" xfId="15" applyNumberForma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ill="1" applyAlignment="1">
      <alignment/>
    </xf>
    <xf numFmtId="41" fontId="0" fillId="0" borderId="4" xfId="15" applyNumberFormat="1" applyFont="1" applyFill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3" fontId="0" fillId="0" borderId="1" xfId="15" applyFont="1" applyBorder="1" applyAlignment="1">
      <alignment horizontal="center"/>
    </xf>
    <xf numFmtId="43" fontId="0" fillId="0" borderId="4" xfId="15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5" xfId="15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5" xfId="15" applyNumberFormat="1" applyFont="1" applyBorder="1" applyAlignment="1">
      <alignment horizontal="center" vertical="center" wrapText="1"/>
    </xf>
    <xf numFmtId="165" fontId="0" fillId="0" borderId="0" xfId="15" applyNumberFormat="1" applyFont="1" applyBorder="1" applyAlignment="1">
      <alignment horizontal="center" vertical="center" wrapText="1"/>
    </xf>
    <xf numFmtId="165" fontId="0" fillId="0" borderId="4" xfId="15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15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5" fontId="0" fillId="0" borderId="22" xfId="15" applyNumberFormat="1" applyFont="1" applyBorder="1" applyAlignment="1">
      <alignment horizontal="center"/>
    </xf>
    <xf numFmtId="165" fontId="0" fillId="0" borderId="23" xfId="15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4" xfId="15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65" fontId="0" fillId="0" borderId="0" xfId="15" applyNumberFormat="1" applyFont="1" applyAlignment="1">
      <alignment horizontal="center" vertical="center" wrapText="1"/>
    </xf>
    <xf numFmtId="165" fontId="0" fillId="0" borderId="23" xfId="15" applyNumberFormat="1" applyFont="1" applyFill="1" applyBorder="1" applyAlignment="1">
      <alignment horizontal="center" vertical="center" wrapText="1"/>
    </xf>
    <xf numFmtId="165" fontId="0" fillId="0" borderId="0" xfId="15" applyNumberFormat="1" applyFont="1" applyFill="1" applyBorder="1" applyAlignment="1">
      <alignment horizontal="center" vertical="center" wrapText="1"/>
    </xf>
    <xf numFmtId="165" fontId="0" fillId="0" borderId="5" xfId="15" applyNumberFormat="1" applyFont="1" applyBorder="1" applyAlignment="1">
      <alignment horizontal="center" vertical="center" wrapText="1"/>
    </xf>
    <xf numFmtId="165" fontId="0" fillId="0" borderId="23" xfId="15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3" fontId="0" fillId="0" borderId="0" xfId="15" applyFont="1" applyBorder="1" applyAlignment="1">
      <alignment horizontal="center" vertical="center" wrapText="1"/>
    </xf>
    <xf numFmtId="43" fontId="0" fillId="0" borderId="2" xfId="15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workbookViewId="0" topLeftCell="B11">
      <selection activeCell="C41" sqref="C41"/>
    </sheetView>
  </sheetViews>
  <sheetFormatPr defaultColWidth="9.140625" defaultRowHeight="12.75"/>
  <cols>
    <col min="1" max="1" width="14.140625" style="199" bestFit="1" customWidth="1"/>
    <col min="2" max="2" width="15.57421875" style="199" customWidth="1"/>
    <col min="3" max="3" width="14.8515625" style="199" bestFit="1" customWidth="1"/>
    <col min="4" max="4" width="13.28125" style="199" bestFit="1" customWidth="1"/>
    <col min="5" max="5" width="14.8515625" style="199" bestFit="1" customWidth="1"/>
    <col min="6" max="6" width="15.00390625" style="199" bestFit="1" customWidth="1"/>
    <col min="7" max="7" width="12.00390625" style="199" customWidth="1"/>
    <col min="8" max="8" width="2.7109375" style="199" customWidth="1"/>
    <col min="9" max="12" width="9.140625" style="199" customWidth="1"/>
  </cols>
  <sheetData>
    <row r="1" spans="1:12" ht="12.75">
      <c r="A1" s="371" t="s">
        <v>110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2.7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2" ht="12.75">
      <c r="A3" s="371" t="s">
        <v>296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2" ht="13.5" thickBot="1">
      <c r="A4" s="27"/>
      <c r="B4" s="236"/>
      <c r="C4" s="27"/>
      <c r="D4" s="27"/>
      <c r="E4" s="27"/>
      <c r="F4" s="27"/>
      <c r="G4" s="27"/>
      <c r="H4" s="27"/>
      <c r="I4" s="60"/>
      <c r="J4" s="27"/>
      <c r="K4" s="27"/>
      <c r="L4" s="27"/>
    </row>
    <row r="5" spans="1:60" ht="15" customHeight="1" thickTop="1">
      <c r="A5" s="237" t="s">
        <v>101</v>
      </c>
      <c r="B5" s="238" t="s">
        <v>53</v>
      </c>
      <c r="C5" s="369"/>
      <c r="D5" s="369"/>
      <c r="E5" s="370"/>
      <c r="F5" s="370"/>
      <c r="G5" s="237"/>
      <c r="H5" s="237"/>
      <c r="I5" s="369" t="s">
        <v>107</v>
      </c>
      <c r="J5" s="369"/>
      <c r="K5" s="369"/>
      <c r="L5" s="369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12" ht="12.75">
      <c r="A6" s="41" t="s">
        <v>41</v>
      </c>
      <c r="B6" s="239" t="s">
        <v>108</v>
      </c>
      <c r="C6" s="368" t="s">
        <v>101</v>
      </c>
      <c r="D6" s="368"/>
      <c r="E6" s="240"/>
      <c r="F6" s="240"/>
      <c r="G6" s="239" t="s">
        <v>109</v>
      </c>
      <c r="H6" s="239"/>
      <c r="I6" s="241"/>
      <c r="J6" s="241"/>
      <c r="K6" s="241"/>
      <c r="L6" s="241" t="s">
        <v>168</v>
      </c>
    </row>
    <row r="7" spans="1:12" ht="13.5" thickBot="1">
      <c r="A7" s="67" t="s">
        <v>154</v>
      </c>
      <c r="B7" s="242" t="s">
        <v>109</v>
      </c>
      <c r="C7" s="64" t="s">
        <v>102</v>
      </c>
      <c r="D7" s="64" t="s">
        <v>178</v>
      </c>
      <c r="E7" s="64" t="s">
        <v>54</v>
      </c>
      <c r="F7" s="64" t="s">
        <v>66</v>
      </c>
      <c r="G7" s="64"/>
      <c r="H7" s="64"/>
      <c r="I7" s="242" t="s">
        <v>101</v>
      </c>
      <c r="J7" s="242" t="s">
        <v>54</v>
      </c>
      <c r="K7" s="243" t="s">
        <v>66</v>
      </c>
      <c r="L7" s="243" t="s">
        <v>106</v>
      </c>
    </row>
    <row r="8" spans="1:12" ht="12.75">
      <c r="A8" s="41" t="s">
        <v>0</v>
      </c>
      <c r="B8" s="244">
        <f aca="true" t="shared" si="0" ref="B8:G8">SUM(B10:B37)</f>
        <v>9927447930.189999</v>
      </c>
      <c r="C8" s="244">
        <f t="shared" si="0"/>
        <v>5259952001.969999</v>
      </c>
      <c r="D8" s="244">
        <f t="shared" si="0"/>
        <v>201137025.9</v>
      </c>
      <c r="E8" s="244">
        <f t="shared" si="0"/>
        <v>3735338038.1500006</v>
      </c>
      <c r="F8" s="244">
        <f t="shared" si="0"/>
        <v>660266284.36</v>
      </c>
      <c r="G8" s="244">
        <f t="shared" si="0"/>
        <v>70754579.80999997</v>
      </c>
      <c r="H8" s="244"/>
      <c r="I8" s="245">
        <f>IF(B8&lt;&gt;0,((+C8+D8)/B8),(IF(C8&lt;&gt;0,1,0)))</f>
        <v>0.5500999920898584</v>
      </c>
      <c r="J8" s="245">
        <f>IF($B8&lt;&gt;0,(E8/$B8),(IF(E8&lt;&gt;0,1,0)))</f>
        <v>0.37626367465404686</v>
      </c>
      <c r="K8" s="245">
        <f>IF($B8&lt;&gt;0,(F8/$B8),(IF(F8&lt;&gt;0,1,0)))</f>
        <v>0.06650916620293604</v>
      </c>
      <c r="L8" s="245">
        <f>IF($B8&lt;&gt;0,(G8/$B8),(IF(G8&lt;&gt;0,1,0)))</f>
        <v>0.007127167053158829</v>
      </c>
    </row>
    <row r="9" spans="1:12" ht="12.75">
      <c r="A9" s="246"/>
      <c r="B9" s="247"/>
      <c r="C9" s="247"/>
      <c r="D9" s="38"/>
      <c r="E9" s="241"/>
      <c r="F9" s="241"/>
      <c r="G9" s="241"/>
      <c r="H9" s="241"/>
      <c r="I9" s="248"/>
      <c r="J9" s="351"/>
      <c r="K9" s="248"/>
      <c r="L9" s="248"/>
    </row>
    <row r="10" spans="1:12" ht="12.75">
      <c r="A10" s="27" t="s">
        <v>1</v>
      </c>
      <c r="B10" s="153">
        <f aca="true" t="shared" si="1" ref="B10:B28">SUM(C10:G10)</f>
        <v>102108978</v>
      </c>
      <c r="C10" s="247">
        <f>'table 2'!C11+table4!C11+table5!C11</f>
        <v>26561529.71</v>
      </c>
      <c r="D10" s="38">
        <f>'table 2'!D11+table4!D11+table5!D11+'table 6'!C12+'table 6'!D12+'table 6'!F12+'table 6'!E12</f>
        <v>3891903.2699999996</v>
      </c>
      <c r="E10" s="247">
        <f>'table 2'!E11+table4!E11+table5!E11+'table 6'!G12</f>
        <v>56516409.63</v>
      </c>
      <c r="F10" s="38">
        <f>'table 2'!F11+table4!F11+table5!F11+'table 6'!I12</f>
        <v>12477980.48</v>
      </c>
      <c r="G10" s="65">
        <f>table4!G11+table5!G11+'table 6'!K12+'table 2'!G11</f>
        <v>2661154.91</v>
      </c>
      <c r="H10" s="249"/>
      <c r="I10" s="250">
        <f>IF(B10&lt;&gt;0,((+C10+D10)/B10*100),(IF(C10&lt;&gt;0,1,0)))</f>
        <v>29.82444205836631</v>
      </c>
      <c r="J10" s="250">
        <f aca="true" t="shared" si="2" ref="J10:L14">IF($B10&lt;&gt;0,(E10/$B10*100),(IF(E10&lt;&gt;0,1,0)))</f>
        <v>55.34910909596999</v>
      </c>
      <c r="K10" s="250">
        <f t="shared" si="2"/>
        <v>12.220257928739626</v>
      </c>
      <c r="L10" s="250">
        <f t="shared" si="2"/>
        <v>2.606190916924073</v>
      </c>
    </row>
    <row r="11" spans="1:12" ht="12.75">
      <c r="A11" s="27" t="s">
        <v>2</v>
      </c>
      <c r="B11" s="153">
        <f t="shared" si="1"/>
        <v>799417641.86</v>
      </c>
      <c r="C11" s="247">
        <f>'table 2'!C12+table4!C12+table5!C12</f>
        <v>473903700</v>
      </c>
      <c r="D11" s="38">
        <f>'table 2'!D12+table4!D12+table5!D12+'table 6'!C13+'table 6'!D13+'table 6'!F13+'table 6'!E13</f>
        <v>15512982.53</v>
      </c>
      <c r="E11" s="247">
        <f>'table 2'!E12+table4!E12+table5!E12+'table 6'!G13</f>
        <v>240728316.41000003</v>
      </c>
      <c r="F11" s="38">
        <f>'table 2'!F12+table4!F12+table5!F12+'table 6'!I13</f>
        <v>44473667.919999994</v>
      </c>
      <c r="G11" s="65">
        <f>table4!G12+table5!G12+'table 6'!K13+'table 2'!G12</f>
        <v>24798975</v>
      </c>
      <c r="H11" s="153"/>
      <c r="I11" s="250">
        <f>IF(B11&lt;&gt;0,((+C11+D11)/B11*100),(IF(C11&lt;&gt;0,1,0)))</f>
        <v>61.221651475100956</v>
      </c>
      <c r="J11" s="250">
        <f t="shared" si="2"/>
        <v>30.112960210622692</v>
      </c>
      <c r="K11" s="250">
        <f t="shared" si="2"/>
        <v>5.563258250909174</v>
      </c>
      <c r="L11" s="250">
        <f t="shared" si="2"/>
        <v>3.1021300633671753</v>
      </c>
    </row>
    <row r="12" spans="1:12" ht="12.75">
      <c r="A12" s="27" t="s">
        <v>3</v>
      </c>
      <c r="B12" s="153">
        <f t="shared" si="1"/>
        <v>1046377374.2199998</v>
      </c>
      <c r="C12" s="247">
        <f>'table 2'!C13+table4!C13+table5!C13</f>
        <v>225298272.48</v>
      </c>
      <c r="D12" s="38">
        <f>'table 2'!D13+table4!D13+table5!D13+'table 6'!C14+'table 6'!D14+'table 6'!F14+'table 6'!E14</f>
        <v>15742972.950000001</v>
      </c>
      <c r="E12" s="247">
        <f>'table 2'!E13+table4!E13+table5!E13+'table 6'!G14</f>
        <v>656196150.9999999</v>
      </c>
      <c r="F12" s="38">
        <f>'table 2'!F13+table4!F13+table5!F13+'table 6'!I14</f>
        <v>147471453.04000002</v>
      </c>
      <c r="G12" s="65">
        <f>table4!G13+table5!G13+'table 6'!K14+'table 2'!G13</f>
        <v>1668524.75</v>
      </c>
      <c r="H12" s="153"/>
      <c r="I12" s="250">
        <f>IF(B12&lt;&gt;0,((+C12+D12)/B12*100),(IF(C12&lt;&gt;0,1,0)))</f>
        <v>23.035785307349478</v>
      </c>
      <c r="J12" s="250">
        <f t="shared" si="2"/>
        <v>62.7112327891405</v>
      </c>
      <c r="K12" s="250">
        <f t="shared" si="2"/>
        <v>14.093524637794234</v>
      </c>
      <c r="L12" s="250">
        <f t="shared" si="2"/>
        <v>0.15945726571580038</v>
      </c>
    </row>
    <row r="13" spans="1:12" ht="12.75">
      <c r="A13" s="27" t="s">
        <v>4</v>
      </c>
      <c r="B13" s="153">
        <f t="shared" si="1"/>
        <v>1149161764.32</v>
      </c>
      <c r="C13" s="247">
        <f>'table 2'!C14+table4!C14+table5!C14</f>
        <v>606405194.79</v>
      </c>
      <c r="D13" s="38">
        <f>'table 2'!D14+table4!D14+table5!D14+'table 6'!C15+'table 6'!D15+'table 6'!F15+'table 6'!E15</f>
        <v>19808621.779999997</v>
      </c>
      <c r="E13" s="247">
        <f>'table 2'!E14+table4!E14+table5!E14+'table 6'!G15</f>
        <v>411853256.03999996</v>
      </c>
      <c r="F13" s="38">
        <f>'table 2'!F14+table4!F14+table5!F14+'table 6'!I15</f>
        <v>76806567.71</v>
      </c>
      <c r="G13" s="65">
        <f>table4!G14+table5!G14+'table 6'!K15+'table 2'!G14</f>
        <v>34288124</v>
      </c>
      <c r="H13" s="153"/>
      <c r="I13" s="250">
        <f>IF(B13&lt;&gt;0,((+C13+D13)/B13*100),(IF(C13&lt;&gt;0,1,0)))</f>
        <v>54.49309540337457</v>
      </c>
      <c r="J13" s="250">
        <f t="shared" si="2"/>
        <v>35.839450008477115</v>
      </c>
      <c r="K13" s="250">
        <f t="shared" si="2"/>
        <v>6.6837037303837885</v>
      </c>
      <c r="L13" s="250">
        <f t="shared" si="2"/>
        <v>2.9837508577645293</v>
      </c>
    </row>
    <row r="14" spans="1:12" ht="12.75">
      <c r="A14" s="27" t="s">
        <v>5</v>
      </c>
      <c r="B14" s="153">
        <f t="shared" si="1"/>
        <v>177689443.34000003</v>
      </c>
      <c r="C14" s="247">
        <f>'table 2'!C15+table4!C15+table5!C15</f>
        <v>90790123.65</v>
      </c>
      <c r="D14" s="38">
        <f>'table 2'!D15+table4!D15+table5!D15+'table 6'!C16+'table 6'!D16+'table 6'!F16+'table 6'!E16</f>
        <v>6274603</v>
      </c>
      <c r="E14" s="247">
        <f>'table 2'!E15+table4!E15+table5!E15+'table 6'!G16</f>
        <v>72183199.92000002</v>
      </c>
      <c r="F14" s="38">
        <f>'table 2'!F15+table4!F15+table5!F15+'table 6'!I16</f>
        <v>8441516.770000001</v>
      </c>
      <c r="G14" s="65">
        <f>table4!G15+table5!G15+'table 6'!K16+'table 2'!G15</f>
        <v>0</v>
      </c>
      <c r="H14" s="153"/>
      <c r="I14" s="250">
        <f>IF(B14&lt;&gt;0,((+C14+D14)/B14*100),(IF(C14&lt;&gt;0,1,0)))</f>
        <v>54.62605139927835</v>
      </c>
      <c r="J14" s="250">
        <f t="shared" si="2"/>
        <v>40.62323487720146</v>
      </c>
      <c r="K14" s="250">
        <f t="shared" si="2"/>
        <v>4.750713723520183</v>
      </c>
      <c r="L14" s="250">
        <f t="shared" si="2"/>
        <v>0</v>
      </c>
    </row>
    <row r="15" spans="1:12" ht="12.75">
      <c r="A15" s="27"/>
      <c r="B15" s="153"/>
      <c r="C15" s="38"/>
      <c r="D15" s="38"/>
      <c r="E15" s="65"/>
      <c r="F15" s="38"/>
      <c r="G15" s="38"/>
      <c r="H15" s="153"/>
      <c r="I15" s="250"/>
      <c r="J15" s="250"/>
      <c r="K15" s="250"/>
      <c r="L15" s="250"/>
    </row>
    <row r="16" spans="1:12" ht="12.75">
      <c r="A16" s="27" t="s">
        <v>6</v>
      </c>
      <c r="B16" s="153">
        <f t="shared" si="1"/>
        <v>50537459.849999994</v>
      </c>
      <c r="C16" s="247">
        <f>'table 2'!C17+table4!C17+table5!C17</f>
        <v>11824368.05</v>
      </c>
      <c r="D16" s="38">
        <f>'table 2'!D17+table4!D17+table5!D17+'table 6'!C18+'table 6'!D18+'table 6'!F18+'table 6'!E18</f>
        <v>1417076.3399999999</v>
      </c>
      <c r="E16" s="247">
        <f>'table 2'!E17+table4!E17+table5!E17+'table 6'!G18</f>
        <v>31343261.209999997</v>
      </c>
      <c r="F16" s="38">
        <f>'table 2'!F17+table4!F17+table5!F17+'table 6'!I18</f>
        <v>5145862.390000001</v>
      </c>
      <c r="G16" s="65">
        <f>table4!G17+table5!G17+'table 6'!K18+'table 2'!G17</f>
        <v>806891.86</v>
      </c>
      <c r="H16" s="153"/>
      <c r="I16" s="250">
        <f>IF(B16&lt;&gt;0,((+C16+D16)/B16*100),(IF(C16&lt;&gt;0,1,0)))</f>
        <v>26.20124642057965</v>
      </c>
      <c r="J16" s="250">
        <f aca="true" t="shared" si="3" ref="J16:L20">IF($B16&lt;&gt;0,(E16/$B16*100),(IF(E16&lt;&gt;0,1,0)))</f>
        <v>62.01985874048634</v>
      </c>
      <c r="K16" s="250">
        <f t="shared" si="3"/>
        <v>10.182273516067907</v>
      </c>
      <c r="L16" s="250">
        <f t="shared" si="3"/>
        <v>1.5966213228661117</v>
      </c>
    </row>
    <row r="17" spans="1:12" ht="12.75">
      <c r="A17" s="27" t="s">
        <v>7</v>
      </c>
      <c r="B17" s="153">
        <f t="shared" si="1"/>
        <v>291534870.98</v>
      </c>
      <c r="C17" s="247">
        <f>'table 2'!C18+table4!C18+table5!C18</f>
        <v>146882252</v>
      </c>
      <c r="D17" s="38">
        <f>'table 2'!D18+table4!D18+table5!D18+'table 6'!C19+'table 6'!D19+'table 6'!F19+'table 6'!E19</f>
        <v>5898040</v>
      </c>
      <c r="E17" s="247">
        <f>'table 2'!E18+table4!E18+table5!E18+'table 6'!G19</f>
        <v>124777842.31</v>
      </c>
      <c r="F17" s="38">
        <f>'table 2'!F18+table4!F18+table5!F18+'table 6'!I19</f>
        <v>13467919.67</v>
      </c>
      <c r="G17" s="65">
        <f>table4!G18+table5!G18+'table 6'!K19+'table 2'!G18</f>
        <v>508817</v>
      </c>
      <c r="H17" s="153"/>
      <c r="I17" s="250">
        <f>IF(B17&lt;&gt;0,((+C17+D17)/B17*100),(IF(C17&lt;&gt;0,1,0)))</f>
        <v>52.405494919501784</v>
      </c>
      <c r="J17" s="250">
        <f t="shared" si="3"/>
        <v>42.800314724120966</v>
      </c>
      <c r="K17" s="250">
        <f t="shared" si="3"/>
        <v>4.619659948303039</v>
      </c>
      <c r="L17" s="250">
        <f t="shared" si="3"/>
        <v>0.17453040807420464</v>
      </c>
    </row>
    <row r="18" spans="1:12" ht="12.75">
      <c r="A18" s="27" t="s">
        <v>8</v>
      </c>
      <c r="B18" s="153">
        <f t="shared" si="1"/>
        <v>154338238.83</v>
      </c>
      <c r="C18" s="247">
        <f>'table 2'!C19+table4!C19+table5!C19</f>
        <v>65762152.63</v>
      </c>
      <c r="D18" s="38">
        <f>'table 2'!D19+table4!D19+table5!D19+'table 6'!C20+'table 6'!D20+'table 6'!F20+'table 6'!E20</f>
        <v>3638072.6800000006</v>
      </c>
      <c r="E18" s="247">
        <f>'table 2'!E19+table4!E19+table5!E19+'table 6'!G20</f>
        <v>74514049.85</v>
      </c>
      <c r="F18" s="38">
        <f>'table 2'!F19+table4!F19+table5!F19+'table 6'!I20</f>
        <v>10417870.52</v>
      </c>
      <c r="G18" s="65">
        <f>table4!G19+table5!G19+'table 6'!K20+'table 2'!G19</f>
        <v>6093.15</v>
      </c>
      <c r="H18" s="153"/>
      <c r="I18" s="250">
        <f>IF(B18&lt;&gt;0,((+C18+D18)/B18*100),(IF(C18&lt;&gt;0,1,0)))</f>
        <v>44.96631932313465</v>
      </c>
      <c r="J18" s="250">
        <f t="shared" si="3"/>
        <v>48.27970722931178</v>
      </c>
      <c r="K18" s="250">
        <f t="shared" si="3"/>
        <v>6.75002552768212</v>
      </c>
      <c r="L18" s="250">
        <f t="shared" si="3"/>
        <v>0.003947919871439937</v>
      </c>
    </row>
    <row r="19" spans="1:12" ht="12.75">
      <c r="A19" s="27" t="s">
        <v>9</v>
      </c>
      <c r="B19" s="153">
        <f t="shared" si="1"/>
        <v>266685638.57000002</v>
      </c>
      <c r="C19" s="247">
        <f>'table 2'!C20+table4!C20+table5!C20</f>
        <v>124591607.25</v>
      </c>
      <c r="D19" s="38">
        <f>'table 2'!D20+table4!D20+table5!D20+'table 6'!C21+'table 6'!D21+'table 6'!F21+'table 6'!E21</f>
        <v>7808668.790000001</v>
      </c>
      <c r="E19" s="247">
        <f>'table 2'!E20+table4!E20+table5!E20+'table 6'!G21</f>
        <v>119471154.81</v>
      </c>
      <c r="F19" s="38">
        <f>'table 2'!F20+table4!F20+table5!F20+'table 6'!I21</f>
        <v>14814207.720000003</v>
      </c>
      <c r="G19" s="65">
        <f>table4!G20+table5!G20+'table 6'!K21+'table 2'!G20</f>
        <v>0</v>
      </c>
      <c r="H19" s="153"/>
      <c r="I19" s="250">
        <f>IF(B19&lt;&gt;0,((+C19+D19)/B19*100),(IF(C19&lt;&gt;0,1,0)))</f>
        <v>49.64657142767266</v>
      </c>
      <c r="J19" s="250">
        <f t="shared" si="3"/>
        <v>44.798495881</v>
      </c>
      <c r="K19" s="250">
        <f t="shared" si="3"/>
        <v>5.554932691327339</v>
      </c>
      <c r="L19" s="250">
        <f t="shared" si="3"/>
        <v>0</v>
      </c>
    </row>
    <row r="20" spans="1:12" ht="12.75">
      <c r="A20" s="27" t="s">
        <v>10</v>
      </c>
      <c r="B20" s="153">
        <f t="shared" si="1"/>
        <v>50546847.370000005</v>
      </c>
      <c r="C20" s="247">
        <f>'table 2'!C21+table4!C21+table5!C21</f>
        <v>18632579</v>
      </c>
      <c r="D20" s="38">
        <f>'table 2'!D21+table4!D21+table5!D21+'table 6'!C22+'table 6'!D22+'table 6'!F22+'table 6'!E22</f>
        <v>1463801.6099999999</v>
      </c>
      <c r="E20" s="247">
        <f>'table 2'!E21+table4!E21+table5!E21+'table 6'!G22</f>
        <v>24242754.45</v>
      </c>
      <c r="F20" s="38">
        <f>'table 2'!F21+table4!F21+table5!F21+'table 6'!I22</f>
        <v>6207712.3100000005</v>
      </c>
      <c r="G20" s="65">
        <f>table4!G21+table5!G21+'table 6'!K22+'table 2'!G21</f>
        <v>0</v>
      </c>
      <c r="H20" s="153"/>
      <c r="I20" s="250">
        <f>IF(B20&lt;&gt;0,((+C20+D20)/B20*100),(IF(C20&lt;&gt;0,1,0)))</f>
        <v>39.757930821868385</v>
      </c>
      <c r="J20" s="250">
        <f t="shared" si="3"/>
        <v>47.960962377226885</v>
      </c>
      <c r="K20" s="250">
        <f t="shared" si="3"/>
        <v>12.281106800904723</v>
      </c>
      <c r="L20" s="250">
        <f t="shared" si="3"/>
        <v>0</v>
      </c>
    </row>
    <row r="21" spans="1:12" ht="12.75">
      <c r="A21" s="27"/>
      <c r="B21" s="153"/>
      <c r="C21" s="38"/>
      <c r="D21" s="38"/>
      <c r="E21" s="65"/>
      <c r="F21" s="38"/>
      <c r="G21" s="38"/>
      <c r="H21" s="153"/>
      <c r="I21" s="250"/>
      <c r="J21" s="250"/>
      <c r="K21" s="250"/>
      <c r="L21" s="250"/>
    </row>
    <row r="22" spans="1:12" ht="12.75">
      <c r="A22" s="27" t="s">
        <v>11</v>
      </c>
      <c r="B22" s="153">
        <f t="shared" si="1"/>
        <v>410387210.69</v>
      </c>
      <c r="C22" s="247">
        <f>'table 2'!C23+table4!C23+table5!C23</f>
        <v>222708370.75</v>
      </c>
      <c r="D22" s="38">
        <f>'table 2'!D23+table4!D23+table5!D23+'table 6'!C24+'table 6'!D24+'table 6'!F24+'table 6'!E24</f>
        <v>10216150.17</v>
      </c>
      <c r="E22" s="247">
        <f>'table 2'!E23+table4!E23+table5!E23+'table 6'!G24</f>
        <v>159983615.45000005</v>
      </c>
      <c r="F22" s="38">
        <f>'table 2'!F23+table4!F23+table5!F23+'table 6'!I24</f>
        <v>17479074.320000004</v>
      </c>
      <c r="G22" s="65">
        <f>table4!G23+table5!G23+'table 6'!K24+'table 2'!G23</f>
        <v>0</v>
      </c>
      <c r="H22" s="153"/>
      <c r="I22" s="250">
        <f>IF(B22&lt;&gt;0,((+C22+D22)/B22*100),(IF(C22&lt;&gt;0,1,0)))</f>
        <v>56.75725628203055</v>
      </c>
      <c r="J22" s="250">
        <f aca="true" t="shared" si="4" ref="J22:L26">IF($B22&lt;&gt;0,(E22/$B22*100),(IF(E22&lt;&gt;0,1,0)))</f>
        <v>38.98357728570863</v>
      </c>
      <c r="K22" s="250">
        <f t="shared" si="4"/>
        <v>4.2591664322608285</v>
      </c>
      <c r="L22" s="250">
        <f t="shared" si="4"/>
        <v>0</v>
      </c>
    </row>
    <row r="23" spans="1:12" ht="12.75">
      <c r="A23" s="27" t="s">
        <v>12</v>
      </c>
      <c r="B23" s="153">
        <f t="shared" si="1"/>
        <v>49139400.419999994</v>
      </c>
      <c r="C23" s="247">
        <f>'table 2'!C24+table4!C24+table5!C24</f>
        <v>19856783.06</v>
      </c>
      <c r="D23" s="38">
        <f>'table 2'!D24+table4!D24+table5!D24+'table 6'!C25+'table 6'!D25+'table 6'!F25+'table 6'!E25</f>
        <v>1327933.76</v>
      </c>
      <c r="E23" s="247">
        <f>'table 2'!E24+table4!E24+table5!E24+'table 6'!G25</f>
        <v>22561825.259999998</v>
      </c>
      <c r="F23" s="38">
        <f>'table 2'!F24+table4!F24+table5!F24+'table 6'!I25</f>
        <v>5154282.08</v>
      </c>
      <c r="G23" s="65">
        <f>table4!G24+table5!G24+'table 6'!K25+'table 2'!G24</f>
        <v>238576.26</v>
      </c>
      <c r="H23" s="153"/>
      <c r="I23" s="250">
        <f>IF(B23&lt;&gt;0,((+C23+D23)/B23*100),(IF(C23&lt;&gt;0,1,0)))</f>
        <v>43.11146786271676</v>
      </c>
      <c r="J23" s="250">
        <f t="shared" si="4"/>
        <v>45.913920534563985</v>
      </c>
      <c r="K23" s="250">
        <f t="shared" si="4"/>
        <v>10.489102504193722</v>
      </c>
      <c r="L23" s="250">
        <f t="shared" si="4"/>
        <v>0.4855090985255453</v>
      </c>
    </row>
    <row r="24" spans="1:12" ht="12.75">
      <c r="A24" s="27" t="s">
        <v>13</v>
      </c>
      <c r="B24" s="153">
        <f t="shared" si="1"/>
        <v>394795250.56</v>
      </c>
      <c r="C24" s="247">
        <f>'table 2'!C25+table4!C25+table5!C25</f>
        <v>187635206</v>
      </c>
      <c r="D24" s="38">
        <f>'table 2'!D25+table4!D25+table5!D25+'table 6'!C26+'table 6'!D26+'table 6'!F26+'table 6'!E26</f>
        <v>9520549.36</v>
      </c>
      <c r="E24" s="247">
        <f>'table 2'!E25+table4!E25+table5!E25+'table 6'!G26</f>
        <v>173181257.75999996</v>
      </c>
      <c r="F24" s="38">
        <f>'table 2'!F25+table4!F25+table5!F25+'table 6'!I26</f>
        <v>21412102.84</v>
      </c>
      <c r="G24" s="65">
        <f>table4!G25+table5!G25+'table 6'!K26+'table 2'!G25</f>
        <v>3046134.6</v>
      </c>
      <c r="H24" s="153"/>
      <c r="I24" s="250">
        <f>IF(B24&lt;&gt;0,((+C24+D24)/B24*100),(IF(C24&lt;&gt;0,1,0)))</f>
        <v>49.93873535214598</v>
      </c>
      <c r="J24" s="250">
        <f t="shared" si="4"/>
        <v>43.86609451718323</v>
      </c>
      <c r="K24" s="250">
        <f t="shared" si="4"/>
        <v>5.42359686688932</v>
      </c>
      <c r="L24" s="250">
        <f t="shared" si="4"/>
        <v>0.771573263781464</v>
      </c>
    </row>
    <row r="25" spans="1:12" ht="12.75">
      <c r="A25" s="27" t="s">
        <v>14</v>
      </c>
      <c r="B25" s="153">
        <f t="shared" si="1"/>
        <v>629347453.38</v>
      </c>
      <c r="C25" s="247">
        <f>'table 2'!C26+table4!C26+table5!C26</f>
        <v>437273777</v>
      </c>
      <c r="D25" s="38">
        <f>'table 2'!D26+table4!D26+table5!D26+'table 6'!C27+'table 6'!D27+'table 6'!F27+'table 6'!E27</f>
        <v>13445023.61</v>
      </c>
      <c r="E25" s="247">
        <f>'table 2'!E26+table4!E26+table5!E26+'table 6'!G27</f>
        <v>159379282.87999997</v>
      </c>
      <c r="F25" s="38">
        <f>'table 2'!F26+table4!F26+table5!F26+'table 6'!I27</f>
        <v>19147008.09</v>
      </c>
      <c r="G25" s="65">
        <f>table4!G26+table5!G26+'table 6'!K27+'table 2'!G26</f>
        <v>102361.8</v>
      </c>
      <c r="H25" s="153"/>
      <c r="I25" s="250">
        <f>IF(B25&lt;&gt;0,((+C25+D25)/B25*100),(IF(C25&lt;&gt;0,1,0)))</f>
        <v>71.6168466543164</v>
      </c>
      <c r="J25" s="250">
        <f t="shared" si="4"/>
        <v>25.324529721067567</v>
      </c>
      <c r="K25" s="250">
        <f t="shared" si="4"/>
        <v>3.042358873014941</v>
      </c>
      <c r="L25" s="250">
        <f t="shared" si="4"/>
        <v>0.01626475160108322</v>
      </c>
    </row>
    <row r="26" spans="1:12" ht="12.75">
      <c r="A26" s="27" t="s">
        <v>15</v>
      </c>
      <c r="B26" s="153">
        <f t="shared" si="1"/>
        <v>29959144.700000003</v>
      </c>
      <c r="C26" s="247">
        <f>'table 2'!C27+table4!C27+table5!C27</f>
        <v>15442135.040000001</v>
      </c>
      <c r="D26" s="38">
        <f>'table 2'!D27+table4!D27+table5!D27+'table 6'!C28+'table 6'!D28+'table 6'!F28+'table 6'!E28</f>
        <v>772145</v>
      </c>
      <c r="E26" s="247">
        <f>'table 2'!E27+table4!E27+table5!E27+'table 6'!G28</f>
        <v>10731171.17</v>
      </c>
      <c r="F26" s="38">
        <f>'table 2'!F27+table4!F27+table5!F27+'table 6'!I28</f>
        <v>3013693.49</v>
      </c>
      <c r="G26" s="65">
        <f>table4!G27+table5!G27+'table 6'!K28+'table 2'!G27</f>
        <v>0</v>
      </c>
      <c r="H26" s="153"/>
      <c r="I26" s="250">
        <f>IF(B26&lt;&gt;0,((+C26+D26)/B26*100),(IF(C26&lt;&gt;0,1,0)))</f>
        <v>54.12130487156397</v>
      </c>
      <c r="J26" s="250">
        <f t="shared" si="4"/>
        <v>35.81935091090901</v>
      </c>
      <c r="K26" s="250">
        <f t="shared" si="4"/>
        <v>10.059344217527011</v>
      </c>
      <c r="L26" s="250">
        <f t="shared" si="4"/>
        <v>0</v>
      </c>
    </row>
    <row r="27" spans="1:12" ht="12.75">
      <c r="A27" s="27"/>
      <c r="B27" s="153"/>
      <c r="C27" s="38"/>
      <c r="D27" s="38"/>
      <c r="E27" s="65"/>
      <c r="F27" s="38"/>
      <c r="G27" s="38"/>
      <c r="H27" s="153"/>
      <c r="I27" s="250"/>
      <c r="J27" s="250"/>
      <c r="K27" s="250"/>
      <c r="L27" s="250"/>
    </row>
    <row r="28" spans="1:12" ht="12.75">
      <c r="A28" s="27" t="s">
        <v>16</v>
      </c>
      <c r="B28" s="153">
        <f t="shared" si="1"/>
        <v>2030314773.94</v>
      </c>
      <c r="C28" s="247">
        <f>'table 2'!C29+table4!C29+table5!C29</f>
        <v>1538771351.69</v>
      </c>
      <c r="D28" s="38">
        <f>'table 2'!D29+table4!D29+table5!D29+'table 6'!C30+'table 6'!D30+'table 6'!F30+'table 6'!E30</f>
        <v>36131984.06</v>
      </c>
      <c r="E28" s="247">
        <f>'table 2'!E29+table4!E29+table5!E29+'table 6'!G30</f>
        <v>367666599.22999996</v>
      </c>
      <c r="F28" s="38">
        <f>'table 2'!F29+table4!F29+table5!F29+'table 6'!I30</f>
        <v>86705388.42999999</v>
      </c>
      <c r="G28" s="65">
        <f>table4!G29+table5!G29+'table 6'!K30+'table 2'!G29</f>
        <v>1039450.53</v>
      </c>
      <c r="H28" s="153"/>
      <c r="I28" s="250">
        <f>IF(B28&lt;&gt;0,((+C28+D28)/B28*100),(IF(C28&lt;&gt;0,1,0)))</f>
        <v>77.56941711524686</v>
      </c>
      <c r="J28" s="250">
        <f aca="true" t="shared" si="5" ref="J28:L32">IF($B28&lt;&gt;0,(E28/$B28*100),(IF(E28&lt;&gt;0,1,0)))</f>
        <v>18.10884715755239</v>
      </c>
      <c r="K28" s="250">
        <f t="shared" si="5"/>
        <v>4.270539206181352</v>
      </c>
      <c r="L28" s="250">
        <f t="shared" si="5"/>
        <v>0.051196521019391344</v>
      </c>
    </row>
    <row r="29" spans="1:12" ht="12.75">
      <c r="A29" s="27" t="s">
        <v>17</v>
      </c>
      <c r="B29" s="153">
        <f aca="true" t="shared" si="6" ref="B29:B37">SUM(C29:G29)</f>
        <v>1522967140.7799997</v>
      </c>
      <c r="C29" s="247">
        <f>'table 2'!C30+table4!C30+table5!C30</f>
        <v>671923244.31</v>
      </c>
      <c r="D29" s="38">
        <f>'table 2'!D30+table4!D30+table5!D30+'table 6'!C31+'table 6'!D31+'table 6'!F31+'table 6'!E31</f>
        <v>30469522.35</v>
      </c>
      <c r="E29" s="247">
        <f>'table 2'!E30+table4!E30+table5!E30+'table 6'!G31</f>
        <v>715275639.1399999</v>
      </c>
      <c r="F29" s="38">
        <f>'table 2'!F30+table4!F30+table5!F30+'table 6'!I31</f>
        <v>105298734.98000002</v>
      </c>
      <c r="G29" s="65">
        <f>table4!G30+table5!G30+'table 6'!K31+'table 2'!G30</f>
        <v>0</v>
      </c>
      <c r="H29" s="153"/>
      <c r="I29" s="250">
        <f>IF(B29&lt;&gt;0,((+C29+D29)/B29*100),(IF(C29&lt;&gt;0,1,0)))</f>
        <v>46.1200210990937</v>
      </c>
      <c r="J29" s="250">
        <f t="shared" si="5"/>
        <v>46.965927234232105</v>
      </c>
      <c r="K29" s="250">
        <f t="shared" si="5"/>
        <v>6.914051666674202</v>
      </c>
      <c r="L29" s="250">
        <f t="shared" si="5"/>
        <v>0</v>
      </c>
    </row>
    <row r="30" spans="1:12" ht="12.75">
      <c r="A30" s="27" t="s">
        <v>18</v>
      </c>
      <c r="B30" s="153">
        <f t="shared" si="6"/>
        <v>75618986.55</v>
      </c>
      <c r="C30" s="247">
        <f>'table 2'!C31+table4!C31+table5!C31</f>
        <v>43492114.84</v>
      </c>
      <c r="D30" s="38">
        <f>'table 2'!D31+table4!D31+table5!D31+'table 6'!C32+'table 6'!D32+'table 6'!F32+'table 6'!E32</f>
        <v>1997899.23</v>
      </c>
      <c r="E30" s="247">
        <f>'table 2'!E31+table4!E31+table5!E31+'table 6'!G32</f>
        <v>25358462.52</v>
      </c>
      <c r="F30" s="38">
        <f>'table 2'!F31+table4!F31+table5!F31+'table 6'!I32</f>
        <v>4735390.99</v>
      </c>
      <c r="G30" s="65">
        <f>table4!G31+table5!G31+'table 6'!K32+'table 2'!G31</f>
        <v>35118.97</v>
      </c>
      <c r="H30" s="153"/>
      <c r="I30" s="250">
        <f>IF(B30&lt;&gt;0,((+C30+D30)/B30*100),(IF(C30&lt;&gt;0,1,0)))</f>
        <v>60.15686819595443</v>
      </c>
      <c r="J30" s="250">
        <f t="shared" si="5"/>
        <v>33.53451782011485</v>
      </c>
      <c r="K30" s="250">
        <f t="shared" si="5"/>
        <v>6.262171983578376</v>
      </c>
      <c r="L30" s="250">
        <f t="shared" si="5"/>
        <v>0.04644200035235728</v>
      </c>
    </row>
    <row r="31" spans="1:12" ht="12.75">
      <c r="A31" s="27" t="s">
        <v>19</v>
      </c>
      <c r="B31" s="153">
        <f t="shared" si="6"/>
        <v>168601465.73000002</v>
      </c>
      <c r="C31" s="247">
        <f>'table 2'!C32+table4!C32+table5!C32</f>
        <v>79244746.55</v>
      </c>
      <c r="D31" s="38">
        <f>'table 2'!D32+table4!D32+table5!D32+'table 6'!C33+'table 6'!D33+'table 6'!F33+'table 6'!E33</f>
        <v>3441836.25</v>
      </c>
      <c r="E31" s="247">
        <f>'table 2'!E32+table4!E32+table5!E32+'table 6'!G33</f>
        <v>71563922.36000001</v>
      </c>
      <c r="F31" s="38">
        <f>'table 2'!F32+table4!F32+table5!F32+'table 6'!I33</f>
        <v>14170476.16</v>
      </c>
      <c r="G31" s="65">
        <f>table4!G32+table5!G32+'table 6'!K33+'table 2'!G32</f>
        <v>180484.41</v>
      </c>
      <c r="H31" s="153"/>
      <c r="I31" s="250">
        <f>IF(B31&lt;&gt;0,((+C31+D31)/B31*100),(IF(C31&lt;&gt;0,1,0)))</f>
        <v>49.04262394279245</v>
      </c>
      <c r="J31" s="250">
        <f t="shared" si="5"/>
        <v>42.44561104504462</v>
      </c>
      <c r="K31" s="250">
        <f t="shared" si="5"/>
        <v>8.404717063784448</v>
      </c>
      <c r="L31" s="250">
        <f t="shared" si="5"/>
        <v>0.10704794837847344</v>
      </c>
    </row>
    <row r="32" spans="1:12" ht="12.75">
      <c r="A32" s="27" t="s">
        <v>20</v>
      </c>
      <c r="B32" s="153">
        <f t="shared" si="6"/>
        <v>32464318.849999998</v>
      </c>
      <c r="C32" s="247">
        <f>'table 2'!C33+table4!C33+table5!C33</f>
        <v>9593602.99</v>
      </c>
      <c r="D32" s="38">
        <f>'table 2'!D33+table4!D33+table5!D33+'table 6'!C34+'table 6'!D34+'table 6'!F34+'table 6'!E34</f>
        <v>742132.03</v>
      </c>
      <c r="E32" s="247">
        <f>'table 2'!E33+table4!E33+table5!E33+'table 6'!G34</f>
        <v>17627587.509999998</v>
      </c>
      <c r="F32" s="38">
        <f>'table 2'!F33+table4!F33+table5!F33+'table 6'!I34</f>
        <v>4500996.32</v>
      </c>
      <c r="G32" s="65">
        <f>table4!G33+table5!G33+'table 6'!K34+'table 2'!G33</f>
        <v>0</v>
      </c>
      <c r="H32" s="153"/>
      <c r="I32" s="250">
        <f>IF(B32&lt;&gt;0,((+C32+D32)/B32*100),(IF(C32&lt;&gt;0,1,0)))</f>
        <v>31.83721509068409</v>
      </c>
      <c r="J32" s="250">
        <f t="shared" si="5"/>
        <v>54.29834394939107</v>
      </c>
      <c r="K32" s="250">
        <f t="shared" si="5"/>
        <v>13.86444095992484</v>
      </c>
      <c r="L32" s="250">
        <f t="shared" si="5"/>
        <v>0</v>
      </c>
    </row>
    <row r="33" spans="1:12" ht="12.75" customHeight="1">
      <c r="A33" s="27"/>
      <c r="B33" s="153"/>
      <c r="C33" s="38"/>
      <c r="D33" s="38"/>
      <c r="E33" s="65"/>
      <c r="F33" s="38"/>
      <c r="G33" s="38"/>
      <c r="H33" s="153"/>
      <c r="I33" s="27"/>
      <c r="J33" s="27"/>
      <c r="K33" s="27"/>
      <c r="L33" s="27"/>
    </row>
    <row r="34" spans="1:12" ht="12.75">
      <c r="A34" s="27" t="s">
        <v>21</v>
      </c>
      <c r="B34" s="153">
        <f t="shared" si="6"/>
        <v>44719636.26</v>
      </c>
      <c r="C34" s="247">
        <f>'table 2'!C35+table4!C35+table5!C35</f>
        <v>28724156.5</v>
      </c>
      <c r="D34" s="38">
        <f>'table 2'!D35+table4!D35+table5!D35+'table 6'!C36+'table 6'!D36+'table 6'!F36+'table 6'!E36</f>
        <v>1392341.9800000002</v>
      </c>
      <c r="E34" s="247">
        <f>'table 2'!E35+table4!E35+table5!E35+'table 6'!G36</f>
        <v>11418979.399999999</v>
      </c>
      <c r="F34" s="38">
        <f>'table 2'!F35+table4!F35+table5!F35+'table 6'!I36</f>
        <v>3168577.3799999994</v>
      </c>
      <c r="G34" s="65">
        <f>table4!G35+table5!G35+'table 6'!K36+'table 2'!G35</f>
        <v>15581</v>
      </c>
      <c r="H34" s="153"/>
      <c r="I34" s="250">
        <f>IF(B34&lt;&gt;0,((+C34+D34)/B34*100),(IF(C34&lt;&gt;0,1,0)))</f>
        <v>67.34513291857441</v>
      </c>
      <c r="J34" s="250">
        <f aca="true" t="shared" si="7" ref="J34:L37">IF($B34&lt;&gt;0,(E34/$B34*100),(IF(E34&lt;&gt;0,1,0)))</f>
        <v>25.534598120633277</v>
      </c>
      <c r="K34" s="250">
        <f t="shared" si="7"/>
        <v>7.085427443054073</v>
      </c>
      <c r="L34" s="250">
        <f t="shared" si="7"/>
        <v>0.03484151773823037</v>
      </c>
    </row>
    <row r="35" spans="1:12" ht="12.75">
      <c r="A35" s="27" t="s">
        <v>22</v>
      </c>
      <c r="B35" s="153">
        <f t="shared" si="6"/>
        <v>200431248.72999996</v>
      </c>
      <c r="C35" s="247">
        <f>'table 2'!C36+table4!C36+table5!C36</f>
        <v>89023583</v>
      </c>
      <c r="D35" s="38">
        <f>'table 2'!D36+table4!D36+table5!D36+'table 6'!C37+'table 6'!D37+'table 6'!F37+'table 6'!E37</f>
        <v>4912409.16</v>
      </c>
      <c r="E35" s="247">
        <f>'table 2'!E36+table4!E36+table5!E36+'table 6'!G37</f>
        <v>91488133.30999999</v>
      </c>
      <c r="F35" s="38">
        <f>'table 2'!F36+table4!F36+table5!F36+'table 6'!I37</f>
        <v>14594650.41</v>
      </c>
      <c r="G35" s="65">
        <f>table4!G36+table5!G36+'table 6'!K37+'table 2'!G36</f>
        <v>412472.85</v>
      </c>
      <c r="H35" s="153"/>
      <c r="I35" s="250">
        <f>IF(B35&lt;&gt;0,((+C35+D35)/B35*100),(IF(C35&lt;&gt;0,1,0)))</f>
        <v>46.86693953922362</v>
      </c>
      <c r="J35" s="250">
        <f t="shared" si="7"/>
        <v>45.64564352599691</v>
      </c>
      <c r="K35" s="250">
        <f t="shared" si="7"/>
        <v>7.281624248951514</v>
      </c>
      <c r="L35" s="250">
        <f t="shared" si="7"/>
        <v>0.20579268582796703</v>
      </c>
    </row>
    <row r="36" spans="1:12" ht="12.75">
      <c r="A36" s="27" t="s">
        <v>23</v>
      </c>
      <c r="B36" s="153">
        <f t="shared" si="6"/>
        <v>157223636.63</v>
      </c>
      <c r="C36" s="247">
        <f>'table 2'!C37+table4!C37+table5!C37</f>
        <v>61738224.44</v>
      </c>
      <c r="D36" s="38">
        <f>'table 2'!D37+table4!D37+table5!D37+'table 6'!C38+'table 6'!D38+'table 6'!F38+'table 6'!E38</f>
        <v>3813065.1500000004</v>
      </c>
      <c r="E36" s="247">
        <f>'table 2'!E37+table4!E37+table5!E37+'table 6'!G38</f>
        <v>77110852.17</v>
      </c>
      <c r="F36" s="38">
        <f>'table 2'!F37+table4!F37+table5!F37+'table 6'!I38</f>
        <v>13615676.15</v>
      </c>
      <c r="G36" s="65">
        <f>table4!G37+table5!G37+'table 6'!K38+'table 2'!G37</f>
        <v>945818.72</v>
      </c>
      <c r="H36" s="153"/>
      <c r="I36" s="250">
        <f>IF(B36&lt;&gt;0,((+C36+D36)/B36*100),(IF(C36&lt;&gt;0,1,0)))</f>
        <v>41.69302465904932</v>
      </c>
      <c r="J36" s="250">
        <f t="shared" si="7"/>
        <v>49.04533047500213</v>
      </c>
      <c r="K36" s="250">
        <f t="shared" si="7"/>
        <v>8.66006946655372</v>
      </c>
      <c r="L36" s="250">
        <f t="shared" si="7"/>
        <v>0.6015753993948307</v>
      </c>
    </row>
    <row r="37" spans="1:12" ht="12.75">
      <c r="A37" s="40" t="s">
        <v>24</v>
      </c>
      <c r="B37" s="251">
        <f t="shared" si="6"/>
        <v>93080005.63000001</v>
      </c>
      <c r="C37" s="252">
        <f>'table 2'!C38+table4!C38+table5!C38</f>
        <v>63872926.24</v>
      </c>
      <c r="D37" s="34">
        <f>'table 2'!D38+table4!D38+table5!D38+'table 6'!C39+'table 6'!D39+'table 6'!F39+'table 6'!E39</f>
        <v>1497290.8400000003</v>
      </c>
      <c r="E37" s="252">
        <f>'table 2'!E38+table4!E38+table5!E38+'table 6'!G39</f>
        <v>20164314.360000003</v>
      </c>
      <c r="F37" s="34">
        <f>'table 2'!F38+table4!F38+table5!F38+'table 6'!I39</f>
        <v>7545474.1899999995</v>
      </c>
      <c r="G37" s="253">
        <f>table4!G38+table5!G38+'table 6'!K39+'table 2'!G38</f>
        <v>0</v>
      </c>
      <c r="H37" s="251"/>
      <c r="I37" s="254">
        <f>IF(B37&lt;&gt;0,((+C37+D37)/B37*100),(IF(C37&lt;&gt;0,1,0)))</f>
        <v>70.23013872587364</v>
      </c>
      <c r="J37" s="254">
        <f t="shared" si="7"/>
        <v>21.663421938493066</v>
      </c>
      <c r="K37" s="254">
        <f t="shared" si="7"/>
        <v>8.106439335633288</v>
      </c>
      <c r="L37" s="254">
        <f t="shared" si="7"/>
        <v>0</v>
      </c>
    </row>
    <row r="38" spans="1:12" ht="12.75">
      <c r="A38" s="255" t="s">
        <v>179</v>
      </c>
      <c r="B38" s="27"/>
      <c r="C38" s="247"/>
      <c r="D38" s="27"/>
      <c r="E38" s="27"/>
      <c r="F38" s="27"/>
      <c r="G38" s="27"/>
      <c r="H38" s="27"/>
      <c r="I38" s="250"/>
      <c r="J38" s="250"/>
      <c r="K38" s="250"/>
      <c r="L38" s="250"/>
    </row>
    <row r="39" spans="1:12" ht="12.75">
      <c r="A39" s="72" t="s">
        <v>264</v>
      </c>
      <c r="I39" s="256"/>
      <c r="J39" s="256"/>
      <c r="K39" s="256"/>
      <c r="L39" s="256"/>
    </row>
    <row r="40" spans="1:12" ht="12.75">
      <c r="A40" s="235"/>
      <c r="I40" s="256"/>
      <c r="J40" s="256"/>
      <c r="K40" s="256"/>
      <c r="L40" s="256"/>
    </row>
    <row r="41" spans="1:12" ht="12.75">
      <c r="A41" s="235"/>
      <c r="I41" s="256"/>
      <c r="J41" s="256"/>
      <c r="K41" s="256"/>
      <c r="L41" s="256"/>
    </row>
    <row r="42" spans="9:12" ht="12.75">
      <c r="I42" s="203"/>
      <c r="J42" s="203"/>
      <c r="K42" s="203"/>
      <c r="L42" s="203"/>
    </row>
    <row r="43" spans="9:12" ht="12.75">
      <c r="I43" s="203"/>
      <c r="J43" s="203"/>
      <c r="K43" s="203"/>
      <c r="L43" s="203"/>
    </row>
  </sheetData>
  <sheetProtection password="C935" sheet="1" objects="1" scenarios="1"/>
  <mergeCells count="6">
    <mergeCell ref="C6:D6"/>
    <mergeCell ref="C5:F5"/>
    <mergeCell ref="I5:L5"/>
    <mergeCell ref="A1:L1"/>
    <mergeCell ref="A2:L2"/>
    <mergeCell ref="A3:L3"/>
  </mergeCells>
  <printOptions horizontalCentered="1"/>
  <pageMargins left="0.59" right="0.56" top="0.83" bottom="1" header="0.67" footer="0.5"/>
  <pageSetup fitToHeight="1" fitToWidth="1" horizontalDpi="600" verticalDpi="600" orientation="landscape" scale="92" r:id="rId1"/>
  <headerFooter alignWithMargins="0">
    <oddFooter>&amp;L&amp;"Arial,Italic"&amp;9MSDE-DBS  11 / 2006
&amp;C- 1 -&amp;R&amp;"Arial,Italic"&amp;9Selected Financial Data-Part 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F4">
      <selection activeCell="K17" sqref="K17"/>
    </sheetView>
  </sheetViews>
  <sheetFormatPr defaultColWidth="9.140625" defaultRowHeight="12.75"/>
  <cols>
    <col min="1" max="1" width="13.8515625" style="0" customWidth="1"/>
    <col min="2" max="2" width="11.28125" style="0" customWidth="1"/>
    <col min="3" max="3" width="11.57421875" style="0" customWidth="1"/>
    <col min="4" max="4" width="11.421875" style="0" customWidth="1"/>
    <col min="5" max="5" width="13.00390625" style="0" customWidth="1"/>
    <col min="6" max="8" width="13.57421875" style="0" customWidth="1"/>
    <col min="9" max="9" width="12.57421875" style="0" customWidth="1"/>
    <col min="10" max="10" width="12.7109375" style="0" customWidth="1"/>
    <col min="11" max="11" width="15.00390625" style="0" bestFit="1" customWidth="1"/>
    <col min="12" max="12" width="13.00390625" style="0" customWidth="1"/>
    <col min="13" max="13" width="11.140625" style="0" customWidth="1"/>
    <col min="14" max="14" width="12.28125" style="0" bestFit="1" customWidth="1"/>
  </cols>
  <sheetData>
    <row r="1" spans="1:14" ht="12.75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3" spans="1:14" s="43" customFormat="1" ht="12.75">
      <c r="A3" s="376" t="s">
        <v>281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="43" customFormat="1" ht="13.5" thickBot="1"/>
    <row r="5" spans="1:14" s="43" customFormat="1" ht="15" customHeight="1" thickTop="1">
      <c r="A5" s="101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</row>
    <row r="6" spans="1:17" s="43" customFormat="1" ht="13.5" thickBot="1">
      <c r="A6" s="394" t="s">
        <v>225</v>
      </c>
      <c r="B6" s="414" t="s">
        <v>144</v>
      </c>
      <c r="C6" s="414"/>
      <c r="D6" s="414"/>
      <c r="E6" s="139" t="s">
        <v>4</v>
      </c>
      <c r="F6" s="402" t="s">
        <v>252</v>
      </c>
      <c r="G6" s="414" t="s">
        <v>184</v>
      </c>
      <c r="H6" s="414"/>
      <c r="I6" s="414"/>
      <c r="J6" s="91"/>
      <c r="K6" s="91"/>
      <c r="L6" s="97"/>
      <c r="M6" s="97"/>
      <c r="N6" s="86"/>
      <c r="O6" s="86"/>
      <c r="P6" s="86"/>
      <c r="Q6" s="86"/>
    </row>
    <row r="7" spans="1:17" s="43" customFormat="1" ht="12.75">
      <c r="A7" s="397"/>
      <c r="B7" s="411" t="s">
        <v>25</v>
      </c>
      <c r="C7" s="410" t="s">
        <v>223</v>
      </c>
      <c r="D7" s="410"/>
      <c r="E7" s="139" t="s">
        <v>148</v>
      </c>
      <c r="F7" s="397"/>
      <c r="G7" s="403" t="s">
        <v>220</v>
      </c>
      <c r="H7" s="407" t="s">
        <v>221</v>
      </c>
      <c r="I7" s="157" t="s">
        <v>236</v>
      </c>
      <c r="J7" s="139" t="s">
        <v>42</v>
      </c>
      <c r="K7" s="139"/>
      <c r="L7" s="96" t="s">
        <v>149</v>
      </c>
      <c r="M7" s="403" t="s">
        <v>224</v>
      </c>
      <c r="N7" s="93" t="s">
        <v>234</v>
      </c>
      <c r="O7" s="86"/>
      <c r="P7" s="86"/>
      <c r="Q7" s="86"/>
    </row>
    <row r="8" spans="1:14" s="43" customFormat="1" ht="12.75" customHeight="1">
      <c r="A8" s="397"/>
      <c r="B8" s="412"/>
      <c r="C8" s="139" t="s">
        <v>145</v>
      </c>
      <c r="D8" s="139" t="s">
        <v>84</v>
      </c>
      <c r="E8" s="139" t="s">
        <v>150</v>
      </c>
      <c r="F8" s="397"/>
      <c r="G8" s="397"/>
      <c r="H8" s="408"/>
      <c r="I8" s="317" t="s">
        <v>237</v>
      </c>
      <c r="J8" s="96" t="s">
        <v>43</v>
      </c>
      <c r="K8" s="96" t="s">
        <v>45</v>
      </c>
      <c r="L8" s="96" t="s">
        <v>151</v>
      </c>
      <c r="M8" s="397"/>
      <c r="N8" s="139" t="s">
        <v>193</v>
      </c>
    </row>
    <row r="9" spans="1:14" s="43" customFormat="1" ht="13.5" thickBot="1">
      <c r="A9" s="395"/>
      <c r="B9" s="413"/>
      <c r="C9" s="108" t="s">
        <v>146</v>
      </c>
      <c r="D9" s="108" t="s">
        <v>147</v>
      </c>
      <c r="E9" s="108"/>
      <c r="F9" s="395"/>
      <c r="G9" s="395"/>
      <c r="H9" s="409"/>
      <c r="I9" s="318"/>
      <c r="J9" s="108" t="s">
        <v>44</v>
      </c>
      <c r="K9" s="108" t="s">
        <v>46</v>
      </c>
      <c r="L9" s="108" t="s">
        <v>41</v>
      </c>
      <c r="M9" s="395"/>
      <c r="N9" s="108" t="s">
        <v>194</v>
      </c>
    </row>
    <row r="10" spans="1:14" s="313" customFormat="1" ht="12.75">
      <c r="A10" s="311" t="s">
        <v>0</v>
      </c>
      <c r="B10" s="319">
        <f aca="true" t="shared" si="0" ref="B10:N10">SUM(B12:B39)</f>
        <v>140703.84</v>
      </c>
      <c r="C10" s="319">
        <f t="shared" si="0"/>
        <v>113313.04</v>
      </c>
      <c r="D10" s="319">
        <f t="shared" si="0"/>
        <v>645014.1699999999</v>
      </c>
      <c r="E10" s="319">
        <f t="shared" si="0"/>
        <v>11444554</v>
      </c>
      <c r="F10" s="319">
        <f t="shared" si="0"/>
        <v>1416263.41</v>
      </c>
      <c r="G10" s="319">
        <f t="shared" si="0"/>
        <v>158718020.8</v>
      </c>
      <c r="H10" s="319">
        <f t="shared" si="0"/>
        <v>12864599.99</v>
      </c>
      <c r="I10" s="319">
        <f t="shared" si="0"/>
        <v>35000</v>
      </c>
      <c r="J10" s="319">
        <f t="shared" si="0"/>
        <v>25972.53</v>
      </c>
      <c r="K10" s="319">
        <f t="shared" si="0"/>
        <v>18381236.56</v>
      </c>
      <c r="L10" s="319">
        <f t="shared" si="0"/>
        <v>405096.42</v>
      </c>
      <c r="M10" s="319">
        <f t="shared" si="0"/>
        <v>0</v>
      </c>
      <c r="N10" s="319">
        <f t="shared" si="0"/>
        <v>284513.26</v>
      </c>
    </row>
    <row r="11" spans="1:14" s="43" customFormat="1" ht="12.75">
      <c r="A11" s="86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s="43" customFormat="1" ht="12.75">
      <c r="A12" s="43" t="s">
        <v>1</v>
      </c>
      <c r="B12" s="293">
        <v>33870</v>
      </c>
      <c r="C12" s="293">
        <v>14662</v>
      </c>
      <c r="D12" s="293">
        <v>35953</v>
      </c>
      <c r="E12" s="291">
        <v>0</v>
      </c>
      <c r="F12" s="291">
        <v>30921.31</v>
      </c>
      <c r="G12" s="290">
        <v>3014196</v>
      </c>
      <c r="H12" s="291">
        <v>158900</v>
      </c>
      <c r="I12" s="291">
        <v>0</v>
      </c>
      <c r="J12" s="291">
        <v>0</v>
      </c>
      <c r="K12" s="290">
        <v>304777</v>
      </c>
      <c r="L12" s="291">
        <v>10000</v>
      </c>
      <c r="M12" s="291">
        <v>0</v>
      </c>
      <c r="N12" s="291">
        <v>0</v>
      </c>
    </row>
    <row r="13" spans="1:14" s="43" customFormat="1" ht="12.75">
      <c r="A13" s="43" t="s">
        <v>2</v>
      </c>
      <c r="B13" s="291">
        <v>0</v>
      </c>
      <c r="C13" s="291">
        <v>0</v>
      </c>
      <c r="D13" s="291">
        <v>0</v>
      </c>
      <c r="E13" s="291">
        <v>0</v>
      </c>
      <c r="F13" s="291">
        <v>82388.92</v>
      </c>
      <c r="G13" s="290">
        <f>13547618-183</f>
        <v>13547435</v>
      </c>
      <c r="H13" s="291">
        <v>1209600</v>
      </c>
      <c r="I13" s="291">
        <v>0</v>
      </c>
      <c r="J13" s="291">
        <v>0</v>
      </c>
      <c r="K13" s="291">
        <v>1133364</v>
      </c>
      <c r="L13" s="291">
        <v>19442.51</v>
      </c>
      <c r="M13" s="291">
        <v>0</v>
      </c>
      <c r="N13" s="291">
        <v>0</v>
      </c>
    </row>
    <row r="14" spans="1:14" s="43" customFormat="1" ht="12.75">
      <c r="A14" s="43" t="s">
        <v>3</v>
      </c>
      <c r="B14" s="291">
        <v>0</v>
      </c>
      <c r="C14" s="291">
        <v>0</v>
      </c>
      <c r="D14" s="291">
        <v>0</v>
      </c>
      <c r="E14" s="291">
        <v>11444554</v>
      </c>
      <c r="F14" s="293">
        <v>59196.54</v>
      </c>
      <c r="G14" s="290">
        <v>11586472.82</v>
      </c>
      <c r="H14" s="291">
        <v>0</v>
      </c>
      <c r="I14" s="291">
        <v>0</v>
      </c>
      <c r="J14" s="291">
        <v>0</v>
      </c>
      <c r="K14" s="291">
        <v>7600530.49</v>
      </c>
      <c r="L14" s="291">
        <v>22057.5</v>
      </c>
      <c r="M14" s="291">
        <v>0</v>
      </c>
      <c r="N14" s="291">
        <v>13216.23</v>
      </c>
    </row>
    <row r="15" spans="1:14" s="43" customFormat="1" ht="12.75">
      <c r="A15" s="43" t="s">
        <v>4</v>
      </c>
      <c r="B15" s="293">
        <v>27237</v>
      </c>
      <c r="C15" s="293">
        <v>0</v>
      </c>
      <c r="D15" s="291">
        <v>90080</v>
      </c>
      <c r="E15" s="291">
        <v>0</v>
      </c>
      <c r="F15" s="291">
        <v>161303.92</v>
      </c>
      <c r="G15" s="290">
        <v>17107523</v>
      </c>
      <c r="H15" s="291">
        <v>2179800</v>
      </c>
      <c r="I15" s="291">
        <v>0</v>
      </c>
      <c r="J15" s="291">
        <v>0</v>
      </c>
      <c r="K15" s="290">
        <v>1041055</v>
      </c>
      <c r="L15" s="291">
        <v>19885</v>
      </c>
      <c r="M15" s="290"/>
      <c r="N15" s="293">
        <v>148336.33</v>
      </c>
    </row>
    <row r="16" spans="1:14" s="43" customFormat="1" ht="12.75">
      <c r="A16" s="43" t="s">
        <v>5</v>
      </c>
      <c r="B16" s="293">
        <v>4085</v>
      </c>
      <c r="C16" s="293">
        <v>12249</v>
      </c>
      <c r="D16" s="291">
        <v>32443</v>
      </c>
      <c r="E16" s="291">
        <v>0</v>
      </c>
      <c r="F16" s="291">
        <v>28490.68</v>
      </c>
      <c r="G16" s="290">
        <v>3669101</v>
      </c>
      <c r="H16" s="291">
        <v>163100</v>
      </c>
      <c r="I16" s="291">
        <v>0</v>
      </c>
      <c r="J16" s="291">
        <v>0</v>
      </c>
      <c r="K16" s="290">
        <v>397086</v>
      </c>
      <c r="L16" s="291">
        <v>11390.38</v>
      </c>
      <c r="M16" s="291">
        <v>0</v>
      </c>
      <c r="N16" s="291">
        <v>0</v>
      </c>
    </row>
    <row r="17" spans="2:14" s="43" customFormat="1" ht="12.75"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</row>
    <row r="18" spans="1:14" s="43" customFormat="1" ht="12.75">
      <c r="A18" s="43" t="s">
        <v>6</v>
      </c>
      <c r="B18" s="291">
        <v>0</v>
      </c>
      <c r="C18" s="291">
        <v>0</v>
      </c>
      <c r="D18" s="291">
        <v>0</v>
      </c>
      <c r="E18" s="291">
        <v>0</v>
      </c>
      <c r="F18" s="291">
        <v>21227</v>
      </c>
      <c r="G18" s="290">
        <f>1751308-74900</f>
        <v>1676408</v>
      </c>
      <c r="H18" s="291">
        <v>74900</v>
      </c>
      <c r="I18" s="291">
        <v>0</v>
      </c>
      <c r="J18" s="291">
        <v>0</v>
      </c>
      <c r="K18" s="291">
        <v>0</v>
      </c>
      <c r="L18" s="291">
        <v>9227.23</v>
      </c>
      <c r="M18" s="291">
        <v>0</v>
      </c>
      <c r="N18" s="291">
        <v>0</v>
      </c>
    </row>
    <row r="19" spans="1:14" s="43" customFormat="1" ht="12.75">
      <c r="A19" s="43" t="s">
        <v>7</v>
      </c>
      <c r="B19" s="293">
        <v>9843.63</v>
      </c>
      <c r="C19" s="293">
        <v>13018</v>
      </c>
      <c r="D19" s="293">
        <v>56754</v>
      </c>
      <c r="E19" s="291">
        <v>0</v>
      </c>
      <c r="F19" s="291">
        <v>22625.5</v>
      </c>
      <c r="G19" s="290">
        <v>6279703</v>
      </c>
      <c r="H19" s="291">
        <v>398300</v>
      </c>
      <c r="I19" s="290">
        <v>0</v>
      </c>
      <c r="J19" s="290">
        <v>0</v>
      </c>
      <c r="K19" s="291">
        <v>150202</v>
      </c>
      <c r="L19" s="291">
        <v>13570</v>
      </c>
      <c r="M19" s="291">
        <v>0</v>
      </c>
      <c r="N19" s="145">
        <v>11030.88</v>
      </c>
    </row>
    <row r="20" spans="1:14" s="43" customFormat="1" ht="12.75">
      <c r="A20" s="43" t="s">
        <v>8</v>
      </c>
      <c r="B20" s="291">
        <v>0</v>
      </c>
      <c r="C20" s="291">
        <v>0</v>
      </c>
      <c r="D20" s="291">
        <v>0</v>
      </c>
      <c r="E20" s="291">
        <v>0</v>
      </c>
      <c r="F20" s="291">
        <v>43373.95</v>
      </c>
      <c r="G20" s="291">
        <v>3290611.01</v>
      </c>
      <c r="H20" s="290">
        <v>254799.99</v>
      </c>
      <c r="I20" s="291">
        <v>0</v>
      </c>
      <c r="J20" s="291">
        <v>0</v>
      </c>
      <c r="K20" s="291">
        <v>708426</v>
      </c>
      <c r="L20" s="290">
        <v>12037</v>
      </c>
      <c r="M20" s="290">
        <v>0</v>
      </c>
      <c r="N20" s="291">
        <v>0</v>
      </c>
    </row>
    <row r="21" spans="1:14" s="43" customFormat="1" ht="12.75">
      <c r="A21" s="43" t="s">
        <v>9</v>
      </c>
      <c r="B21" s="293">
        <v>11100</v>
      </c>
      <c r="C21" s="293">
        <v>28992</v>
      </c>
      <c r="D21" s="293">
        <v>96276.92</v>
      </c>
      <c r="E21" s="291">
        <v>0</v>
      </c>
      <c r="F21" s="291">
        <v>40650.85</v>
      </c>
      <c r="G21" s="290">
        <f>6770231-256200</f>
        <v>6514031</v>
      </c>
      <c r="H21" s="291">
        <v>256200</v>
      </c>
      <c r="I21" s="291">
        <v>0</v>
      </c>
      <c r="J21" s="291">
        <v>0</v>
      </c>
      <c r="K21" s="291">
        <v>936207</v>
      </c>
      <c r="L21" s="291">
        <v>12789</v>
      </c>
      <c r="M21" s="291">
        <v>0</v>
      </c>
      <c r="N21" s="291">
        <v>8304.85</v>
      </c>
    </row>
    <row r="22" spans="1:14" s="43" customFormat="1" ht="12.75">
      <c r="A22" s="43" t="s">
        <v>10</v>
      </c>
      <c r="B22" s="293">
        <v>3328</v>
      </c>
      <c r="C22" s="291">
        <v>2161</v>
      </c>
      <c r="D22" s="293">
        <v>28327</v>
      </c>
      <c r="E22" s="291">
        <v>0</v>
      </c>
      <c r="F22" s="291">
        <v>29989.12</v>
      </c>
      <c r="G22" s="290">
        <v>1562753</v>
      </c>
      <c r="H22" s="291">
        <v>52500</v>
      </c>
      <c r="I22" s="291">
        <v>0</v>
      </c>
      <c r="J22" s="291">
        <v>0</v>
      </c>
      <c r="K22" s="291">
        <v>360483</v>
      </c>
      <c r="L22" s="291">
        <v>21285.24</v>
      </c>
      <c r="M22" s="291">
        <v>0</v>
      </c>
      <c r="N22" s="291">
        <v>0</v>
      </c>
    </row>
    <row r="23" spans="2:14" s="43" customFormat="1" ht="12.75">
      <c r="B23" s="291"/>
      <c r="C23" s="291"/>
      <c r="D23" s="279"/>
      <c r="E23" s="279"/>
      <c r="F23" s="291"/>
      <c r="G23" s="291"/>
      <c r="H23" s="291"/>
      <c r="I23" s="291"/>
      <c r="J23" s="291"/>
      <c r="K23" s="291"/>
      <c r="L23" s="291"/>
      <c r="M23" s="291"/>
      <c r="N23" s="291"/>
    </row>
    <row r="24" spans="1:14" s="43" customFormat="1" ht="12.75">
      <c r="A24" s="43" t="s">
        <v>11</v>
      </c>
      <c r="B24" s="293">
        <v>6123</v>
      </c>
      <c r="C24" s="293">
        <v>10831</v>
      </c>
      <c r="D24" s="293">
        <v>61339</v>
      </c>
      <c r="E24" s="291">
        <v>0</v>
      </c>
      <c r="F24" s="291">
        <v>61826.99</v>
      </c>
      <c r="G24" s="290">
        <f>7757204-455700</f>
        <v>7301504</v>
      </c>
      <c r="H24" s="291">
        <v>455700</v>
      </c>
      <c r="I24" s="291">
        <v>0</v>
      </c>
      <c r="J24" s="291">
        <v>0</v>
      </c>
      <c r="K24" s="291">
        <v>710614</v>
      </c>
      <c r="L24" s="291">
        <v>14685</v>
      </c>
      <c r="M24" s="291">
        <v>0</v>
      </c>
      <c r="N24" s="291">
        <v>0</v>
      </c>
    </row>
    <row r="25" spans="1:14" s="43" customFormat="1" ht="12.75">
      <c r="A25" s="43" t="s">
        <v>12</v>
      </c>
      <c r="B25" s="291">
        <v>0</v>
      </c>
      <c r="C25" s="291">
        <v>0</v>
      </c>
      <c r="D25" s="291">
        <v>0</v>
      </c>
      <c r="E25" s="291">
        <v>0</v>
      </c>
      <c r="F25" s="291">
        <v>23418.26</v>
      </c>
      <c r="G25" s="290">
        <v>2001499</v>
      </c>
      <c r="H25" s="291">
        <v>35700</v>
      </c>
      <c r="I25" s="290">
        <v>0</v>
      </c>
      <c r="J25" s="290">
        <v>25972.53</v>
      </c>
      <c r="K25" s="291">
        <v>272550</v>
      </c>
      <c r="L25" s="291">
        <v>10467</v>
      </c>
      <c r="M25" s="291">
        <v>0</v>
      </c>
      <c r="N25" s="291">
        <v>0</v>
      </c>
    </row>
    <row r="26" spans="1:14" s="43" customFormat="1" ht="12.75">
      <c r="A26" s="43" t="s">
        <v>13</v>
      </c>
      <c r="B26" s="291">
        <v>0</v>
      </c>
      <c r="C26" s="291">
        <v>0</v>
      </c>
      <c r="D26" s="291">
        <v>0</v>
      </c>
      <c r="E26" s="291">
        <v>0</v>
      </c>
      <c r="F26" s="291">
        <v>125876.13</v>
      </c>
      <c r="G26" s="290">
        <f>8278956-H26</f>
        <v>7869456</v>
      </c>
      <c r="H26" s="291">
        <v>409500</v>
      </c>
      <c r="I26" s="291">
        <v>0</v>
      </c>
      <c r="J26" s="291">
        <v>0</v>
      </c>
      <c r="K26" s="291">
        <v>0</v>
      </c>
      <c r="L26" s="290">
        <v>15046.69</v>
      </c>
      <c r="M26" s="291">
        <v>0</v>
      </c>
      <c r="N26" s="291">
        <v>0</v>
      </c>
    </row>
    <row r="27" spans="1:14" s="43" customFormat="1" ht="12.75">
      <c r="A27" s="43" t="s">
        <v>14</v>
      </c>
      <c r="B27" s="291">
        <v>0</v>
      </c>
      <c r="C27" s="291">
        <v>0</v>
      </c>
      <c r="D27" s="291">
        <v>0</v>
      </c>
      <c r="E27" s="291">
        <v>0</v>
      </c>
      <c r="F27" s="291">
        <v>76368.18</v>
      </c>
      <c r="G27" s="290">
        <v>9357524</v>
      </c>
      <c r="H27" s="291">
        <v>823900</v>
      </c>
      <c r="I27" s="291">
        <v>0</v>
      </c>
      <c r="J27" s="291">
        <v>0</v>
      </c>
      <c r="K27" s="291">
        <v>272244.2</v>
      </c>
      <c r="L27" s="291">
        <v>15649</v>
      </c>
      <c r="M27" s="291">
        <v>0</v>
      </c>
      <c r="N27" s="291">
        <v>0</v>
      </c>
    </row>
    <row r="28" spans="1:14" s="43" customFormat="1" ht="12.75">
      <c r="A28" s="43" t="s">
        <v>15</v>
      </c>
      <c r="B28" s="293">
        <v>2000</v>
      </c>
      <c r="C28" s="291">
        <v>0</v>
      </c>
      <c r="D28" s="293">
        <v>7263</v>
      </c>
      <c r="E28" s="291">
        <v>0</v>
      </c>
      <c r="F28" s="291">
        <v>19451.9</v>
      </c>
      <c r="G28" s="290">
        <f>1078268-32900</f>
        <v>1045368</v>
      </c>
      <c r="H28" s="291">
        <v>32900</v>
      </c>
      <c r="I28" s="291">
        <v>0</v>
      </c>
      <c r="J28" s="291">
        <v>0</v>
      </c>
      <c r="K28" s="291">
        <v>0</v>
      </c>
      <c r="L28" s="291">
        <v>20748</v>
      </c>
      <c r="M28" s="291">
        <v>0</v>
      </c>
      <c r="N28" s="291">
        <v>0</v>
      </c>
    </row>
    <row r="29" spans="2:14" s="43" customFormat="1" ht="12.75">
      <c r="B29" s="279"/>
      <c r="C29" s="291"/>
      <c r="D29" s="279"/>
      <c r="E29" s="279"/>
      <c r="F29" s="291"/>
      <c r="G29" s="291"/>
      <c r="H29" s="291"/>
      <c r="I29" s="291"/>
      <c r="J29" s="291"/>
      <c r="K29" s="291"/>
      <c r="L29" s="291"/>
      <c r="M29" s="291"/>
      <c r="N29" s="291"/>
    </row>
    <row r="30" spans="1:14" s="43" customFormat="1" ht="12.75">
      <c r="A30" s="43" t="s">
        <v>16</v>
      </c>
      <c r="B30" s="293">
        <v>0</v>
      </c>
      <c r="C30" s="291">
        <v>0</v>
      </c>
      <c r="D30" s="291">
        <v>0</v>
      </c>
      <c r="E30" s="291">
        <v>0</v>
      </c>
      <c r="F30" s="291">
        <v>239093.57</v>
      </c>
      <c r="G30" s="290">
        <f>26168520-5646200</f>
        <v>20522320</v>
      </c>
      <c r="H30" s="291">
        <v>5646200</v>
      </c>
      <c r="I30" s="291">
        <v>0</v>
      </c>
      <c r="J30" s="291">
        <v>0</v>
      </c>
      <c r="K30" s="291">
        <v>0</v>
      </c>
      <c r="L30" s="291">
        <v>26815.2</v>
      </c>
      <c r="M30" s="291">
        <v>0</v>
      </c>
      <c r="N30" s="291">
        <v>0</v>
      </c>
    </row>
    <row r="31" spans="1:14" s="43" customFormat="1" ht="12.75">
      <c r="A31" s="43" t="s">
        <v>17</v>
      </c>
      <c r="B31" s="293">
        <v>11720</v>
      </c>
      <c r="C31" s="293">
        <v>24358</v>
      </c>
      <c r="D31" s="293">
        <v>136653.74</v>
      </c>
      <c r="E31" s="291">
        <v>0</v>
      </c>
      <c r="F31" s="291">
        <v>144821.59</v>
      </c>
      <c r="G31" s="290">
        <f>24549230.97</f>
        <v>24549230.97</v>
      </c>
      <c r="H31" s="291">
        <v>0</v>
      </c>
      <c r="I31" s="291">
        <v>0</v>
      </c>
      <c r="J31" s="291">
        <v>0</v>
      </c>
      <c r="K31" s="291">
        <v>1414127.87</v>
      </c>
      <c r="L31" s="291">
        <v>27003.1</v>
      </c>
      <c r="M31" s="291">
        <v>0</v>
      </c>
      <c r="N31" s="291">
        <v>0</v>
      </c>
    </row>
    <row r="32" spans="1:14" s="43" customFormat="1" ht="12.75">
      <c r="A32" s="43" t="s">
        <v>18</v>
      </c>
      <c r="B32" s="293">
        <v>1162</v>
      </c>
      <c r="C32" s="293">
        <v>0</v>
      </c>
      <c r="D32" s="293">
        <v>13287</v>
      </c>
      <c r="E32" s="291">
        <v>0</v>
      </c>
      <c r="F32" s="291">
        <v>18010.4</v>
      </c>
      <c r="G32" s="290">
        <f>2170445-42700</f>
        <v>2127745</v>
      </c>
      <c r="H32" s="291">
        <v>42700</v>
      </c>
      <c r="I32" s="291">
        <v>0</v>
      </c>
      <c r="J32" s="291">
        <v>0</v>
      </c>
      <c r="K32" s="291">
        <v>306965</v>
      </c>
      <c r="L32" s="291">
        <v>21803.42</v>
      </c>
      <c r="M32" s="291">
        <v>0</v>
      </c>
      <c r="N32" s="291">
        <v>47924.41</v>
      </c>
    </row>
    <row r="33" spans="1:14" s="43" customFormat="1" ht="12.75">
      <c r="A33" s="43" t="s">
        <v>19</v>
      </c>
      <c r="B33" s="293">
        <v>23666</v>
      </c>
      <c r="C33" s="291">
        <v>0</v>
      </c>
      <c r="D33" s="293">
        <v>19071</v>
      </c>
      <c r="E33" s="291">
        <v>0</v>
      </c>
      <c r="F33" s="291">
        <v>39291.1</v>
      </c>
      <c r="G33" s="290">
        <f>4228945-155400</f>
        <v>4073545</v>
      </c>
      <c r="H33" s="291">
        <v>155400</v>
      </c>
      <c r="I33" s="291">
        <v>0</v>
      </c>
      <c r="J33" s="291">
        <v>0</v>
      </c>
      <c r="K33" s="291">
        <v>764132</v>
      </c>
      <c r="L33" s="290">
        <v>19952</v>
      </c>
      <c r="M33" s="290">
        <v>0</v>
      </c>
      <c r="N33" s="291">
        <v>45941.56</v>
      </c>
    </row>
    <row r="34" spans="1:14" s="43" customFormat="1" ht="12.75">
      <c r="A34" s="43" t="s">
        <v>20</v>
      </c>
      <c r="B34" s="293">
        <v>667.21</v>
      </c>
      <c r="C34" s="291">
        <v>2828.04</v>
      </c>
      <c r="D34" s="291">
        <v>13584.51</v>
      </c>
      <c r="E34" s="291">
        <v>0</v>
      </c>
      <c r="F34" s="291">
        <v>16998.15</v>
      </c>
      <c r="G34" s="290">
        <v>1212722</v>
      </c>
      <c r="H34" s="291">
        <v>37100</v>
      </c>
      <c r="I34" s="291">
        <v>35000</v>
      </c>
      <c r="J34" s="291">
        <v>0</v>
      </c>
      <c r="K34" s="291">
        <v>270947</v>
      </c>
      <c r="L34" s="291">
        <v>10900.02</v>
      </c>
      <c r="M34" s="291">
        <v>0</v>
      </c>
      <c r="N34" s="291">
        <v>0</v>
      </c>
    </row>
    <row r="35" spans="2:14" s="43" customFormat="1" ht="12.75"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</row>
    <row r="36" spans="1:14" s="43" customFormat="1" ht="12.75">
      <c r="A36" s="43" t="s">
        <v>21</v>
      </c>
      <c r="B36" s="291">
        <v>0</v>
      </c>
      <c r="C36" s="291">
        <v>0</v>
      </c>
      <c r="D36" s="291">
        <v>0</v>
      </c>
      <c r="E36" s="291">
        <v>0</v>
      </c>
      <c r="F36" s="291">
        <v>24434.47</v>
      </c>
      <c r="G36" s="290">
        <f>1064470-21700</f>
        <v>1042770</v>
      </c>
      <c r="H36" s="291">
        <v>21700</v>
      </c>
      <c r="I36" s="291">
        <v>0</v>
      </c>
      <c r="J36" s="291">
        <v>0</v>
      </c>
      <c r="K36" s="291">
        <v>275322</v>
      </c>
      <c r="L36" s="291">
        <v>15629.57</v>
      </c>
      <c r="M36" s="291">
        <v>0</v>
      </c>
      <c r="N36" s="291">
        <v>0</v>
      </c>
    </row>
    <row r="37" spans="1:14" s="43" customFormat="1" ht="12.75">
      <c r="A37" s="43" t="s">
        <v>22</v>
      </c>
      <c r="B37" s="293">
        <v>0</v>
      </c>
      <c r="C37" s="293">
        <v>0</v>
      </c>
      <c r="D37" s="293">
        <v>0</v>
      </c>
      <c r="E37" s="293">
        <v>0</v>
      </c>
      <c r="F37" s="291">
        <v>35792.41</v>
      </c>
      <c r="G37" s="290">
        <v>4138861</v>
      </c>
      <c r="H37" s="293">
        <v>212800</v>
      </c>
      <c r="I37" s="293">
        <v>0</v>
      </c>
      <c r="J37" s="291">
        <v>0</v>
      </c>
      <c r="K37" s="291">
        <v>523810</v>
      </c>
      <c r="L37" s="291">
        <v>16735.72</v>
      </c>
      <c r="M37" s="291">
        <v>0</v>
      </c>
      <c r="N37" s="291">
        <v>9759</v>
      </c>
    </row>
    <row r="38" spans="1:14" s="43" customFormat="1" ht="12.75">
      <c r="A38" s="43" t="s">
        <v>23</v>
      </c>
      <c r="B38" s="291">
        <v>3946</v>
      </c>
      <c r="C38" s="291">
        <v>4214</v>
      </c>
      <c r="D38" s="291">
        <v>33664</v>
      </c>
      <c r="E38" s="291">
        <v>0</v>
      </c>
      <c r="F38" s="291">
        <v>34001.76</v>
      </c>
      <c r="G38" s="290">
        <v>3256279</v>
      </c>
      <c r="H38" s="291">
        <v>196000</v>
      </c>
      <c r="I38" s="291">
        <v>0</v>
      </c>
      <c r="J38" s="291">
        <v>0</v>
      </c>
      <c r="K38" s="291">
        <v>691510</v>
      </c>
      <c r="L38" s="291">
        <v>16170.84</v>
      </c>
      <c r="M38" s="291">
        <v>0</v>
      </c>
      <c r="N38" s="291">
        <v>0</v>
      </c>
    </row>
    <row r="39" spans="1:14" s="43" customFormat="1" ht="12.75">
      <c r="A39" s="118" t="s">
        <v>24</v>
      </c>
      <c r="B39" s="316">
        <v>1956</v>
      </c>
      <c r="C39" s="119">
        <v>0</v>
      </c>
      <c r="D39" s="119">
        <v>20318</v>
      </c>
      <c r="E39" s="119">
        <v>0</v>
      </c>
      <c r="F39" s="119">
        <v>36710.71</v>
      </c>
      <c r="G39" s="320">
        <f>2017863-46900</f>
        <v>1970963</v>
      </c>
      <c r="H39" s="119">
        <v>46900</v>
      </c>
      <c r="I39" s="119">
        <v>0</v>
      </c>
      <c r="J39" s="119">
        <v>0</v>
      </c>
      <c r="K39" s="119">
        <v>246884</v>
      </c>
      <c r="L39" s="119">
        <v>21807</v>
      </c>
      <c r="M39" s="119">
        <v>0</v>
      </c>
      <c r="N39" s="119">
        <v>0</v>
      </c>
    </row>
    <row r="40" s="43" customFormat="1" ht="12.75"/>
    <row r="41" s="43" customFormat="1" ht="12.75">
      <c r="K41" s="196"/>
    </row>
    <row r="42" spans="7:11" s="43" customFormat="1" ht="12.75">
      <c r="G42" s="196"/>
      <c r="H42" s="196"/>
      <c r="I42" s="196"/>
      <c r="J42" s="196"/>
      <c r="K42" s="196"/>
    </row>
    <row r="43" spans="7:11" s="43" customFormat="1" ht="12.75">
      <c r="G43" s="196"/>
      <c r="H43" s="321"/>
      <c r="I43" s="321"/>
      <c r="J43" s="321"/>
      <c r="K43" s="196"/>
    </row>
    <row r="44" spans="7:11" s="43" customFormat="1" ht="12.75">
      <c r="G44" s="196"/>
      <c r="H44" s="196"/>
      <c r="I44" s="196"/>
      <c r="J44" s="196"/>
      <c r="K44" s="196"/>
    </row>
    <row r="45" spans="7:11" s="43" customFormat="1" ht="12.75">
      <c r="G45" s="196"/>
      <c r="H45" s="196"/>
      <c r="I45" s="196"/>
      <c r="J45" s="196"/>
      <c r="K45" s="196"/>
    </row>
    <row r="46" spans="7:11" s="43" customFormat="1" ht="12.75">
      <c r="G46" s="196"/>
      <c r="H46" s="196"/>
      <c r="I46" s="196"/>
      <c r="J46" s="196"/>
      <c r="K46" s="196"/>
    </row>
    <row r="47" spans="7:11" s="43" customFormat="1" ht="12.75">
      <c r="G47" s="196"/>
      <c r="H47" s="196"/>
      <c r="I47" s="196"/>
      <c r="J47" s="196"/>
      <c r="K47" s="196"/>
    </row>
  </sheetData>
  <sheetProtection password="C935" sheet="1" objects="1" scenarios="1"/>
  <mergeCells count="12">
    <mergeCell ref="A1:N1"/>
    <mergeCell ref="A3:N3"/>
    <mergeCell ref="B5:N5"/>
    <mergeCell ref="B6:D6"/>
    <mergeCell ref="G6:I6"/>
    <mergeCell ref="G7:G9"/>
    <mergeCell ref="H7:H9"/>
    <mergeCell ref="M7:M9"/>
    <mergeCell ref="A6:A9"/>
    <mergeCell ref="F6:F9"/>
    <mergeCell ref="C7:D7"/>
    <mergeCell ref="B7:B9"/>
  </mergeCells>
  <printOptions horizontalCentered="1"/>
  <pageMargins left="0.27" right="0.25" top="0.83" bottom="1" header="0.67" footer="0.5"/>
  <pageSetup fitToHeight="1" fitToWidth="1" horizontalDpi="600" verticalDpi="600" orientation="landscape" scale="76" r:id="rId1"/>
  <headerFooter alignWithMargins="0">
    <oddFooter>&amp;L&amp;"Arial,Italic"&amp;9MSDE-DBS  11 / 2006&amp;C- 10 -&amp;R&amp;"Arial,Italic"&amp;9Selected Financial Data-Part 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D23" sqref="D23"/>
    </sheetView>
  </sheetViews>
  <sheetFormatPr defaultColWidth="9.140625" defaultRowHeight="12.75"/>
  <cols>
    <col min="1" max="1" width="14.8515625" style="0" customWidth="1"/>
    <col min="2" max="2" width="14.421875" style="0" customWidth="1"/>
    <col min="3" max="3" width="10.57421875" style="0" customWidth="1"/>
    <col min="4" max="4" width="12.7109375" style="0" customWidth="1"/>
    <col min="5" max="5" width="12.28125" style="0" customWidth="1"/>
    <col min="6" max="6" width="13.00390625" style="0" customWidth="1"/>
    <col min="7" max="7" width="14.140625" style="0" customWidth="1"/>
    <col min="8" max="8" width="13.7109375" style="0" customWidth="1"/>
    <col min="9" max="9" width="12.8515625" style="0" customWidth="1"/>
    <col min="10" max="11" width="11.7109375" style="0" customWidth="1"/>
    <col min="12" max="12" width="11.57421875" style="0" customWidth="1"/>
    <col min="13" max="13" width="11.7109375" style="0" customWidth="1"/>
    <col min="14" max="14" width="11.421875" style="0" customWidth="1"/>
    <col min="15" max="15" width="14.57421875" style="0" customWidth="1"/>
    <col min="18" max="18" width="12.28125" style="0" customWidth="1"/>
  </cols>
  <sheetData>
    <row r="1" spans="1:15" ht="12.75">
      <c r="A1" s="415" t="s">
        <v>132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81"/>
    </row>
    <row r="2" spans="1:15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2.75">
      <c r="A3" s="415" t="s">
        <v>281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1:15" ht="13.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3"/>
    </row>
    <row r="5" spans="1:15" ht="15" customHeight="1" thickTop="1">
      <c r="A5" s="82"/>
      <c r="B5" s="416" t="s">
        <v>62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84"/>
    </row>
    <row r="6" spans="1:18" ht="13.5" thickBot="1">
      <c r="A6" s="3"/>
      <c r="B6" s="414" t="s">
        <v>180</v>
      </c>
      <c r="C6" s="414"/>
      <c r="D6" s="414"/>
      <c r="E6" s="414"/>
      <c r="F6" s="414"/>
      <c r="G6" s="414"/>
      <c r="H6" s="414"/>
      <c r="I6" s="414"/>
      <c r="J6" s="402" t="s">
        <v>251</v>
      </c>
      <c r="K6" s="402" t="s">
        <v>226</v>
      </c>
      <c r="L6" s="402" t="s">
        <v>232</v>
      </c>
      <c r="M6" s="402" t="s">
        <v>233</v>
      </c>
      <c r="N6" s="402" t="s">
        <v>192</v>
      </c>
      <c r="O6" s="422" t="s">
        <v>185</v>
      </c>
      <c r="P6" s="3"/>
      <c r="Q6" s="3"/>
      <c r="R6" s="3"/>
    </row>
    <row r="7" spans="1:18" ht="12.75">
      <c r="A7" s="400" t="s">
        <v>225</v>
      </c>
      <c r="B7" s="419" t="s">
        <v>214</v>
      </c>
      <c r="C7" s="423" t="s">
        <v>239</v>
      </c>
      <c r="D7" s="420" t="s">
        <v>219</v>
      </c>
      <c r="E7" s="419" t="s">
        <v>213</v>
      </c>
      <c r="F7" s="419" t="s">
        <v>215</v>
      </c>
      <c r="G7" s="399" t="s">
        <v>216</v>
      </c>
      <c r="H7" s="419" t="s">
        <v>217</v>
      </c>
      <c r="I7" s="419" t="s">
        <v>218</v>
      </c>
      <c r="J7" s="399"/>
      <c r="K7" s="399"/>
      <c r="L7" s="399"/>
      <c r="M7" s="399"/>
      <c r="N7" s="417"/>
      <c r="O7" s="399"/>
      <c r="P7" s="3"/>
      <c r="Q7" s="3"/>
      <c r="R7" s="3"/>
    </row>
    <row r="8" spans="1:18" ht="12.75">
      <c r="A8" s="399"/>
      <c r="B8" s="419"/>
      <c r="C8" s="399"/>
      <c r="D8" s="421"/>
      <c r="E8" s="419"/>
      <c r="F8" s="419"/>
      <c r="G8" s="399"/>
      <c r="H8" s="419"/>
      <c r="I8" s="419"/>
      <c r="J8" s="399"/>
      <c r="K8" s="399"/>
      <c r="L8" s="399"/>
      <c r="M8" s="399"/>
      <c r="N8" s="417"/>
      <c r="O8" s="399"/>
      <c r="P8" s="3"/>
      <c r="Q8" s="3"/>
      <c r="R8" s="3"/>
    </row>
    <row r="9" spans="1:15" ht="12.75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17"/>
      <c r="O9" s="399"/>
    </row>
    <row r="10" spans="1:15" ht="13.5" thickBot="1">
      <c r="A10" s="401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18"/>
      <c r="O10" s="401"/>
    </row>
    <row r="11" spans="1:15" s="55" customFormat="1" ht="12.75">
      <c r="A11" s="61" t="s">
        <v>0</v>
      </c>
      <c r="B11" s="296">
        <f>SUM(B13:B40)</f>
        <v>0</v>
      </c>
      <c r="C11" s="296">
        <f>SUM(C13:C40)</f>
        <v>0</v>
      </c>
      <c r="D11" s="296">
        <f aca="true" t="shared" si="0" ref="D11:O11">SUM(D13:D40)</f>
        <v>49919211.3</v>
      </c>
      <c r="E11" s="296">
        <f t="shared" si="0"/>
        <v>194940.55</v>
      </c>
      <c r="F11" s="296">
        <f t="shared" si="0"/>
        <v>19.04</v>
      </c>
      <c r="G11" s="296">
        <f t="shared" si="0"/>
        <v>104172.45</v>
      </c>
      <c r="H11" s="296">
        <f t="shared" si="0"/>
        <v>549763.05</v>
      </c>
      <c r="I11" s="296">
        <f t="shared" si="0"/>
        <v>40439.3</v>
      </c>
      <c r="J11" s="296">
        <f t="shared" si="0"/>
        <v>3357.66</v>
      </c>
      <c r="K11" s="296">
        <f>SUM(K13:K40)</f>
        <v>3291008</v>
      </c>
      <c r="L11" s="296">
        <f>SUM(L13:L40)</f>
        <v>5165647</v>
      </c>
      <c r="M11" s="296">
        <f>SUM(M13:M40)</f>
        <v>4119495.87</v>
      </c>
      <c r="N11" s="296">
        <f t="shared" si="0"/>
        <v>0</v>
      </c>
      <c r="O11" s="296">
        <f t="shared" si="0"/>
        <v>24685296.979999997</v>
      </c>
    </row>
    <row r="12" spans="1:18" ht="12.75">
      <c r="A12" s="3"/>
      <c r="B12" s="39"/>
      <c r="C12" s="39"/>
      <c r="D12" s="297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7"/>
      <c r="R12" s="5"/>
    </row>
    <row r="13" spans="1:18" ht="12.75">
      <c r="A13" t="s">
        <v>1</v>
      </c>
      <c r="B13" s="298">
        <v>0</v>
      </c>
      <c r="C13" s="298">
        <v>0</v>
      </c>
      <c r="D13" s="288">
        <v>0</v>
      </c>
      <c r="E13" s="291">
        <v>0</v>
      </c>
      <c r="F13" s="291">
        <v>0</v>
      </c>
      <c r="G13" s="293">
        <v>0</v>
      </c>
      <c r="H13" s="291">
        <v>0</v>
      </c>
      <c r="I13" s="291">
        <v>0</v>
      </c>
      <c r="J13" s="291">
        <v>0</v>
      </c>
      <c r="K13" s="291">
        <v>99008</v>
      </c>
      <c r="L13" s="291">
        <v>385312.04</v>
      </c>
      <c r="M13" s="291">
        <v>0</v>
      </c>
      <c r="N13" s="279">
        <v>0</v>
      </c>
      <c r="O13" s="279">
        <v>850231.44</v>
      </c>
      <c r="R13" s="5"/>
    </row>
    <row r="14" spans="1:18" ht="12.75">
      <c r="A14" t="s">
        <v>2</v>
      </c>
      <c r="B14" s="298">
        <v>0</v>
      </c>
      <c r="C14" s="298">
        <v>0</v>
      </c>
      <c r="D14" s="288">
        <v>2122460</v>
      </c>
      <c r="E14" s="291">
        <v>0</v>
      </c>
      <c r="F14" s="291">
        <v>0</v>
      </c>
      <c r="G14" s="291">
        <v>0</v>
      </c>
      <c r="H14" s="291">
        <v>9352.57</v>
      </c>
      <c r="I14" s="291">
        <v>0</v>
      </c>
      <c r="J14" s="291">
        <v>0</v>
      </c>
      <c r="K14" s="291">
        <v>0</v>
      </c>
      <c r="L14" s="291">
        <v>30432.65</v>
      </c>
      <c r="M14" s="291">
        <v>0</v>
      </c>
      <c r="N14" s="291">
        <v>0</v>
      </c>
      <c r="O14" s="279">
        <v>915000</v>
      </c>
      <c r="R14" s="5"/>
    </row>
    <row r="15" spans="1:18" ht="12.75">
      <c r="A15" t="s">
        <v>3</v>
      </c>
      <c r="B15" s="299">
        <v>0</v>
      </c>
      <c r="C15" s="299">
        <v>0</v>
      </c>
      <c r="D15" s="290">
        <v>3363491.02</v>
      </c>
      <c r="E15" s="291">
        <v>0</v>
      </c>
      <c r="F15" s="291">
        <v>0</v>
      </c>
      <c r="G15" s="291">
        <v>0</v>
      </c>
      <c r="H15" s="293">
        <v>0</v>
      </c>
      <c r="I15" s="291">
        <v>0</v>
      </c>
      <c r="J15" s="291">
        <v>0</v>
      </c>
      <c r="K15" s="291">
        <v>0</v>
      </c>
      <c r="L15" s="291">
        <v>293511.81</v>
      </c>
      <c r="M15" s="291">
        <v>299366.66</v>
      </c>
      <c r="N15" s="291">
        <v>0</v>
      </c>
      <c r="O15" s="279">
        <v>134109.52</v>
      </c>
      <c r="R15" s="5"/>
    </row>
    <row r="16" spans="1:18" ht="12.75">
      <c r="A16" t="s">
        <v>4</v>
      </c>
      <c r="B16" s="299">
        <v>0</v>
      </c>
      <c r="C16" s="299">
        <v>0</v>
      </c>
      <c r="D16" s="290">
        <v>3986639</v>
      </c>
      <c r="E16" s="291"/>
      <c r="F16" s="291">
        <v>0</v>
      </c>
      <c r="G16" s="291">
        <v>10221.75</v>
      </c>
      <c r="H16" s="291">
        <v>14499.28</v>
      </c>
      <c r="I16" s="293">
        <v>0</v>
      </c>
      <c r="J16" s="291">
        <v>3357.66</v>
      </c>
      <c r="K16" s="291">
        <v>0</v>
      </c>
      <c r="L16" s="291">
        <v>31659.12</v>
      </c>
      <c r="M16" s="291">
        <v>360778.56</v>
      </c>
      <c r="N16" s="291">
        <v>0</v>
      </c>
      <c r="O16" s="279">
        <v>6848720.039999999</v>
      </c>
      <c r="R16" s="5"/>
    </row>
    <row r="17" spans="1:18" ht="12.75">
      <c r="A17" t="s">
        <v>5</v>
      </c>
      <c r="B17" s="299">
        <v>0</v>
      </c>
      <c r="C17" s="299">
        <v>0</v>
      </c>
      <c r="D17" s="290">
        <v>201465</v>
      </c>
      <c r="E17" s="291">
        <v>0</v>
      </c>
      <c r="F17" s="291">
        <v>0</v>
      </c>
      <c r="G17" s="293">
        <v>0</v>
      </c>
      <c r="H17" s="291">
        <v>0</v>
      </c>
      <c r="I17" s="291">
        <v>0</v>
      </c>
      <c r="J17" s="293">
        <v>0</v>
      </c>
      <c r="K17" s="293">
        <v>0</v>
      </c>
      <c r="L17" s="293">
        <v>378709.82</v>
      </c>
      <c r="M17" s="291">
        <v>0</v>
      </c>
      <c r="N17" s="279">
        <v>0</v>
      </c>
      <c r="O17" s="279">
        <v>554148.54</v>
      </c>
      <c r="R17" s="5"/>
    </row>
    <row r="18" spans="2:18" ht="12.75">
      <c r="B18" s="299"/>
      <c r="C18" s="299"/>
      <c r="D18" s="288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/>
      <c r="R18" s="5"/>
    </row>
    <row r="19" spans="1:18" ht="12.75">
      <c r="A19" t="s">
        <v>6</v>
      </c>
      <c r="B19" s="299">
        <v>0</v>
      </c>
      <c r="C19" s="299">
        <v>0</v>
      </c>
      <c r="D19" s="288">
        <v>0</v>
      </c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173">
        <v>463000</v>
      </c>
      <c r="L19" s="291">
        <v>373374.84</v>
      </c>
      <c r="M19" s="291">
        <v>0</v>
      </c>
      <c r="N19" s="291">
        <v>0</v>
      </c>
      <c r="O19" s="279">
        <v>818715.7</v>
      </c>
      <c r="R19" s="5"/>
    </row>
    <row r="20" spans="1:18" ht="12.75">
      <c r="A20" t="s">
        <v>7</v>
      </c>
      <c r="B20" s="299">
        <v>0</v>
      </c>
      <c r="C20" s="299">
        <v>0</v>
      </c>
      <c r="D20" s="288">
        <v>154162</v>
      </c>
      <c r="E20" s="291">
        <v>0</v>
      </c>
      <c r="F20" s="291">
        <v>0</v>
      </c>
      <c r="G20" s="291">
        <v>0</v>
      </c>
      <c r="H20" s="291">
        <v>0</v>
      </c>
      <c r="I20" s="291">
        <v>0</v>
      </c>
      <c r="J20" s="291">
        <v>0</v>
      </c>
      <c r="K20" s="291">
        <v>37000</v>
      </c>
      <c r="L20" s="291">
        <v>46707.09</v>
      </c>
      <c r="M20" s="291">
        <v>370230.16</v>
      </c>
      <c r="N20" s="291">
        <v>0</v>
      </c>
      <c r="O20" s="279">
        <v>468037.86</v>
      </c>
      <c r="R20" s="5"/>
    </row>
    <row r="21" spans="1:18" ht="12.75">
      <c r="A21" t="s">
        <v>8</v>
      </c>
      <c r="B21" s="299">
        <v>0</v>
      </c>
      <c r="C21" s="299">
        <v>0</v>
      </c>
      <c r="D21" s="288">
        <v>222885</v>
      </c>
      <c r="E21" s="291">
        <v>0</v>
      </c>
      <c r="F21" s="291">
        <v>0</v>
      </c>
      <c r="G21" s="291">
        <v>0</v>
      </c>
      <c r="H21" s="293">
        <v>0</v>
      </c>
      <c r="I21" s="291">
        <v>0</v>
      </c>
      <c r="J21" s="291">
        <v>0</v>
      </c>
      <c r="K21" s="291">
        <v>0</v>
      </c>
      <c r="L21" s="291">
        <v>38119.92</v>
      </c>
      <c r="M21" s="291">
        <v>296113.81</v>
      </c>
      <c r="N21" s="291">
        <v>0</v>
      </c>
      <c r="O21" s="279">
        <v>209977.82</v>
      </c>
      <c r="R21" s="5"/>
    </row>
    <row r="22" spans="1:18" ht="12.75">
      <c r="A22" t="s">
        <v>9</v>
      </c>
      <c r="B22" s="299">
        <v>0</v>
      </c>
      <c r="C22" s="299">
        <v>0</v>
      </c>
      <c r="D22" s="288">
        <v>388770</v>
      </c>
      <c r="E22" s="279">
        <v>0</v>
      </c>
      <c r="F22" s="291">
        <v>0</v>
      </c>
      <c r="G22" s="291">
        <v>0</v>
      </c>
      <c r="H22" s="291">
        <v>0</v>
      </c>
      <c r="I22" s="291">
        <v>0</v>
      </c>
      <c r="J22" s="291">
        <v>0</v>
      </c>
      <c r="K22" s="291">
        <v>139000</v>
      </c>
      <c r="L22" s="291">
        <v>409710.6</v>
      </c>
      <c r="M22" s="291">
        <v>349884.54</v>
      </c>
      <c r="N22" s="291">
        <v>0</v>
      </c>
      <c r="O22" s="279">
        <v>541996.37</v>
      </c>
      <c r="R22" s="5"/>
    </row>
    <row r="23" spans="1:18" ht="12.75">
      <c r="A23" t="s">
        <v>10</v>
      </c>
      <c r="B23" s="299">
        <v>0</v>
      </c>
      <c r="C23" s="299">
        <v>0</v>
      </c>
      <c r="D23" s="288">
        <v>183658</v>
      </c>
      <c r="E23" s="279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136000</v>
      </c>
      <c r="L23" s="291">
        <v>340571.72</v>
      </c>
      <c r="M23" s="291">
        <v>0</v>
      </c>
      <c r="N23" s="291"/>
      <c r="O23" s="279">
        <v>500</v>
      </c>
      <c r="R23" s="5"/>
    </row>
    <row r="24" spans="2:18" ht="12.75">
      <c r="B24" s="299"/>
      <c r="C24" s="299"/>
      <c r="D24" s="43"/>
      <c r="E24" s="279"/>
      <c r="F24" s="279"/>
      <c r="G24" s="291"/>
      <c r="H24" s="291"/>
      <c r="I24" s="291"/>
      <c r="J24" s="291"/>
      <c r="K24" s="291"/>
      <c r="L24" s="43"/>
      <c r="M24" s="291"/>
      <c r="N24" s="291"/>
      <c r="O24" s="279"/>
      <c r="R24" s="5"/>
    </row>
    <row r="25" spans="1:18" ht="12.75">
      <c r="A25" t="s">
        <v>11</v>
      </c>
      <c r="B25" s="299">
        <v>0</v>
      </c>
      <c r="C25" s="299">
        <v>0</v>
      </c>
      <c r="D25" s="288">
        <v>1059050</v>
      </c>
      <c r="E25" s="279">
        <v>0</v>
      </c>
      <c r="F25" s="279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53000</v>
      </c>
      <c r="L25" s="291">
        <v>469837.06</v>
      </c>
      <c r="M25" s="291">
        <v>0</v>
      </c>
      <c r="N25" s="291">
        <v>0</v>
      </c>
      <c r="O25" s="279">
        <v>572894.3</v>
      </c>
      <c r="R25" s="5"/>
    </row>
    <row r="26" spans="1:18" ht="12.75">
      <c r="A26" t="s">
        <v>12</v>
      </c>
      <c r="B26" s="299">
        <v>0</v>
      </c>
      <c r="C26" s="299">
        <v>0</v>
      </c>
      <c r="D26" s="288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7000</v>
      </c>
      <c r="L26" s="291">
        <v>17898.1</v>
      </c>
      <c r="M26" s="291">
        <v>292941.49</v>
      </c>
      <c r="N26" s="291">
        <v>0</v>
      </c>
      <c r="O26" s="279">
        <v>130567.52</v>
      </c>
      <c r="R26" s="5"/>
    </row>
    <row r="27" spans="1:18" ht="12.75">
      <c r="A27" t="s">
        <v>13</v>
      </c>
      <c r="B27" s="299">
        <v>0</v>
      </c>
      <c r="C27" s="299">
        <v>0</v>
      </c>
      <c r="D27" s="91">
        <v>634786.01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47000</v>
      </c>
      <c r="L27" s="291">
        <v>47333.44</v>
      </c>
      <c r="M27" s="291">
        <v>0</v>
      </c>
      <c r="N27" s="291">
        <v>0</v>
      </c>
      <c r="O27" s="279">
        <v>1607915.87</v>
      </c>
      <c r="R27" s="5"/>
    </row>
    <row r="28" spans="1:18" ht="12.75">
      <c r="A28" t="s">
        <v>14</v>
      </c>
      <c r="B28" s="299">
        <v>0</v>
      </c>
      <c r="C28" s="299">
        <v>0</v>
      </c>
      <c r="D28" s="288">
        <v>2384183</v>
      </c>
      <c r="E28" s="291">
        <v>0</v>
      </c>
      <c r="F28" s="291">
        <v>19.04</v>
      </c>
      <c r="G28" s="293">
        <v>0</v>
      </c>
      <c r="H28" s="291">
        <v>5384.29</v>
      </c>
      <c r="I28" s="291">
        <v>0</v>
      </c>
      <c r="J28" s="291">
        <v>0</v>
      </c>
      <c r="K28" s="291">
        <v>53000</v>
      </c>
      <c r="L28" s="291">
        <v>38917</v>
      </c>
      <c r="M28" s="291">
        <v>322299.95</v>
      </c>
      <c r="N28" s="291">
        <v>0</v>
      </c>
      <c r="O28" s="279">
        <v>30392.89</v>
      </c>
      <c r="R28" s="5"/>
    </row>
    <row r="29" spans="1:18" ht="12.75">
      <c r="A29" t="s">
        <v>15</v>
      </c>
      <c r="B29" s="299">
        <v>0</v>
      </c>
      <c r="C29" s="299">
        <v>0</v>
      </c>
      <c r="D29" s="288">
        <v>0</v>
      </c>
      <c r="E29" s="291">
        <v>0</v>
      </c>
      <c r="F29" s="291">
        <v>0</v>
      </c>
      <c r="G29" s="291">
        <v>0</v>
      </c>
      <c r="H29" s="291">
        <v>0</v>
      </c>
      <c r="I29" s="291">
        <v>0</v>
      </c>
      <c r="J29" s="291">
        <v>0</v>
      </c>
      <c r="K29" s="291">
        <v>0</v>
      </c>
      <c r="L29" s="291">
        <v>332632.25</v>
      </c>
      <c r="M29" s="291">
        <v>0</v>
      </c>
      <c r="N29" s="291">
        <v>0</v>
      </c>
      <c r="O29" s="279">
        <v>685911.13</v>
      </c>
      <c r="Q29" s="156"/>
      <c r="R29" s="5"/>
    </row>
    <row r="30" spans="2:18" ht="12.75">
      <c r="B30" s="299"/>
      <c r="C30" s="299"/>
      <c r="D30" s="288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/>
      <c r="R30" s="5"/>
    </row>
    <row r="31" spans="1:18" ht="12.75">
      <c r="A31" t="s">
        <v>16</v>
      </c>
      <c r="B31" s="299">
        <v>0</v>
      </c>
      <c r="C31" s="299">
        <v>0</v>
      </c>
      <c r="D31" s="288">
        <v>18609484</v>
      </c>
      <c r="E31" s="291">
        <v>0</v>
      </c>
      <c r="F31" s="291">
        <v>0</v>
      </c>
      <c r="G31" s="291">
        <v>0</v>
      </c>
      <c r="H31" s="291">
        <v>0</v>
      </c>
      <c r="I31" s="291">
        <v>0</v>
      </c>
      <c r="J31" s="291">
        <v>0</v>
      </c>
      <c r="K31" s="291">
        <v>1385000</v>
      </c>
      <c r="L31" s="291">
        <v>363351.63</v>
      </c>
      <c r="M31" s="291">
        <v>487538.61</v>
      </c>
      <c r="N31" s="291">
        <v>0</v>
      </c>
      <c r="O31" s="279">
        <v>1450719.4</v>
      </c>
      <c r="R31" s="5"/>
    </row>
    <row r="32" spans="1:18" ht="12.75">
      <c r="A32" t="s">
        <v>17</v>
      </c>
      <c r="B32" s="299">
        <v>0</v>
      </c>
      <c r="C32" s="299">
        <v>0</v>
      </c>
      <c r="D32" s="288">
        <v>14806684.27</v>
      </c>
      <c r="E32" s="291">
        <v>194940.55</v>
      </c>
      <c r="F32" s="291">
        <v>0</v>
      </c>
      <c r="G32" s="291">
        <v>0</v>
      </c>
      <c r="H32" s="291">
        <v>505036.86</v>
      </c>
      <c r="I32" s="291">
        <v>0</v>
      </c>
      <c r="J32" s="291">
        <v>0</v>
      </c>
      <c r="K32" s="291">
        <v>842000</v>
      </c>
      <c r="L32" s="291">
        <v>482168.6</v>
      </c>
      <c r="M32" s="291">
        <v>0</v>
      </c>
      <c r="N32" s="291">
        <v>0</v>
      </c>
      <c r="O32" s="279">
        <v>6880869.53</v>
      </c>
      <c r="R32" s="5"/>
    </row>
    <row r="33" spans="1:18" ht="12.75">
      <c r="A33" t="s">
        <v>18</v>
      </c>
      <c r="B33" s="299">
        <v>0</v>
      </c>
      <c r="C33" s="299">
        <v>0</v>
      </c>
      <c r="D33" s="288">
        <v>88111</v>
      </c>
      <c r="E33" s="291">
        <v>0</v>
      </c>
      <c r="F33" s="291">
        <v>0</v>
      </c>
      <c r="G33" s="291">
        <v>0</v>
      </c>
      <c r="H33" s="291">
        <v>0</v>
      </c>
      <c r="I33" s="291">
        <v>40439.3</v>
      </c>
      <c r="J33" s="291">
        <v>0</v>
      </c>
      <c r="K33" s="291">
        <v>0</v>
      </c>
      <c r="L33" s="291">
        <v>359223.22</v>
      </c>
      <c r="M33" s="291">
        <v>0</v>
      </c>
      <c r="N33" s="291">
        <v>0</v>
      </c>
      <c r="O33" s="279">
        <v>469640.26</v>
      </c>
      <c r="R33" s="5"/>
    </row>
    <row r="34" spans="1:18" ht="12.75">
      <c r="A34" t="s">
        <v>19</v>
      </c>
      <c r="B34" s="299">
        <v>0</v>
      </c>
      <c r="C34" s="299">
        <v>0</v>
      </c>
      <c r="D34" s="288">
        <v>284937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104115.06</v>
      </c>
      <c r="M34" s="291">
        <v>287306.35</v>
      </c>
      <c r="N34" s="291">
        <v>0</v>
      </c>
      <c r="O34" s="279">
        <v>260919.9</v>
      </c>
      <c r="R34" s="5"/>
    </row>
    <row r="35" spans="1:18" ht="12.75">
      <c r="A35" t="s">
        <v>20</v>
      </c>
      <c r="B35" s="299">
        <v>0</v>
      </c>
      <c r="C35" s="299">
        <v>0</v>
      </c>
      <c r="D35" s="288">
        <v>118841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7282.49</v>
      </c>
      <c r="M35" s="291">
        <v>6696.24</v>
      </c>
      <c r="N35" s="291">
        <v>0</v>
      </c>
      <c r="O35" s="279">
        <v>200564.88</v>
      </c>
      <c r="R35" s="5"/>
    </row>
    <row r="36" spans="2:18" ht="12.75">
      <c r="B36" s="299"/>
      <c r="C36" s="299"/>
      <c r="D36" s="43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/>
      <c r="R36" s="5"/>
    </row>
    <row r="37" spans="1:18" ht="12.75">
      <c r="A37" t="s">
        <v>21</v>
      </c>
      <c r="B37" s="299">
        <v>0</v>
      </c>
      <c r="C37" s="299">
        <v>0</v>
      </c>
      <c r="D37" s="288">
        <v>177837</v>
      </c>
      <c r="E37" s="291">
        <v>0</v>
      </c>
      <c r="F37" s="291">
        <v>0</v>
      </c>
      <c r="G37" s="291">
        <v>0</v>
      </c>
      <c r="H37" s="291">
        <v>0</v>
      </c>
      <c r="I37" s="291">
        <v>0</v>
      </c>
      <c r="J37" s="291">
        <v>0</v>
      </c>
      <c r="K37" s="291">
        <v>6000</v>
      </c>
      <c r="L37" s="291">
        <v>51498.1</v>
      </c>
      <c r="M37" s="291">
        <v>353929.74</v>
      </c>
      <c r="N37" s="291">
        <v>0</v>
      </c>
      <c r="O37" s="279">
        <v>4481.36</v>
      </c>
      <c r="R37" s="5"/>
    </row>
    <row r="38" spans="1:18" ht="12.75">
      <c r="A38" t="s">
        <v>22</v>
      </c>
      <c r="B38" s="299">
        <v>0</v>
      </c>
      <c r="C38" s="299">
        <v>0</v>
      </c>
      <c r="D38" s="288">
        <v>320707</v>
      </c>
      <c r="E38" s="293">
        <v>0</v>
      </c>
      <c r="F38" s="291">
        <v>0</v>
      </c>
      <c r="G38" s="291">
        <v>93950.7</v>
      </c>
      <c r="H38" s="291">
        <v>15490.05</v>
      </c>
      <c r="I38" s="291">
        <v>0</v>
      </c>
      <c r="J38" s="291">
        <v>0</v>
      </c>
      <c r="K38" s="291">
        <v>0</v>
      </c>
      <c r="L38" s="291">
        <v>435548.84</v>
      </c>
      <c r="M38" s="291">
        <v>0</v>
      </c>
      <c r="N38" s="291">
        <v>0</v>
      </c>
      <c r="O38" s="279">
        <v>450161.65</v>
      </c>
      <c r="R38" s="5"/>
    </row>
    <row r="39" spans="1:18" ht="12.75">
      <c r="A39" t="s">
        <v>23</v>
      </c>
      <c r="B39" s="299">
        <v>0</v>
      </c>
      <c r="C39" s="299">
        <v>0</v>
      </c>
      <c r="D39" s="288">
        <v>619184</v>
      </c>
      <c r="E39" s="291">
        <v>0</v>
      </c>
      <c r="F39" s="291">
        <v>0</v>
      </c>
      <c r="G39" s="291">
        <v>0</v>
      </c>
      <c r="H39" s="291">
        <v>0</v>
      </c>
      <c r="I39" s="291">
        <v>0</v>
      </c>
      <c r="J39" s="291">
        <v>0</v>
      </c>
      <c r="K39" s="291">
        <v>24000</v>
      </c>
      <c r="L39" s="291">
        <v>118442.87</v>
      </c>
      <c r="M39" s="291">
        <v>366094.48</v>
      </c>
      <c r="N39" s="291">
        <v>0</v>
      </c>
      <c r="O39" s="279">
        <v>484669.98</v>
      </c>
      <c r="R39" s="5"/>
    </row>
    <row r="40" spans="1:18" ht="12.75">
      <c r="A40" s="14" t="s">
        <v>24</v>
      </c>
      <c r="B40" s="301">
        <v>0</v>
      </c>
      <c r="C40" s="301">
        <v>0</v>
      </c>
      <c r="D40" s="316">
        <v>191877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9288.73</v>
      </c>
      <c r="M40" s="119">
        <v>326315.28</v>
      </c>
      <c r="N40" s="119">
        <v>0</v>
      </c>
      <c r="O40" s="98">
        <v>114151.02</v>
      </c>
      <c r="R40" s="17"/>
    </row>
    <row r="41" spans="2:15" ht="12.75"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</row>
    <row r="42" spans="2:15" ht="12.75"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</row>
    <row r="43" spans="2:15" ht="12.75">
      <c r="B43" s="300"/>
      <c r="C43" s="300"/>
      <c r="D43" s="300"/>
      <c r="E43" s="300" t="s">
        <v>186</v>
      </c>
      <c r="F43" s="300"/>
      <c r="G43" s="300"/>
      <c r="H43" s="300"/>
      <c r="I43" s="300"/>
      <c r="J43" s="300"/>
      <c r="K43" s="300"/>
      <c r="L43" s="300"/>
      <c r="M43" s="300"/>
      <c r="N43" s="300"/>
      <c r="O43" s="300"/>
    </row>
    <row r="44" spans="2:15" ht="12.75"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</row>
    <row r="45" spans="2:15" ht="12.75"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</row>
    <row r="46" spans="2:15" ht="12.75"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</row>
  </sheetData>
  <sheetProtection password="C935" sheet="1" objects="1" scenarios="1"/>
  <mergeCells count="19">
    <mergeCell ref="I7:I10"/>
    <mergeCell ref="B6:I6"/>
    <mergeCell ref="D7:D10"/>
    <mergeCell ref="O6:O10"/>
    <mergeCell ref="J6:J10"/>
    <mergeCell ref="K6:K10"/>
    <mergeCell ref="L6:L10"/>
    <mergeCell ref="M6:M10"/>
    <mergeCell ref="C7:C10"/>
    <mergeCell ref="A3:O3"/>
    <mergeCell ref="A1:N1"/>
    <mergeCell ref="B5:N5"/>
    <mergeCell ref="N6:N10"/>
    <mergeCell ref="B7:B10"/>
    <mergeCell ref="E7:E10"/>
    <mergeCell ref="F7:F10"/>
    <mergeCell ref="G7:G10"/>
    <mergeCell ref="H7:H10"/>
    <mergeCell ref="A7:A10"/>
  </mergeCells>
  <printOptions/>
  <pageMargins left="0.25" right="0.2" top="1" bottom="1" header="0.5" footer="0.5"/>
  <pageSetup fitToHeight="1" fitToWidth="1" horizontalDpi="600" verticalDpi="600" orientation="landscape" scale="71" r:id="rId1"/>
  <headerFooter alignWithMargins="0">
    <oddFooter>&amp;L&amp;"Arial,Italic"&amp;9MSDE-DBS 11 / 2006&amp;C- 11 -&amp;R&amp;"Arial,Italic"&amp;9Selected Financial Data-Part &amp;"Arial,Regular"&amp;10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3">
      <selection activeCell="J40" sqref="J40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5.421875" style="0" customWidth="1"/>
    <col min="4" max="4" width="18.28125" style="0" customWidth="1"/>
    <col min="5" max="5" width="5.140625" style="0" customWidth="1"/>
    <col min="6" max="6" width="18.00390625" style="0" customWidth="1"/>
    <col min="7" max="7" width="8.140625" style="0" customWidth="1"/>
    <col min="8" max="8" width="11.28125" style="0" customWidth="1"/>
    <col min="9" max="9" width="8.00390625" style="0" customWidth="1"/>
    <col min="10" max="10" width="11.28125" style="0" bestFit="1" customWidth="1"/>
  </cols>
  <sheetData>
    <row r="1" spans="1:10" ht="12.75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</row>
    <row r="3" spans="1:10" ht="12.75">
      <c r="A3" s="376" t="s">
        <v>282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5" ht="15" customHeight="1" thickTop="1">
      <c r="A5" s="3"/>
      <c r="B5" s="54" t="s">
        <v>125</v>
      </c>
      <c r="C5" s="54"/>
      <c r="D5" s="424"/>
      <c r="E5" s="424"/>
      <c r="F5" s="424"/>
      <c r="G5" s="424"/>
      <c r="H5" s="424"/>
      <c r="I5" s="4"/>
      <c r="K5" s="3"/>
      <c r="L5" s="3"/>
      <c r="M5" s="3"/>
      <c r="N5" s="3"/>
      <c r="O5" s="3"/>
    </row>
    <row r="6" spans="1:15" ht="12.75">
      <c r="A6" s="3" t="s">
        <v>101</v>
      </c>
      <c r="B6" s="424" t="s">
        <v>48</v>
      </c>
      <c r="C6" s="424"/>
      <c r="D6" s="424"/>
      <c r="E6" s="424"/>
      <c r="F6" s="4" t="s">
        <v>42</v>
      </c>
      <c r="G6" s="4"/>
      <c r="H6" s="4"/>
      <c r="I6" s="4"/>
      <c r="J6" s="4" t="s">
        <v>51</v>
      </c>
      <c r="K6" s="3"/>
      <c r="L6" s="3"/>
      <c r="M6" s="3"/>
      <c r="N6" s="3"/>
      <c r="O6" s="3"/>
    </row>
    <row r="7" spans="1:15" ht="12.75">
      <c r="A7" s="3" t="s">
        <v>41</v>
      </c>
      <c r="B7" s="424" t="s">
        <v>49</v>
      </c>
      <c r="C7" s="424"/>
      <c r="D7" s="424"/>
      <c r="E7" s="424"/>
      <c r="F7" s="4" t="s">
        <v>97</v>
      </c>
      <c r="G7" s="4"/>
      <c r="H7" s="4"/>
      <c r="I7" s="4"/>
      <c r="J7" s="4" t="s">
        <v>49</v>
      </c>
      <c r="K7" s="3"/>
      <c r="L7" s="3"/>
      <c r="M7" s="3"/>
      <c r="N7" s="3"/>
      <c r="O7" s="3"/>
    </row>
    <row r="8" spans="1:10" ht="13.5" thickBot="1">
      <c r="A8" s="7" t="s">
        <v>154</v>
      </c>
      <c r="B8" s="425" t="s">
        <v>63</v>
      </c>
      <c r="C8" s="425"/>
      <c r="D8" s="425"/>
      <c r="E8" s="425"/>
      <c r="F8" s="8" t="s">
        <v>63</v>
      </c>
      <c r="G8" s="8"/>
      <c r="H8" s="8"/>
      <c r="I8" s="8"/>
      <c r="J8" s="8" t="s">
        <v>63</v>
      </c>
    </row>
    <row r="9" spans="1:10" ht="12.75">
      <c r="A9" s="3" t="s">
        <v>0</v>
      </c>
      <c r="B9" s="62">
        <f>SUM(B11:B38)</f>
        <v>5986021.170000001</v>
      </c>
      <c r="C9" s="55"/>
      <c r="D9" s="63"/>
      <c r="E9" s="55"/>
      <c r="F9" s="62">
        <f>SUM(F11:F38)</f>
        <v>142659592.75</v>
      </c>
      <c r="G9" s="55"/>
      <c r="H9" s="55"/>
      <c r="I9" s="55"/>
      <c r="J9" s="319">
        <f>SUM(J11:J38)</f>
        <v>0</v>
      </c>
    </row>
    <row r="10" spans="1:10" ht="12.75">
      <c r="A10" s="3"/>
      <c r="B10" s="5"/>
      <c r="C10" s="5"/>
      <c r="D10" s="5"/>
      <c r="E10" s="5"/>
      <c r="F10" s="5"/>
      <c r="G10" s="5"/>
      <c r="H10" s="5"/>
      <c r="I10" s="5"/>
      <c r="J10" s="91"/>
    </row>
    <row r="11" spans="1:10" ht="12.75">
      <c r="A11" t="s">
        <v>1</v>
      </c>
      <c r="B11" s="91">
        <v>134390.67</v>
      </c>
      <c r="C11" s="91"/>
      <c r="D11" s="314"/>
      <c r="E11" s="91"/>
      <c r="F11" s="91">
        <v>724972</v>
      </c>
      <c r="G11" s="5"/>
      <c r="H11" s="5"/>
      <c r="I11" s="5"/>
      <c r="J11" s="291">
        <v>0</v>
      </c>
    </row>
    <row r="12" spans="1:10" ht="12.75">
      <c r="A12" t="s">
        <v>2</v>
      </c>
      <c r="B12" s="91">
        <v>306724</v>
      </c>
      <c r="C12" s="91"/>
      <c r="D12" s="314"/>
      <c r="E12" s="91"/>
      <c r="F12" s="91">
        <v>12024791</v>
      </c>
      <c r="G12" s="5"/>
      <c r="H12" s="5"/>
      <c r="I12" s="5"/>
      <c r="J12" s="291">
        <v>0</v>
      </c>
    </row>
    <row r="13" spans="1:10" ht="12.75">
      <c r="A13" t="s">
        <v>3</v>
      </c>
      <c r="B13" s="91">
        <v>880550.31</v>
      </c>
      <c r="C13" s="91"/>
      <c r="D13" s="314"/>
      <c r="E13" s="91"/>
      <c r="F13" s="91">
        <v>7749189.62</v>
      </c>
      <c r="G13" s="5"/>
      <c r="H13" s="5"/>
      <c r="I13" s="5"/>
      <c r="J13" s="291">
        <v>0</v>
      </c>
    </row>
    <row r="14" spans="1:10" ht="12.75">
      <c r="A14" t="s">
        <v>4</v>
      </c>
      <c r="B14" s="91">
        <v>826565.65</v>
      </c>
      <c r="C14" s="91"/>
      <c r="D14" s="314"/>
      <c r="E14" s="91"/>
      <c r="F14" s="91">
        <v>15163189</v>
      </c>
      <c r="G14" s="5"/>
      <c r="H14" s="5"/>
      <c r="I14" s="5"/>
      <c r="J14" s="290"/>
    </row>
    <row r="15" spans="1:10" ht="12.75">
      <c r="A15" t="s">
        <v>5</v>
      </c>
      <c r="B15" s="91">
        <v>34767.04</v>
      </c>
      <c r="C15" s="91"/>
      <c r="D15" s="314"/>
      <c r="E15" s="91"/>
      <c r="F15" s="91">
        <v>4518704</v>
      </c>
      <c r="G15" s="5"/>
      <c r="H15" s="5"/>
      <c r="I15" s="5"/>
      <c r="J15" s="291">
        <v>0</v>
      </c>
    </row>
    <row r="16" spans="2:10" ht="12.75">
      <c r="B16" s="91"/>
      <c r="C16" s="91"/>
      <c r="D16" s="91"/>
      <c r="E16" s="91"/>
      <c r="F16" s="91"/>
      <c r="G16" s="5"/>
      <c r="H16" s="5"/>
      <c r="I16" s="5"/>
      <c r="J16" s="291"/>
    </row>
    <row r="17" spans="1:10" ht="12.75">
      <c r="A17" t="s">
        <v>6</v>
      </c>
      <c r="B17" s="91">
        <v>55935.93</v>
      </c>
      <c r="C17" s="91"/>
      <c r="D17" s="314"/>
      <c r="E17" s="91"/>
      <c r="F17" s="91">
        <v>199359.08</v>
      </c>
      <c r="G17" s="5"/>
      <c r="H17" s="5"/>
      <c r="I17" s="5"/>
      <c r="J17" s="291">
        <v>0</v>
      </c>
    </row>
    <row r="18" spans="1:10" ht="12.75">
      <c r="A18" t="s">
        <v>7</v>
      </c>
      <c r="B18" s="91">
        <v>59346</v>
      </c>
      <c r="C18" s="91"/>
      <c r="D18" s="314"/>
      <c r="E18" s="91"/>
      <c r="F18" s="91">
        <v>11829395</v>
      </c>
      <c r="G18" s="5"/>
      <c r="H18" s="5"/>
      <c r="I18" s="5"/>
      <c r="J18" s="291">
        <v>0</v>
      </c>
    </row>
    <row r="19" spans="1:10" ht="12.75">
      <c r="A19" t="s">
        <v>8</v>
      </c>
      <c r="B19" s="91">
        <v>146114.31</v>
      </c>
      <c r="C19" s="91"/>
      <c r="D19" s="314"/>
      <c r="E19" s="91"/>
      <c r="F19" s="91">
        <v>183193</v>
      </c>
      <c r="G19" s="5"/>
      <c r="H19" s="5"/>
      <c r="I19" s="5"/>
      <c r="J19" s="290">
        <v>0</v>
      </c>
    </row>
    <row r="20" spans="1:10" ht="12.75">
      <c r="A20" t="s">
        <v>9</v>
      </c>
      <c r="B20" s="91">
        <v>166022.38</v>
      </c>
      <c r="C20" s="91"/>
      <c r="D20" s="314"/>
      <c r="E20" s="91"/>
      <c r="F20" s="91">
        <v>10925330</v>
      </c>
      <c r="G20" s="5"/>
      <c r="H20" s="5"/>
      <c r="I20" s="5"/>
      <c r="J20" s="291">
        <v>0</v>
      </c>
    </row>
    <row r="21" spans="1:10" ht="12.75">
      <c r="A21" t="s">
        <v>10</v>
      </c>
      <c r="B21" s="91">
        <v>60436</v>
      </c>
      <c r="C21" s="91"/>
      <c r="D21" s="314"/>
      <c r="E21" s="91"/>
      <c r="F21" s="91">
        <v>460952</v>
      </c>
      <c r="G21" s="5"/>
      <c r="H21" s="5"/>
      <c r="I21" s="5"/>
      <c r="J21" s="291">
        <v>0</v>
      </c>
    </row>
    <row r="22" spans="2:10" ht="12.75">
      <c r="B22" s="91"/>
      <c r="C22" s="91"/>
      <c r="D22" s="91"/>
      <c r="E22" s="91"/>
      <c r="F22" s="91"/>
      <c r="G22" s="5"/>
      <c r="H22" s="5"/>
      <c r="I22" s="5"/>
      <c r="J22" s="291"/>
    </row>
    <row r="23" spans="1:10" ht="12.75">
      <c r="A23" t="s">
        <v>11</v>
      </c>
      <c r="B23" s="91">
        <v>135986</v>
      </c>
      <c r="C23" s="91"/>
      <c r="D23" s="314"/>
      <c r="E23" s="91"/>
      <c r="F23" s="91">
        <v>12193066</v>
      </c>
      <c r="G23" s="5"/>
      <c r="H23" s="5"/>
      <c r="I23" s="5"/>
      <c r="J23" s="291">
        <v>0</v>
      </c>
    </row>
    <row r="24" spans="1:10" ht="12.75">
      <c r="A24" t="s">
        <v>12</v>
      </c>
      <c r="B24" s="91">
        <v>92912</v>
      </c>
      <c r="C24" s="91"/>
      <c r="D24" s="314"/>
      <c r="E24" s="91"/>
      <c r="F24" s="91">
        <v>0</v>
      </c>
      <c r="G24" s="5"/>
      <c r="H24" s="5"/>
      <c r="I24" s="5"/>
      <c r="J24" s="291">
        <v>0</v>
      </c>
    </row>
    <row r="25" spans="1:10" ht="12.75">
      <c r="A25" t="s">
        <v>13</v>
      </c>
      <c r="B25" s="91">
        <v>242644</v>
      </c>
      <c r="C25" s="91"/>
      <c r="D25" s="314"/>
      <c r="E25" s="91"/>
      <c r="F25" s="91">
        <v>11967677</v>
      </c>
      <c r="G25" s="5"/>
      <c r="H25" s="5"/>
      <c r="I25" s="5"/>
      <c r="J25" s="291">
        <v>0</v>
      </c>
    </row>
    <row r="26" spans="1:10" ht="12.75">
      <c r="A26" t="s">
        <v>14</v>
      </c>
      <c r="B26" s="91">
        <v>79116</v>
      </c>
      <c r="C26" s="91"/>
      <c r="D26" s="314"/>
      <c r="E26" s="91"/>
      <c r="F26" s="91">
        <v>8832828</v>
      </c>
      <c r="G26" s="5"/>
      <c r="H26" s="5"/>
      <c r="I26" s="5"/>
      <c r="J26" s="291">
        <v>0</v>
      </c>
    </row>
    <row r="27" spans="1:10" ht="12.75">
      <c r="A27" t="s">
        <v>15</v>
      </c>
      <c r="B27" s="91">
        <v>70193</v>
      </c>
      <c r="C27" s="91"/>
      <c r="D27" s="314"/>
      <c r="E27" s="91"/>
      <c r="F27" s="91">
        <v>818412</v>
      </c>
      <c r="G27" s="5"/>
      <c r="H27" s="5"/>
      <c r="I27" s="5"/>
      <c r="J27" s="291">
        <v>0</v>
      </c>
    </row>
    <row r="28" spans="2:10" ht="12.75">
      <c r="B28" s="91"/>
      <c r="C28" s="91"/>
      <c r="D28" s="91"/>
      <c r="E28" s="91"/>
      <c r="F28" s="91"/>
      <c r="G28" s="5"/>
      <c r="H28" s="5"/>
      <c r="I28" s="5"/>
      <c r="J28" s="291"/>
    </row>
    <row r="29" spans="1:10" ht="12.75">
      <c r="A29" t="s">
        <v>16</v>
      </c>
      <c r="B29" s="91">
        <v>797866.68</v>
      </c>
      <c r="C29" s="91"/>
      <c r="D29" s="314"/>
      <c r="E29" s="91"/>
      <c r="F29" s="91">
        <v>8827554</v>
      </c>
      <c r="G29" s="5"/>
      <c r="H29" s="5"/>
      <c r="I29" s="5"/>
      <c r="J29" s="291">
        <v>0</v>
      </c>
    </row>
    <row r="30" spans="1:10" ht="12.75">
      <c r="A30" t="s">
        <v>17</v>
      </c>
      <c r="B30" s="91">
        <v>1289084.3</v>
      </c>
      <c r="C30" s="91"/>
      <c r="D30" s="314"/>
      <c r="E30" s="91"/>
      <c r="F30" s="91">
        <v>23952748.49</v>
      </c>
      <c r="G30" s="5"/>
      <c r="H30" s="5"/>
      <c r="I30" s="5"/>
      <c r="J30" s="291">
        <v>0</v>
      </c>
    </row>
    <row r="31" spans="1:10" ht="12.75">
      <c r="A31" t="s">
        <v>18</v>
      </c>
      <c r="B31" s="91">
        <v>16410.59</v>
      </c>
      <c r="C31" s="91"/>
      <c r="D31" s="314"/>
      <c r="E31" s="91"/>
      <c r="F31" s="91">
        <v>349823</v>
      </c>
      <c r="G31" s="5"/>
      <c r="H31" s="5"/>
      <c r="I31" s="5"/>
      <c r="J31" s="291">
        <v>0</v>
      </c>
    </row>
    <row r="32" spans="1:10" ht="12.75">
      <c r="A32" t="s">
        <v>19</v>
      </c>
      <c r="B32" s="91">
        <v>134276.04</v>
      </c>
      <c r="C32" s="91"/>
      <c r="D32" s="314"/>
      <c r="E32" s="91"/>
      <c r="F32" s="91">
        <v>3009254.56</v>
      </c>
      <c r="G32" s="5"/>
      <c r="H32" s="5"/>
      <c r="I32" s="5"/>
      <c r="J32" s="290">
        <v>0</v>
      </c>
    </row>
    <row r="33" spans="1:10" ht="12.75">
      <c r="A33" t="s">
        <v>20</v>
      </c>
      <c r="B33" s="91">
        <v>55098.97</v>
      </c>
      <c r="C33" s="91"/>
      <c r="D33" s="314"/>
      <c r="E33" s="91"/>
      <c r="F33" s="91">
        <v>0</v>
      </c>
      <c r="G33" s="5"/>
      <c r="H33" s="5"/>
      <c r="I33" s="5"/>
      <c r="J33" s="291">
        <v>0</v>
      </c>
    </row>
    <row r="34" spans="2:10" ht="12.75">
      <c r="B34" s="91"/>
      <c r="C34" s="91"/>
      <c r="D34" s="91"/>
      <c r="E34" s="91"/>
      <c r="F34" s="91"/>
      <c r="G34" s="5"/>
      <c r="H34" s="5"/>
      <c r="I34" s="5"/>
      <c r="J34" s="291"/>
    </row>
    <row r="35" spans="1:10" ht="12.75">
      <c r="A35" t="s">
        <v>21</v>
      </c>
      <c r="B35" s="91">
        <v>71474.98</v>
      </c>
      <c r="C35" s="91"/>
      <c r="D35" s="314"/>
      <c r="E35" s="91"/>
      <c r="F35" s="91">
        <v>216252</v>
      </c>
      <c r="G35" s="5"/>
      <c r="H35" s="5"/>
      <c r="I35" s="5"/>
      <c r="J35" s="291">
        <v>0</v>
      </c>
    </row>
    <row r="36" spans="1:10" ht="12.75">
      <c r="A36" t="s">
        <v>22</v>
      </c>
      <c r="B36" s="91">
        <v>118969</v>
      </c>
      <c r="C36" s="91"/>
      <c r="D36" s="314"/>
      <c r="E36" s="91"/>
      <c r="F36" s="91">
        <v>2491714</v>
      </c>
      <c r="G36" s="5"/>
      <c r="H36" s="5"/>
      <c r="I36" s="5"/>
      <c r="J36" s="291">
        <v>0</v>
      </c>
    </row>
    <row r="37" spans="1:10" ht="12.75">
      <c r="A37" t="s">
        <v>23</v>
      </c>
      <c r="B37" s="91">
        <v>175949.34</v>
      </c>
      <c r="C37" s="91"/>
      <c r="D37" s="314"/>
      <c r="E37" s="91"/>
      <c r="F37" s="91">
        <v>3760015.45</v>
      </c>
      <c r="G37" s="5"/>
      <c r="H37" s="5"/>
      <c r="I37" s="5"/>
      <c r="J37" s="291">
        <v>0</v>
      </c>
    </row>
    <row r="38" spans="1:10" ht="12.75">
      <c r="A38" s="14" t="s">
        <v>24</v>
      </c>
      <c r="B38" s="146">
        <v>35187.98</v>
      </c>
      <c r="C38" s="146"/>
      <c r="D38" s="315"/>
      <c r="E38" s="146"/>
      <c r="F38" s="146">
        <v>2461173.55</v>
      </c>
      <c r="G38" s="16"/>
      <c r="H38" s="16"/>
      <c r="I38" s="16"/>
      <c r="J38" s="119">
        <v>0</v>
      </c>
    </row>
    <row r="39" spans="6:7" ht="12.75">
      <c r="F39" s="5"/>
      <c r="G39" s="5"/>
    </row>
    <row r="40" spans="6:7" ht="12.75">
      <c r="F40" s="5"/>
      <c r="G40" s="5"/>
    </row>
    <row r="41" spans="6:7" ht="12.75">
      <c r="F41" s="5"/>
      <c r="G41" s="5"/>
    </row>
  </sheetData>
  <sheetProtection password="C935" sheet="1" objects="1" scenarios="1"/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rintOptions horizontalCentered="1"/>
  <pageMargins left="0.56" right="0.55" top="0.83" bottom="1" header="0.67" footer="0.5"/>
  <pageSetup fitToHeight="1" fitToWidth="1" horizontalDpi="600" verticalDpi="600" orientation="landscape" scale="98" r:id="rId1"/>
  <headerFooter alignWithMargins="0">
    <oddHeader>&amp;R
</oddHeader>
    <oddFooter>&amp;L&amp;"Arial,Italic"&amp;9MSDE-DBS  11 / 2006
&amp;C- 12 -&amp;R&amp;"Arial,Italic"&amp;9Selected Financial Data-Part 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workbookViewId="0" topLeftCell="E7">
      <selection activeCell="L11" sqref="L11"/>
    </sheetView>
  </sheetViews>
  <sheetFormatPr defaultColWidth="9.140625" defaultRowHeight="12.75"/>
  <cols>
    <col min="1" max="1" width="17.00390625" style="3" customWidth="1"/>
    <col min="2" max="2" width="16.00390625" style="3" bestFit="1" customWidth="1"/>
    <col min="3" max="3" width="13.8515625" style="3" bestFit="1" customWidth="1"/>
    <col min="4" max="4" width="14.7109375" style="45" customWidth="1"/>
    <col min="5" max="5" width="12.8515625" style="3" bestFit="1" customWidth="1"/>
    <col min="6" max="6" width="12.8515625" style="3" customWidth="1"/>
    <col min="7" max="7" width="10.00390625" style="3" customWidth="1"/>
    <col min="8" max="8" width="2.140625" style="3" customWidth="1"/>
    <col min="9" max="9" width="15.7109375" style="3" customWidth="1"/>
    <col min="10" max="10" width="13.00390625" style="3" customWidth="1"/>
    <col min="11" max="11" width="10.00390625" style="3" customWidth="1"/>
    <col min="12" max="12" width="14.140625" style="3" customWidth="1"/>
    <col min="13" max="13" width="12.57421875" style="3" customWidth="1"/>
    <col min="14" max="14" width="9.140625" style="3" customWidth="1"/>
    <col min="15" max="15" width="12.421875" style="3" bestFit="1" customWidth="1"/>
    <col min="16" max="16" width="12.421875" style="3" customWidth="1"/>
    <col min="17" max="17" width="14.00390625" style="3" customWidth="1"/>
    <col min="18" max="16384" width="9.140625" style="3" customWidth="1"/>
  </cols>
  <sheetData>
    <row r="1" spans="1:13" ht="12.75">
      <c r="A1" s="424" t="s">
        <v>135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12.7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 ht="12.75">
      <c r="A3" s="424" t="s">
        <v>288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9:13" ht="13.5" thickBot="1">
      <c r="I4" s="13"/>
      <c r="J4" s="13"/>
      <c r="K4" s="13"/>
      <c r="L4" s="13"/>
      <c r="M4" s="13"/>
    </row>
    <row r="5" spans="1:13" ht="15" customHeight="1" thickTop="1">
      <c r="A5" s="6"/>
      <c r="B5" s="6"/>
      <c r="C5" s="19"/>
      <c r="D5" s="130"/>
      <c r="E5" s="428" t="s">
        <v>294</v>
      </c>
      <c r="F5" s="428"/>
      <c r="G5" s="428"/>
      <c r="H5" s="19"/>
      <c r="I5" s="424" t="s">
        <v>72</v>
      </c>
      <c r="J5" s="424"/>
      <c r="K5" s="424"/>
      <c r="L5" s="424"/>
      <c r="M5" s="424"/>
    </row>
    <row r="6" spans="3:13" ht="12.75">
      <c r="C6" s="4"/>
      <c r="D6" s="131"/>
      <c r="E6" s="429"/>
      <c r="F6" s="429"/>
      <c r="G6" s="429"/>
      <c r="H6" s="4"/>
      <c r="I6" s="426" t="s">
        <v>73</v>
      </c>
      <c r="J6" s="426"/>
      <c r="K6" s="426"/>
      <c r="L6" s="426"/>
      <c r="M6" s="426"/>
    </row>
    <row r="7" spans="1:13" ht="12.75" customHeight="1">
      <c r="A7" s="3" t="s">
        <v>101</v>
      </c>
      <c r="B7" s="4" t="s">
        <v>53</v>
      </c>
      <c r="C7" s="93" t="s">
        <v>156</v>
      </c>
      <c r="D7" s="427" t="s">
        <v>256</v>
      </c>
      <c r="E7" s="93" t="s">
        <v>157</v>
      </c>
      <c r="F7" s="93" t="s">
        <v>160</v>
      </c>
      <c r="G7" s="93" t="s">
        <v>88</v>
      </c>
      <c r="H7" s="4"/>
      <c r="I7" s="93" t="s">
        <v>78</v>
      </c>
      <c r="J7" s="93" t="s">
        <v>289</v>
      </c>
      <c r="K7" s="4"/>
      <c r="L7" s="4"/>
      <c r="M7" s="93" t="s">
        <v>175</v>
      </c>
    </row>
    <row r="8" spans="1:13" ht="12.75">
      <c r="A8" s="3" t="s">
        <v>41</v>
      </c>
      <c r="B8" s="4" t="s">
        <v>66</v>
      </c>
      <c r="C8" s="93" t="s">
        <v>41</v>
      </c>
      <c r="D8" s="399"/>
      <c r="E8" s="93" t="s">
        <v>87</v>
      </c>
      <c r="F8" s="93" t="s">
        <v>54</v>
      </c>
      <c r="G8" s="93" t="s">
        <v>89</v>
      </c>
      <c r="H8" s="4"/>
      <c r="I8" s="93" t="s">
        <v>74</v>
      </c>
      <c r="J8" s="93" t="s">
        <v>54</v>
      </c>
      <c r="K8" s="4"/>
      <c r="L8" s="93" t="s">
        <v>75</v>
      </c>
      <c r="M8" s="93" t="s">
        <v>37</v>
      </c>
    </row>
    <row r="9" spans="1:13" ht="13.5" thickBot="1">
      <c r="A9" s="7" t="s">
        <v>154</v>
      </c>
      <c r="B9" s="8" t="s">
        <v>55</v>
      </c>
      <c r="C9" s="109" t="s">
        <v>70</v>
      </c>
      <c r="D9" s="401"/>
      <c r="E9" s="109" t="s">
        <v>79</v>
      </c>
      <c r="F9" s="109" t="s">
        <v>77</v>
      </c>
      <c r="G9" s="109" t="s">
        <v>41</v>
      </c>
      <c r="H9" s="8"/>
      <c r="I9" s="109" t="s">
        <v>189</v>
      </c>
      <c r="J9" s="109" t="s">
        <v>290</v>
      </c>
      <c r="K9" s="109" t="s">
        <v>68</v>
      </c>
      <c r="L9" s="109" t="s">
        <v>76</v>
      </c>
      <c r="M9" s="109" t="s">
        <v>176</v>
      </c>
    </row>
    <row r="10" spans="1:13" s="85" customFormat="1" ht="12.75">
      <c r="A10" s="311" t="s">
        <v>0</v>
      </c>
      <c r="B10" s="312">
        <f aca="true" t="shared" si="0" ref="B10:M10">SUM(B12:B39)</f>
        <v>660266284.36</v>
      </c>
      <c r="C10" s="85">
        <f t="shared" si="0"/>
        <v>3529347.07</v>
      </c>
      <c r="D10" s="85">
        <f t="shared" si="0"/>
        <v>5065689.06</v>
      </c>
      <c r="E10" s="85">
        <f t="shared" si="0"/>
        <v>9906001.09</v>
      </c>
      <c r="F10" s="85">
        <f t="shared" si="0"/>
        <v>46840.66</v>
      </c>
      <c r="G10" s="85">
        <f t="shared" si="0"/>
        <v>782508.01</v>
      </c>
      <c r="H10" s="85">
        <f t="shared" si="0"/>
        <v>0</v>
      </c>
      <c r="I10" s="85">
        <f t="shared" si="0"/>
        <v>157504767.38000003</v>
      </c>
      <c r="J10" s="85">
        <f t="shared" si="0"/>
        <v>508824.4099999999</v>
      </c>
      <c r="K10" s="85">
        <f t="shared" si="0"/>
        <v>498693.72</v>
      </c>
      <c r="L10" s="85">
        <f t="shared" si="0"/>
        <v>2750345.0300000003</v>
      </c>
      <c r="M10" s="85">
        <f t="shared" si="0"/>
        <v>1064116.5699999998</v>
      </c>
    </row>
    <row r="11" spans="2:13" ht="12.75">
      <c r="B11" s="47"/>
      <c r="C11" s="56"/>
      <c r="D11" s="132"/>
      <c r="E11" s="56"/>
      <c r="F11" s="56"/>
      <c r="G11" s="56"/>
      <c r="H11" s="56"/>
      <c r="I11" s="56"/>
      <c r="J11" s="56"/>
      <c r="K11" s="56"/>
      <c r="L11" s="56"/>
      <c r="M11" s="56"/>
    </row>
    <row r="12" spans="1:40" ht="12.75">
      <c r="A12" s="3" t="s">
        <v>1</v>
      </c>
      <c r="B12" s="2">
        <f>SUM(C12:M12)+SUM(fed2!B12:K12)+SUM(fed3!B12:I12)+SUM(fed4!B12:I12)+SUM(fed5!B11:I11)</f>
        <v>12477980.48</v>
      </c>
      <c r="C12" s="173">
        <v>107044</v>
      </c>
      <c r="D12" s="175">
        <v>0</v>
      </c>
      <c r="E12" s="173">
        <v>174951</v>
      </c>
      <c r="F12" s="175">
        <v>0</v>
      </c>
      <c r="G12" s="179">
        <v>0</v>
      </c>
      <c r="H12" s="128"/>
      <c r="I12" s="304">
        <v>3006402.53</v>
      </c>
      <c r="J12" s="304">
        <v>0</v>
      </c>
      <c r="K12" s="128">
        <v>0</v>
      </c>
      <c r="L12" s="128">
        <v>0</v>
      </c>
      <c r="M12" s="173">
        <v>96759.59</v>
      </c>
      <c r="N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12.75">
      <c r="A13" s="3" t="s">
        <v>2</v>
      </c>
      <c r="B13" s="2">
        <f>SUM(C13:M13)+SUM(fed2!B13:K13)+SUM(fed3!B13:I13)+SUM(fed4!B13:I13)+SUM(fed5!B12:I12)</f>
        <v>44473667.919999994</v>
      </c>
      <c r="C13" s="128">
        <v>0</v>
      </c>
      <c r="D13" s="354">
        <v>260490.54</v>
      </c>
      <c r="E13" s="278">
        <v>710695.02</v>
      </c>
      <c r="F13" s="163">
        <v>0</v>
      </c>
      <c r="G13" s="179">
        <v>0</v>
      </c>
      <c r="H13" s="128"/>
      <c r="I13" s="304">
        <v>8953212.6</v>
      </c>
      <c r="J13" s="304">
        <v>0</v>
      </c>
      <c r="K13" s="128">
        <v>0</v>
      </c>
      <c r="L13" s="128">
        <v>0</v>
      </c>
      <c r="M13" s="128">
        <v>0</v>
      </c>
      <c r="N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2.75">
      <c r="A14" s="3" t="s">
        <v>3</v>
      </c>
      <c r="B14" s="2">
        <f>SUM(C14:M14)+SUM(fed2!B14:K14)+SUM(fed3!B14:I14)+SUM(fed4!B14:I14)+SUM(fed5!B13:I13)</f>
        <v>147471453.04000002</v>
      </c>
      <c r="C14" s="128">
        <v>0</v>
      </c>
      <c r="D14" s="354">
        <v>290703.98</v>
      </c>
      <c r="E14" s="173">
        <v>2160239.98</v>
      </c>
      <c r="F14" s="175">
        <v>0</v>
      </c>
      <c r="G14" s="179">
        <v>0</v>
      </c>
      <c r="H14" s="128"/>
      <c r="I14" s="304">
        <v>53957898.31</v>
      </c>
      <c r="J14" s="304">
        <v>0</v>
      </c>
      <c r="K14" s="128">
        <v>0</v>
      </c>
      <c r="L14" s="179">
        <v>0</v>
      </c>
      <c r="M14" s="173">
        <v>500366.32</v>
      </c>
      <c r="N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2.75">
      <c r="A15" s="3" t="s">
        <v>4</v>
      </c>
      <c r="B15" s="2">
        <f>SUM(C15:M15)+SUM(fed2!B15:K15)+SUM(fed3!B15:I15)+SUM(fed4!B15:I15)+SUM(fed5!B14:I14)</f>
        <v>76806567.71</v>
      </c>
      <c r="C15" s="306">
        <v>13978</v>
      </c>
      <c r="D15" s="354">
        <v>348419.17</v>
      </c>
      <c r="E15" s="173">
        <v>1173846</v>
      </c>
      <c r="F15" s="173">
        <v>27096.79</v>
      </c>
      <c r="G15" s="179">
        <v>0</v>
      </c>
      <c r="H15" s="128"/>
      <c r="I15" s="304">
        <v>19465509</v>
      </c>
      <c r="J15" s="304">
        <v>0</v>
      </c>
      <c r="K15" s="128">
        <v>0</v>
      </c>
      <c r="L15" s="173">
        <v>281997.11</v>
      </c>
      <c r="M15" s="173">
        <v>103857.7</v>
      </c>
      <c r="N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3.5" customHeight="1">
      <c r="A16" s="3" t="s">
        <v>5</v>
      </c>
      <c r="B16" s="2">
        <f>SUM(C16:M16)+SUM(fed2!B16:K16)+SUM(fed3!B16:I16)+SUM(fed4!B16:I16)+SUM(fed5!B15:I15)</f>
        <v>8441516.770000001</v>
      </c>
      <c r="C16" s="173">
        <v>139720</v>
      </c>
      <c r="D16" s="354">
        <v>19752</v>
      </c>
      <c r="E16" s="173">
        <v>127114</v>
      </c>
      <c r="F16" s="179">
        <v>0</v>
      </c>
      <c r="G16" s="179">
        <v>0</v>
      </c>
      <c r="H16" s="128"/>
      <c r="I16" s="304">
        <v>1358474.23</v>
      </c>
      <c r="J16" s="304">
        <v>38467</v>
      </c>
      <c r="K16" s="128">
        <v>0</v>
      </c>
      <c r="L16" s="173">
        <v>389659.71</v>
      </c>
      <c r="M16" s="128">
        <v>0</v>
      </c>
      <c r="N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2:40" ht="13.5" customHeight="1">
      <c r="B17" s="2"/>
      <c r="C17" s="128"/>
      <c r="D17" s="353"/>
      <c r="E17" s="128"/>
      <c r="F17" s="128"/>
      <c r="G17" s="179"/>
      <c r="H17" s="128"/>
      <c r="I17" s="137"/>
      <c r="J17" s="137"/>
      <c r="K17" s="128"/>
      <c r="L17" s="128"/>
      <c r="M17" s="128"/>
      <c r="N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.75">
      <c r="A18" s="3" t="s">
        <v>6</v>
      </c>
      <c r="B18" s="2">
        <f>SUM(C18:M18)+SUM(fed2!B18:K18)+SUM(fed3!B18:I18)+SUM(fed4!B18:I18)+SUM(fed5!B17:I17)</f>
        <v>5145862.390000001</v>
      </c>
      <c r="C18" s="128">
        <v>0</v>
      </c>
      <c r="D18" s="354">
        <v>20084.11</v>
      </c>
      <c r="E18" s="173">
        <v>84825</v>
      </c>
      <c r="F18" s="128">
        <v>0</v>
      </c>
      <c r="G18" s="179">
        <v>0</v>
      </c>
      <c r="H18" s="128"/>
      <c r="I18" s="304">
        <v>1227175.01</v>
      </c>
      <c r="J18" s="304">
        <v>22467</v>
      </c>
      <c r="K18" s="128">
        <v>0</v>
      </c>
      <c r="L18" s="173">
        <v>166187.53</v>
      </c>
      <c r="M18" s="128">
        <v>0</v>
      </c>
      <c r="N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.75">
      <c r="A19" s="3" t="s">
        <v>7</v>
      </c>
      <c r="B19" s="2">
        <f>SUM(C19:M19)+SUM(fed2!B19:K19)+SUM(fed3!B19:I19)+SUM(fed4!B19:I19)+SUM(fed5!B18:I18)</f>
        <v>13467919.67</v>
      </c>
      <c r="C19" s="173">
        <v>249615.14</v>
      </c>
      <c r="D19" s="354">
        <v>19073.07</v>
      </c>
      <c r="E19" s="173">
        <v>203616</v>
      </c>
      <c r="F19" s="128">
        <v>7200</v>
      </c>
      <c r="G19" s="173">
        <v>89956</v>
      </c>
      <c r="H19" s="128"/>
      <c r="I19" s="292">
        <v>1306197.69</v>
      </c>
      <c r="J19" s="128">
        <v>0</v>
      </c>
      <c r="K19" s="128">
        <v>0</v>
      </c>
      <c r="L19" s="173">
        <v>149575.59</v>
      </c>
      <c r="M19" s="173">
        <v>131658.35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2.75">
      <c r="A20" s="3" t="s">
        <v>8</v>
      </c>
      <c r="B20" s="2">
        <f>SUM(C20:M20)+SUM(fed2!B20:K20)+SUM(fed3!B20:I20)+SUM(fed4!B20:I20)+SUM(fed5!B19:I19)</f>
        <v>10417870.52</v>
      </c>
      <c r="C20" s="128">
        <v>0</v>
      </c>
      <c r="D20" s="292">
        <v>23235.99</v>
      </c>
      <c r="E20" s="278">
        <v>179688</v>
      </c>
      <c r="F20" s="179">
        <v>0</v>
      </c>
      <c r="G20" s="179">
        <v>0</v>
      </c>
      <c r="H20" s="128"/>
      <c r="I20" s="304">
        <v>2051895.12</v>
      </c>
      <c r="J20" s="292">
        <v>33701</v>
      </c>
      <c r="K20" s="128">
        <v>0</v>
      </c>
      <c r="L20" s="128">
        <v>0</v>
      </c>
      <c r="M20" s="128">
        <v>0</v>
      </c>
      <c r="N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.75">
      <c r="A21" s="3" t="s">
        <v>9</v>
      </c>
      <c r="B21" s="2">
        <f>SUM(C21:M21)+SUM(fed2!B21:K21)+SUM(fed3!B21:I21)+SUM(fed4!B21:I21)+SUM(fed5!B20:I20)</f>
        <v>14814207.720000003</v>
      </c>
      <c r="C21" s="173">
        <v>290185</v>
      </c>
      <c r="D21" s="292">
        <v>27735.02</v>
      </c>
      <c r="E21" s="173">
        <v>227132</v>
      </c>
      <c r="F21" s="179">
        <v>0</v>
      </c>
      <c r="G21" s="173">
        <v>71713.05</v>
      </c>
      <c r="H21" s="128"/>
      <c r="I21" s="304">
        <v>2579054.17</v>
      </c>
      <c r="J21" s="304">
        <v>17321.22</v>
      </c>
      <c r="K21" s="128">
        <v>0</v>
      </c>
      <c r="L21" s="173">
        <v>241982.92</v>
      </c>
      <c r="M21" s="128">
        <v>0</v>
      </c>
      <c r="N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2.75">
      <c r="A22" s="3" t="s">
        <v>10</v>
      </c>
      <c r="B22" s="2">
        <f>SUM(C22:M22)+SUM(fed2!B22:K22)+SUM(fed3!B22:I22)+SUM(fed4!B22:I22)+SUM(fed5!B21:I21)</f>
        <v>6207712.3100000005</v>
      </c>
      <c r="C22" s="173">
        <v>309769</v>
      </c>
      <c r="D22" s="353">
        <v>28597.5</v>
      </c>
      <c r="E22" s="173">
        <v>86812.09</v>
      </c>
      <c r="F22" s="128">
        <v>0</v>
      </c>
      <c r="G22" s="179">
        <v>0</v>
      </c>
      <c r="H22" s="128"/>
      <c r="I22" s="304">
        <v>1948557.07</v>
      </c>
      <c r="J22" s="304">
        <v>20665.33</v>
      </c>
      <c r="K22" s="278">
        <v>138810.49</v>
      </c>
      <c r="L22" s="173">
        <v>134511.31</v>
      </c>
      <c r="M22" s="173">
        <v>106430.45</v>
      </c>
      <c r="N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2:40" ht="12.75">
      <c r="B23" s="2"/>
      <c r="C23" s="128"/>
      <c r="D23" s="353"/>
      <c r="E23" s="173"/>
      <c r="F23" s="128"/>
      <c r="G23" s="179"/>
      <c r="H23" s="128"/>
      <c r="I23" s="304"/>
      <c r="J23" s="137"/>
      <c r="K23" s="128"/>
      <c r="L23" s="128"/>
      <c r="M23" s="128"/>
      <c r="N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2.75">
      <c r="A24" s="3" t="s">
        <v>11</v>
      </c>
      <c r="B24" s="2">
        <f>SUM(C24:M24)+SUM(fed2!B24:K24)+SUM(fed3!B24:I24)+SUM(fed4!B24:I24)+SUM(fed5!B23:I23)</f>
        <v>17479074.320000004</v>
      </c>
      <c r="C24" s="173">
        <v>259079</v>
      </c>
      <c r="D24" s="292">
        <v>126881.25</v>
      </c>
      <c r="E24" s="173">
        <v>273592</v>
      </c>
      <c r="F24" s="179">
        <v>0</v>
      </c>
      <c r="G24" s="173">
        <v>97961</v>
      </c>
      <c r="H24" s="128"/>
      <c r="I24" s="304">
        <v>2065773.9</v>
      </c>
      <c r="J24" s="304">
        <v>22467</v>
      </c>
      <c r="K24" s="128">
        <v>0</v>
      </c>
      <c r="L24" s="145">
        <v>169786.21</v>
      </c>
      <c r="M24" s="128">
        <v>0</v>
      </c>
      <c r="N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2.75">
      <c r="A25" s="3" t="s">
        <v>12</v>
      </c>
      <c r="B25" s="2">
        <f>SUM(C25:M25)+SUM(fed2!B25:K25)+SUM(fed3!B25:I25)+SUM(fed4!B25:I25)+SUM(fed5!B24:I24)</f>
        <v>5154282.08</v>
      </c>
      <c r="C25" s="128">
        <v>0</v>
      </c>
      <c r="D25" s="355">
        <v>0</v>
      </c>
      <c r="E25" s="173">
        <v>88145</v>
      </c>
      <c r="F25" s="179">
        <v>0</v>
      </c>
      <c r="G25" s="180"/>
      <c r="H25" s="128"/>
      <c r="I25" s="304">
        <v>1447832.99</v>
      </c>
      <c r="J25" s="304">
        <v>19234</v>
      </c>
      <c r="K25" s="128">
        <v>0</v>
      </c>
      <c r="L25" s="179">
        <v>0</v>
      </c>
      <c r="M25" s="128">
        <v>0</v>
      </c>
      <c r="N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2.75">
      <c r="A26" s="3" t="s">
        <v>13</v>
      </c>
      <c r="B26" s="2">
        <f>SUM(C26:M26)+SUM(fed2!B26:K26)+SUM(fed3!B26:I26)+SUM(fed4!B26:I26)+SUM(fed5!B25:I25)</f>
        <v>21412102.84</v>
      </c>
      <c r="C26" s="128">
        <v>0</v>
      </c>
      <c r="D26" s="292">
        <v>106002.47</v>
      </c>
      <c r="E26" s="278">
        <v>329030</v>
      </c>
      <c r="F26" s="173">
        <v>0</v>
      </c>
      <c r="G26" s="278">
        <v>56409.02</v>
      </c>
      <c r="H26" s="128"/>
      <c r="I26" s="304">
        <v>3923758</v>
      </c>
      <c r="J26" s="183">
        <v>0</v>
      </c>
      <c r="K26" s="128">
        <v>0</v>
      </c>
      <c r="L26" s="179">
        <v>0</v>
      </c>
      <c r="M26" s="128">
        <v>0</v>
      </c>
      <c r="N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.75">
      <c r="A27" s="3" t="s">
        <v>14</v>
      </c>
      <c r="B27" s="2">
        <f>SUM(C27:M27)+SUM(fed2!B27:K27)+SUM(fed3!B27:I27)+SUM(fed4!B27:I27)+SUM(fed5!B26:I26)</f>
        <v>19147008.09</v>
      </c>
      <c r="C27" s="128">
        <v>0</v>
      </c>
      <c r="D27" s="292">
        <v>341712.97</v>
      </c>
      <c r="E27" s="145">
        <v>300389.82</v>
      </c>
      <c r="F27" s="128">
        <v>1800</v>
      </c>
      <c r="G27" s="173">
        <v>109068.66</v>
      </c>
      <c r="H27" s="128"/>
      <c r="I27" s="304">
        <v>2490175.43</v>
      </c>
      <c r="J27" s="304">
        <v>48168</v>
      </c>
      <c r="K27" s="128">
        <v>0</v>
      </c>
      <c r="L27" s="173">
        <v>238783.73</v>
      </c>
      <c r="M27" s="128">
        <v>0</v>
      </c>
      <c r="N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2.75">
      <c r="A28" s="3" t="s">
        <v>15</v>
      </c>
      <c r="B28" s="2">
        <f>SUM(C28:M28)+SUM(fed2!B28:K28)+SUM(fed3!B28:I28)+SUM(fed4!B28:I28)+SUM(fed5!B27:I27)</f>
        <v>3013693.49</v>
      </c>
      <c r="C28" s="173">
        <v>102746</v>
      </c>
      <c r="D28" s="292">
        <v>11185</v>
      </c>
      <c r="E28" s="145">
        <v>44002</v>
      </c>
      <c r="F28" s="179">
        <v>0</v>
      </c>
      <c r="G28" s="179">
        <v>0</v>
      </c>
      <c r="H28" s="128"/>
      <c r="I28" s="304">
        <v>555157.99</v>
      </c>
      <c r="J28" s="304">
        <v>5135</v>
      </c>
      <c r="K28" s="128">
        <v>0</v>
      </c>
      <c r="L28" s="179">
        <v>0</v>
      </c>
      <c r="M28" s="173">
        <v>17026.02</v>
      </c>
      <c r="N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2:40" ht="12.75">
      <c r="B29" s="2"/>
      <c r="C29" s="128"/>
      <c r="D29" s="353"/>
      <c r="E29" s="155"/>
      <c r="F29" s="128"/>
      <c r="G29" s="179"/>
      <c r="H29" s="128"/>
      <c r="I29" s="304"/>
      <c r="J29" s="137"/>
      <c r="K29" s="128"/>
      <c r="M29" s="179"/>
      <c r="N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2.75">
      <c r="A30" s="3" t="s">
        <v>16</v>
      </c>
      <c r="B30" s="2">
        <f>SUM(C30:M30)+SUM(fed2!B30:K30)+SUM(fed3!B30:I30)+SUM(fed4!B30:I30)+SUM(fed5!B29:I29)</f>
        <v>86705388.42999999</v>
      </c>
      <c r="C30" s="173">
        <v>556268.26</v>
      </c>
      <c r="D30" s="292">
        <v>2316252.59</v>
      </c>
      <c r="E30" s="173">
        <v>1233318.85</v>
      </c>
      <c r="F30" s="173">
        <v>5343.87</v>
      </c>
      <c r="G30" s="173">
        <v>272529</v>
      </c>
      <c r="H30" s="128"/>
      <c r="I30" s="278">
        <v>15332129.39</v>
      </c>
      <c r="J30" s="278">
        <v>50636</v>
      </c>
      <c r="K30" s="128">
        <v>0</v>
      </c>
      <c r="L30" s="173">
        <v>76060.34</v>
      </c>
      <c r="M30" s="173">
        <v>103824.49</v>
      </c>
      <c r="N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2.75">
      <c r="A31" s="3" t="s">
        <v>17</v>
      </c>
      <c r="B31" s="2">
        <f>SUM(C31:M31)+SUM(fed2!B31:K31)+SUM(fed3!B31:I31)+SUM(fed4!B31:I31)+SUM(fed5!B30:I30)</f>
        <v>105298734.98000002</v>
      </c>
      <c r="C31" s="173">
        <v>852843.77</v>
      </c>
      <c r="D31" s="292">
        <v>962643.48</v>
      </c>
      <c r="E31" s="173">
        <v>1531768.48</v>
      </c>
      <c r="F31" s="173">
        <v>5400</v>
      </c>
      <c r="G31" s="179">
        <v>0</v>
      </c>
      <c r="H31" s="128"/>
      <c r="I31" s="304">
        <v>22643220.4</v>
      </c>
      <c r="J31" s="304">
        <v>129947.15</v>
      </c>
      <c r="K31" s="128">
        <v>0</v>
      </c>
      <c r="L31" s="173">
        <v>370506.67</v>
      </c>
      <c r="M31" s="278">
        <v>4193.65</v>
      </c>
      <c r="N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2.75">
      <c r="A32" s="3" t="s">
        <v>18</v>
      </c>
      <c r="B32" s="2">
        <f>SUM(C32:M32)+SUM(fed2!B32:K32)+SUM(fed3!B32:I32)+SUM(fed4!B32:I32)+SUM(fed5!B31:I31)</f>
        <v>4735390.99</v>
      </c>
      <c r="C32" s="173">
        <v>88993</v>
      </c>
      <c r="D32" s="355"/>
      <c r="E32" s="173">
        <v>69120</v>
      </c>
      <c r="F32" s="128">
        <v>0</v>
      </c>
      <c r="G32" s="181">
        <v>0</v>
      </c>
      <c r="H32" s="128"/>
      <c r="I32" s="304">
        <v>737021.74</v>
      </c>
      <c r="J32" s="304">
        <v>6962.06</v>
      </c>
      <c r="K32" s="173">
        <v>244607.01</v>
      </c>
      <c r="L32" s="145">
        <v>318340.92</v>
      </c>
      <c r="M32" s="128"/>
      <c r="N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2.75">
      <c r="A33" s="3" t="s">
        <v>19</v>
      </c>
      <c r="B33" s="2">
        <f>SUM(C33:M33)+SUM(fed2!B33:K33)+SUM(fed3!B33:I33)+SUM(fed4!B33:I33)+SUM(fed5!B32:I32)</f>
        <v>14170476.16</v>
      </c>
      <c r="C33" s="173">
        <v>156093</v>
      </c>
      <c r="D33" s="292">
        <v>24218.74</v>
      </c>
      <c r="E33" s="173">
        <v>179590</v>
      </c>
      <c r="F33" s="179">
        <v>0</v>
      </c>
      <c r="G33" s="179">
        <v>0</v>
      </c>
      <c r="H33" s="128"/>
      <c r="I33" s="304">
        <v>2261275.85</v>
      </c>
      <c r="J33" s="304">
        <v>25390.51</v>
      </c>
      <c r="K33" s="128">
        <v>0</v>
      </c>
      <c r="L33" s="128">
        <v>0</v>
      </c>
      <c r="M33" s="128">
        <v>0</v>
      </c>
      <c r="N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.75">
      <c r="A34" s="3" t="s">
        <v>20</v>
      </c>
      <c r="B34" s="2">
        <f>SUM(C34:M34)+SUM(fed2!B34:K34)+SUM(fed3!B34:I34)+SUM(fed4!B34:I34)+SUM(fed5!B33:I33)</f>
        <v>4500996.32</v>
      </c>
      <c r="C34" s="173">
        <v>65434.9</v>
      </c>
      <c r="D34" s="292">
        <v>5246.97</v>
      </c>
      <c r="E34" s="173">
        <v>75975</v>
      </c>
      <c r="F34" s="175">
        <v>0</v>
      </c>
      <c r="G34" s="179">
        <v>0</v>
      </c>
      <c r="H34" s="128"/>
      <c r="I34" s="304">
        <v>1126539.44</v>
      </c>
      <c r="J34" s="304">
        <v>10610.66</v>
      </c>
      <c r="K34" s="173">
        <v>115276.22</v>
      </c>
      <c r="L34" s="128">
        <v>0</v>
      </c>
      <c r="M34" s="128">
        <v>0</v>
      </c>
      <c r="N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2:40" ht="12.75">
      <c r="B35" s="2"/>
      <c r="C35" s="128"/>
      <c r="D35" s="354"/>
      <c r="E35" s="173"/>
      <c r="F35" s="175"/>
      <c r="G35" s="179"/>
      <c r="H35" s="128"/>
      <c r="I35" s="304"/>
      <c r="J35" s="137"/>
      <c r="K35" s="128"/>
      <c r="L35" s="128"/>
      <c r="M35" s="128"/>
      <c r="N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.75">
      <c r="A36" s="3" t="s">
        <v>21</v>
      </c>
      <c r="B36" s="2">
        <f>SUM(C36:M36)+SUM(fed2!B36:K36)+SUM(fed3!B36:I36)+SUM(fed4!B36:I36)+SUM(fed5!B35:I35)</f>
        <v>3168577.3799999994</v>
      </c>
      <c r="C36" s="128">
        <v>0</v>
      </c>
      <c r="D36" s="292">
        <v>22387.18</v>
      </c>
      <c r="E36" s="278">
        <v>58963.85</v>
      </c>
      <c r="F36" s="179">
        <v>0</v>
      </c>
      <c r="G36" s="179">
        <v>0</v>
      </c>
      <c r="H36" s="128"/>
      <c r="I36" s="304">
        <v>694904.21</v>
      </c>
      <c r="J36" s="183">
        <v>0</v>
      </c>
      <c r="K36" s="128">
        <v>0</v>
      </c>
      <c r="L36" s="128">
        <v>0</v>
      </c>
      <c r="M36" s="128">
        <v>0</v>
      </c>
      <c r="N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.75">
      <c r="A37" s="3" t="s">
        <v>22</v>
      </c>
      <c r="B37" s="2">
        <f>SUM(C37:M37)+SUM(fed2!B37:K37)+SUM(fed3!B37:I37)+SUM(fed4!B37:I37)+SUM(fed5!B36:I36)</f>
        <v>14594650.41</v>
      </c>
      <c r="C37" s="173">
        <v>0</v>
      </c>
      <c r="D37" s="115">
        <v>37102.91</v>
      </c>
      <c r="E37" s="173">
        <v>254287</v>
      </c>
      <c r="F37" s="179">
        <v>0</v>
      </c>
      <c r="G37" s="173">
        <v>84871.28</v>
      </c>
      <c r="H37" s="128"/>
      <c r="I37" s="304">
        <v>3315094.64</v>
      </c>
      <c r="J37" s="304">
        <v>22467</v>
      </c>
      <c r="K37" s="128">
        <v>0</v>
      </c>
      <c r="L37" s="128">
        <v>0</v>
      </c>
      <c r="M37" s="128">
        <v>0</v>
      </c>
      <c r="N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.75">
      <c r="A38" s="3" t="s">
        <v>23</v>
      </c>
      <c r="B38" s="2">
        <f>SUM(C38:M38)+SUM(fed2!B38:K38)+SUM(fed3!B38:I38)+SUM(fed4!B38:I38)+SUM(fed5!B37:I37)</f>
        <v>13615676.15</v>
      </c>
      <c r="C38" s="173">
        <v>195409</v>
      </c>
      <c r="D38" s="292">
        <v>54667.33</v>
      </c>
      <c r="E38" s="173">
        <v>234481</v>
      </c>
      <c r="F38" s="179">
        <v>0</v>
      </c>
      <c r="G38" s="179">
        <v>0</v>
      </c>
      <c r="H38" s="128"/>
      <c r="I38" s="304">
        <v>3458023.27</v>
      </c>
      <c r="J38" s="304">
        <v>35185.48</v>
      </c>
      <c r="K38" s="128">
        <v>0</v>
      </c>
      <c r="L38" s="173">
        <v>212952.99</v>
      </c>
      <c r="M38" s="128">
        <v>0</v>
      </c>
      <c r="N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.75">
      <c r="A39" s="14" t="s">
        <v>24</v>
      </c>
      <c r="B39" s="15">
        <f>SUM(C39:M39)+SUM(fed2!B39:K39)+SUM(fed3!B39:I39)+SUM(fed4!B39:I39)+SUM(fed5!B38:I38)</f>
        <v>7545474.1899999995</v>
      </c>
      <c r="C39" s="294">
        <v>142169</v>
      </c>
      <c r="D39" s="356">
        <v>19296.79</v>
      </c>
      <c r="E39" s="294">
        <v>104419</v>
      </c>
      <c r="F39" s="135">
        <v>0</v>
      </c>
      <c r="G39" s="182">
        <v>0</v>
      </c>
      <c r="H39" s="135"/>
      <c r="I39" s="309">
        <v>1599484.4</v>
      </c>
      <c r="J39" s="184">
        <v>0</v>
      </c>
      <c r="K39" s="135">
        <v>0</v>
      </c>
      <c r="L39" s="135">
        <v>0</v>
      </c>
      <c r="M39" s="135">
        <v>0</v>
      </c>
      <c r="N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2:40" ht="12.75">
      <c r="B40" s="17"/>
      <c r="C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2:40" ht="12.75">
      <c r="B41" s="152"/>
      <c r="C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3:40" ht="12.75">
      <c r="C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3:40" ht="12.75">
      <c r="C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3:40" ht="12.75">
      <c r="C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3:40" ht="12.75">
      <c r="C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3:40" ht="12.75">
      <c r="C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3:40" ht="12.75">
      <c r="C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3:40" ht="12.75">
      <c r="C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3:40" ht="12.75">
      <c r="C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3:40" ht="12.75">
      <c r="C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3:40" ht="12.75">
      <c r="C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3:40" ht="12.75">
      <c r="C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3:40" ht="12.75">
      <c r="C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3:40" ht="12.75">
      <c r="C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3:40" ht="12.75">
      <c r="C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3:40" ht="12.75">
      <c r="C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3:40" ht="12.75">
      <c r="C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3:40" ht="12.75">
      <c r="C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3:40" ht="12.75">
      <c r="C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3:40" ht="12.75">
      <c r="C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3:40" ht="12.75">
      <c r="C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3:40" ht="12.75">
      <c r="C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3:40" ht="12.75">
      <c r="C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3:40" ht="12.75">
      <c r="C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3:40" ht="12.75">
      <c r="C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3:40" ht="12.75">
      <c r="C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3:40" ht="12.75">
      <c r="C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3:40" ht="12.75">
      <c r="C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3:40" ht="12.75">
      <c r="C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3:40" ht="12.75">
      <c r="C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3:40" ht="12.75">
      <c r="C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3:40" ht="12.75">
      <c r="C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3:40" ht="12.75">
      <c r="C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3:40" ht="12.75">
      <c r="C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3:40" ht="12.75">
      <c r="C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3:40" ht="12.75">
      <c r="C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</sheetData>
  <sheetProtection password="C935" sheet="1" objects="1" scenarios="1"/>
  <mergeCells count="7">
    <mergeCell ref="A1:M1"/>
    <mergeCell ref="I5:M5"/>
    <mergeCell ref="I6:M6"/>
    <mergeCell ref="D7:D9"/>
    <mergeCell ref="E5:G6"/>
    <mergeCell ref="A2:M2"/>
    <mergeCell ref="A3:M3"/>
  </mergeCells>
  <printOptions horizontalCentered="1"/>
  <pageMargins left="0.27" right="0.34" top="0.83" bottom="1" header="0.67" footer="0.5"/>
  <pageSetup fitToHeight="1" fitToWidth="1" horizontalDpi="600" verticalDpi="600" orientation="landscape" scale="82" r:id="rId1"/>
  <headerFooter alignWithMargins="0">
    <oddFooter>&amp;L&amp;"Arial,Italic"&amp;9MSDE-DBS  11 / 2006
&amp;C- 13 -&amp;R&amp;"Arial,Italic"&amp;9Selected Financial Data-Part 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1">
      <selection activeCell="C43" sqref="C43"/>
    </sheetView>
  </sheetViews>
  <sheetFormatPr defaultColWidth="9.140625" defaultRowHeight="12.75"/>
  <cols>
    <col min="1" max="2" width="14.421875" style="0" customWidth="1"/>
    <col min="3" max="4" width="11.57421875" style="0" customWidth="1"/>
    <col min="5" max="5" width="13.8515625" style="0" bestFit="1" customWidth="1"/>
    <col min="6" max="6" width="11.28125" style="0" customWidth="1"/>
    <col min="7" max="7" width="12.28125" style="0" bestFit="1" customWidth="1"/>
    <col min="8" max="8" width="12.28125" style="0" customWidth="1"/>
    <col min="9" max="9" width="2.57421875" style="0" customWidth="1"/>
    <col min="10" max="10" width="15.00390625" style="0" bestFit="1" customWidth="1"/>
    <col min="11" max="11" width="12.28125" style="0" bestFit="1" customWidth="1"/>
  </cols>
  <sheetData>
    <row r="1" spans="1:11" ht="12.75">
      <c r="A1" s="424" t="s">
        <v>136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2" ht="12.75">
      <c r="A2" s="3"/>
      <c r="B2" s="3"/>
    </row>
    <row r="3" spans="1:11" ht="12.75">
      <c r="A3" s="430" t="s">
        <v>298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</row>
    <row r="4" spans="1:11" ht="13.5" thickBot="1">
      <c r="A4" s="3"/>
      <c r="B4" s="3"/>
      <c r="C4" s="3"/>
      <c r="D4" s="3"/>
      <c r="E4" s="3"/>
      <c r="F4" s="3"/>
      <c r="G4" s="3"/>
      <c r="H4" s="3"/>
      <c r="I4" s="13"/>
      <c r="J4" s="3"/>
      <c r="K4" s="3"/>
    </row>
    <row r="5" spans="1:11" ht="15" customHeight="1" thickTop="1">
      <c r="A5" s="6"/>
      <c r="B5" s="195"/>
      <c r="C5" s="381"/>
      <c r="D5" s="381"/>
      <c r="E5" s="381"/>
      <c r="F5" s="381"/>
      <c r="G5" s="381"/>
      <c r="H5" s="381"/>
      <c r="I5" s="4"/>
      <c r="J5" s="381" t="s">
        <v>96</v>
      </c>
      <c r="K5" s="381"/>
    </row>
    <row r="6" spans="1:11" ht="12.75">
      <c r="A6" s="3"/>
      <c r="B6" s="3"/>
      <c r="C6" s="4"/>
      <c r="D6" s="4"/>
      <c r="E6" s="93" t="s">
        <v>162</v>
      </c>
      <c r="F6" s="186" t="s">
        <v>258</v>
      </c>
      <c r="G6" s="4"/>
      <c r="I6" s="4"/>
      <c r="J6" s="93" t="s">
        <v>91</v>
      </c>
      <c r="K6" s="86"/>
    </row>
    <row r="7" spans="1:11" ht="12.75" customHeight="1">
      <c r="A7" s="3" t="s">
        <v>101</v>
      </c>
      <c r="B7" s="431" t="s">
        <v>188</v>
      </c>
      <c r="C7" s="93" t="s">
        <v>161</v>
      </c>
      <c r="D7" s="394" t="s">
        <v>190</v>
      </c>
      <c r="E7" s="93" t="s">
        <v>81</v>
      </c>
      <c r="F7" s="399" t="s">
        <v>259</v>
      </c>
      <c r="G7" s="4" t="s">
        <v>163</v>
      </c>
      <c r="H7" s="93" t="s">
        <v>260</v>
      </c>
      <c r="I7" s="4"/>
      <c r="J7" s="93" t="s">
        <v>42</v>
      </c>
      <c r="K7" s="93" t="s">
        <v>94</v>
      </c>
    </row>
    <row r="8" spans="1:11" ht="12.75">
      <c r="A8" s="3" t="s">
        <v>41</v>
      </c>
      <c r="B8" s="394"/>
      <c r="C8" s="93" t="s">
        <v>26</v>
      </c>
      <c r="D8" s="397"/>
      <c r="E8" s="93" t="s">
        <v>82</v>
      </c>
      <c r="F8" s="399"/>
      <c r="G8" s="4" t="s">
        <v>158</v>
      </c>
      <c r="H8" s="4" t="s">
        <v>261</v>
      </c>
      <c r="I8" s="4"/>
      <c r="J8" s="93" t="s">
        <v>100</v>
      </c>
      <c r="K8" s="93" t="s">
        <v>171</v>
      </c>
    </row>
    <row r="9" spans="1:11" ht="13.5" thickBot="1">
      <c r="A9" s="7" t="s">
        <v>154</v>
      </c>
      <c r="B9" s="395"/>
      <c r="C9" s="109" t="s">
        <v>84</v>
      </c>
      <c r="D9" s="395"/>
      <c r="E9" s="109" t="s">
        <v>83</v>
      </c>
      <c r="F9" s="401"/>
      <c r="G9" s="8" t="s">
        <v>41</v>
      </c>
      <c r="H9" s="8"/>
      <c r="I9" s="8"/>
      <c r="J9" s="109" t="s">
        <v>90</v>
      </c>
      <c r="K9" s="109" t="s">
        <v>95</v>
      </c>
    </row>
    <row r="10" spans="1:11" s="313" customFormat="1" ht="12.75">
      <c r="A10" s="311" t="s">
        <v>0</v>
      </c>
      <c r="B10" s="85">
        <f>SUM(B12:B39)</f>
        <v>4042816.9499999993</v>
      </c>
      <c r="C10" s="85">
        <f aca="true" t="shared" si="0" ref="C10:K10">SUM(C12:C39)</f>
        <v>9420270.850000003</v>
      </c>
      <c r="D10" s="85">
        <f>SUM(D12:D39)</f>
        <v>3490541.2199999997</v>
      </c>
      <c r="E10" s="85">
        <f t="shared" si="0"/>
        <v>4766372.079999999</v>
      </c>
      <c r="F10" s="85">
        <f t="shared" si="0"/>
        <v>499948.70999999996</v>
      </c>
      <c r="G10" s="85">
        <f t="shared" si="0"/>
        <v>158012.65999999997</v>
      </c>
      <c r="H10" s="85">
        <f t="shared" si="0"/>
        <v>12213163.82</v>
      </c>
      <c r="I10" s="85"/>
      <c r="J10" s="85">
        <f t="shared" si="0"/>
        <v>112395655.39000002</v>
      </c>
      <c r="K10" s="85">
        <f t="shared" si="0"/>
        <v>11540199.019999998</v>
      </c>
    </row>
    <row r="11" spans="1:11" ht="12.75">
      <c r="A11" s="3"/>
      <c r="B11" s="3"/>
      <c r="C11" s="143"/>
      <c r="D11" s="86"/>
      <c r="E11" s="143"/>
      <c r="F11" s="87"/>
      <c r="G11" s="143"/>
      <c r="H11" s="143"/>
      <c r="I11" s="143"/>
      <c r="J11" s="143"/>
      <c r="K11" s="143"/>
    </row>
    <row r="12" spans="1:11" ht="12.75">
      <c r="A12" s="3" t="s">
        <v>1</v>
      </c>
      <c r="B12" s="173">
        <v>153750.67</v>
      </c>
      <c r="C12" s="97">
        <v>175409.59</v>
      </c>
      <c r="D12" s="144">
        <v>88065.56</v>
      </c>
      <c r="E12" s="97">
        <v>81430.61</v>
      </c>
      <c r="F12" s="97">
        <v>0</v>
      </c>
      <c r="G12" s="115">
        <v>0</v>
      </c>
      <c r="H12" s="115">
        <v>310165.49</v>
      </c>
      <c r="I12" s="97"/>
      <c r="J12" s="94">
        <v>2059203.77</v>
      </c>
      <c r="K12" s="94">
        <v>268883.02</v>
      </c>
    </row>
    <row r="13" spans="1:11" ht="12.75">
      <c r="A13" s="3" t="s">
        <v>2</v>
      </c>
      <c r="B13" s="173">
        <v>202858.3</v>
      </c>
      <c r="C13" s="97">
        <v>209372.71</v>
      </c>
      <c r="D13" s="144">
        <v>282714.34</v>
      </c>
      <c r="E13" s="145">
        <v>448873.33</v>
      </c>
      <c r="F13" s="97">
        <v>0</v>
      </c>
      <c r="G13" s="115">
        <v>0</v>
      </c>
      <c r="H13" s="115">
        <v>0</v>
      </c>
      <c r="I13" s="97"/>
      <c r="J13" s="94">
        <v>5367447</v>
      </c>
      <c r="K13" s="94">
        <v>998365</v>
      </c>
    </row>
    <row r="14" spans="1:11" ht="12.75">
      <c r="A14" s="3" t="s">
        <v>3</v>
      </c>
      <c r="B14" s="278">
        <v>1291560.34</v>
      </c>
      <c r="C14" s="97">
        <v>2961290.99</v>
      </c>
      <c r="D14" s="144">
        <v>1069776.65</v>
      </c>
      <c r="E14" s="97">
        <v>1157018.56</v>
      </c>
      <c r="F14" s="97">
        <v>0</v>
      </c>
      <c r="G14" s="307">
        <v>88449.37</v>
      </c>
      <c r="H14" s="307">
        <v>5333919.89</v>
      </c>
      <c r="I14" s="97"/>
      <c r="J14" s="94">
        <v>22393307.26</v>
      </c>
      <c r="K14" s="145">
        <v>0</v>
      </c>
    </row>
    <row r="15" spans="1:11" ht="12.75">
      <c r="A15" s="3" t="s">
        <v>4</v>
      </c>
      <c r="B15" s="173">
        <v>112228.22</v>
      </c>
      <c r="C15" s="97">
        <v>1238710.25</v>
      </c>
      <c r="D15" s="144">
        <v>80391.08</v>
      </c>
      <c r="E15" s="97">
        <v>598163.37</v>
      </c>
      <c r="F15" s="97">
        <v>0</v>
      </c>
      <c r="G15" s="115">
        <v>0</v>
      </c>
      <c r="H15" s="115">
        <v>2056194.37</v>
      </c>
      <c r="I15" s="97"/>
      <c r="J15" s="94">
        <v>13357352.09</v>
      </c>
      <c r="K15" s="94">
        <v>1644990.2</v>
      </c>
    </row>
    <row r="16" spans="1:11" ht="12.75">
      <c r="A16" s="3" t="s">
        <v>5</v>
      </c>
      <c r="B16" s="128">
        <v>0</v>
      </c>
      <c r="C16" s="145">
        <v>47066.88</v>
      </c>
      <c r="D16" s="144">
        <v>33547.15</v>
      </c>
      <c r="E16" s="97">
        <v>56243.67</v>
      </c>
      <c r="F16" s="97">
        <v>46683.71</v>
      </c>
      <c r="G16" s="115">
        <v>0</v>
      </c>
      <c r="H16" s="115">
        <v>0</v>
      </c>
      <c r="I16" s="97"/>
      <c r="J16" s="94">
        <v>844815.44</v>
      </c>
      <c r="K16" s="94">
        <v>205280.73</v>
      </c>
    </row>
    <row r="17" spans="1:11" ht="12.75">
      <c r="A17" s="3"/>
      <c r="B17" s="128"/>
      <c r="C17" s="91"/>
      <c r="D17" s="144"/>
      <c r="E17" s="97"/>
      <c r="F17" s="97"/>
      <c r="G17" s="115"/>
      <c r="H17" s="115"/>
      <c r="I17" s="97"/>
      <c r="J17" s="94"/>
      <c r="K17" s="94"/>
    </row>
    <row r="18" spans="1:11" ht="12.75">
      <c r="A18" s="3" t="s">
        <v>6</v>
      </c>
      <c r="B18" s="173">
        <v>318646.73</v>
      </c>
      <c r="C18" s="145">
        <v>32669.95</v>
      </c>
      <c r="D18" s="185">
        <v>0</v>
      </c>
      <c r="E18" s="97">
        <v>62459.1</v>
      </c>
      <c r="F18" s="97">
        <v>0</v>
      </c>
      <c r="G18" s="115">
        <v>0</v>
      </c>
      <c r="H18" s="115">
        <v>0</v>
      </c>
      <c r="I18" s="97"/>
      <c r="J18" s="94">
        <v>977437.07</v>
      </c>
      <c r="K18" s="94">
        <v>121131.44</v>
      </c>
    </row>
    <row r="19" spans="1:11" ht="12.75">
      <c r="A19" s="3" t="s">
        <v>7</v>
      </c>
      <c r="B19" s="173">
        <v>362529.24</v>
      </c>
      <c r="C19" s="97">
        <v>227028.13</v>
      </c>
      <c r="D19" s="144">
        <v>0</v>
      </c>
      <c r="E19" s="97">
        <v>89157</v>
      </c>
      <c r="F19" s="97">
        <v>142077.79</v>
      </c>
      <c r="G19" s="115">
        <v>0</v>
      </c>
      <c r="H19" s="115">
        <v>0</v>
      </c>
      <c r="I19" s="97"/>
      <c r="J19" s="94">
        <v>1258441</v>
      </c>
      <c r="K19" s="94">
        <v>422222</v>
      </c>
    </row>
    <row r="20" spans="1:11" ht="12.75">
      <c r="A20" s="3" t="s">
        <v>8</v>
      </c>
      <c r="B20" s="173">
        <v>139137.79</v>
      </c>
      <c r="C20" s="97">
        <v>44680.9</v>
      </c>
      <c r="D20" s="144">
        <v>0</v>
      </c>
      <c r="E20" s="97">
        <v>52976.26</v>
      </c>
      <c r="F20" s="97">
        <v>0</v>
      </c>
      <c r="G20" s="115">
        <v>0</v>
      </c>
      <c r="H20" s="115">
        <v>0</v>
      </c>
      <c r="I20" s="97"/>
      <c r="J20" s="94">
        <v>1655517.26</v>
      </c>
      <c r="K20" s="94">
        <v>242164.25</v>
      </c>
    </row>
    <row r="21" spans="1:11" ht="12.75">
      <c r="A21" s="3" t="s">
        <v>9</v>
      </c>
      <c r="B21" s="179">
        <v>0</v>
      </c>
      <c r="C21" s="97">
        <v>66977.4</v>
      </c>
      <c r="D21" s="144">
        <v>238.63</v>
      </c>
      <c r="E21" s="97">
        <v>82083.6</v>
      </c>
      <c r="F21" s="97">
        <v>0</v>
      </c>
      <c r="G21" s="279">
        <v>44655</v>
      </c>
      <c r="H21" s="156">
        <v>0</v>
      </c>
      <c r="I21" s="97"/>
      <c r="J21" s="94">
        <v>2454931.79</v>
      </c>
      <c r="K21" s="94">
        <v>429837.03</v>
      </c>
    </row>
    <row r="22" spans="1:11" ht="12.75">
      <c r="A22" s="3" t="s">
        <v>10</v>
      </c>
      <c r="B22" s="173">
        <v>127251.76</v>
      </c>
      <c r="C22" s="97">
        <v>115652.7</v>
      </c>
      <c r="D22" s="144">
        <v>5424.12</v>
      </c>
      <c r="E22" s="97">
        <v>22824.28</v>
      </c>
      <c r="F22" s="97">
        <v>0</v>
      </c>
      <c r="G22" s="115">
        <v>0</v>
      </c>
      <c r="H22" s="115">
        <v>191123.32</v>
      </c>
      <c r="I22" s="97"/>
      <c r="J22" s="94">
        <v>1029746</v>
      </c>
      <c r="K22" s="94">
        <v>109195</v>
      </c>
    </row>
    <row r="23" spans="1:11" ht="12.75">
      <c r="A23" s="3"/>
      <c r="B23" s="128"/>
      <c r="C23" s="165"/>
      <c r="D23" s="144"/>
      <c r="E23" s="165"/>
      <c r="F23" s="97"/>
      <c r="G23" s="115"/>
      <c r="H23" s="115"/>
      <c r="I23" s="97"/>
      <c r="J23" s="94"/>
      <c r="K23" s="94"/>
    </row>
    <row r="24" spans="1:11" ht="12.75">
      <c r="A24" s="3" t="s">
        <v>11</v>
      </c>
      <c r="B24" s="306">
        <v>484659.8</v>
      </c>
      <c r="C24" s="97">
        <v>57587.39</v>
      </c>
      <c r="D24" s="144">
        <v>157657.64</v>
      </c>
      <c r="E24" s="97">
        <v>121823.38</v>
      </c>
      <c r="F24" s="97">
        <v>0</v>
      </c>
      <c r="G24" s="115">
        <v>0</v>
      </c>
      <c r="H24" s="97">
        <v>0</v>
      </c>
      <c r="I24" s="97"/>
      <c r="J24" s="94">
        <v>2329624</v>
      </c>
      <c r="K24" s="94">
        <v>562264</v>
      </c>
    </row>
    <row r="25" spans="1:11" ht="12.75">
      <c r="A25" s="3" t="s">
        <v>12</v>
      </c>
      <c r="B25" s="173">
        <v>251.36</v>
      </c>
      <c r="C25" s="97">
        <v>57079.51</v>
      </c>
      <c r="D25" s="144">
        <v>0</v>
      </c>
      <c r="E25" s="97">
        <v>27397.92</v>
      </c>
      <c r="F25" s="97">
        <v>0</v>
      </c>
      <c r="G25" s="115">
        <v>0</v>
      </c>
      <c r="H25" s="115">
        <v>201735.83</v>
      </c>
      <c r="I25" s="97"/>
      <c r="J25" s="94">
        <v>873349</v>
      </c>
      <c r="K25" s="94">
        <v>113884</v>
      </c>
    </row>
    <row r="26" spans="1:11" ht="12.75">
      <c r="A26" s="3" t="s">
        <v>13</v>
      </c>
      <c r="B26" s="173">
        <v>134704.57</v>
      </c>
      <c r="C26" s="97">
        <v>119316.12</v>
      </c>
      <c r="D26" s="144">
        <v>192909.11</v>
      </c>
      <c r="E26" s="97">
        <v>153622.45</v>
      </c>
      <c r="F26" s="97">
        <v>0</v>
      </c>
      <c r="G26" s="115">
        <v>0</v>
      </c>
      <c r="H26" s="97">
        <v>0</v>
      </c>
      <c r="I26" s="97"/>
      <c r="J26" s="94">
        <v>4339587</v>
      </c>
      <c r="K26" s="145">
        <v>0</v>
      </c>
    </row>
    <row r="27" spans="1:11" ht="12.75">
      <c r="A27" s="3" t="s">
        <v>14</v>
      </c>
      <c r="B27" s="128">
        <v>0</v>
      </c>
      <c r="C27" s="97">
        <v>52678.55</v>
      </c>
      <c r="D27" s="144">
        <v>381817.48</v>
      </c>
      <c r="E27" s="97">
        <v>176916.85</v>
      </c>
      <c r="F27" s="145">
        <v>98255.63</v>
      </c>
      <c r="G27" s="115">
        <v>0</v>
      </c>
      <c r="H27" s="97">
        <v>0</v>
      </c>
      <c r="I27" s="97"/>
      <c r="J27" s="94">
        <v>2245440</v>
      </c>
      <c r="K27" s="94">
        <v>602033</v>
      </c>
    </row>
    <row r="28" spans="1:11" ht="12.75">
      <c r="A28" s="3" t="s">
        <v>15</v>
      </c>
      <c r="B28" s="173">
        <v>93868</v>
      </c>
      <c r="C28" s="97">
        <v>89206.4</v>
      </c>
      <c r="D28" s="144">
        <v>1962.5</v>
      </c>
      <c r="E28" s="97">
        <v>17869</v>
      </c>
      <c r="F28" s="97">
        <v>0</v>
      </c>
      <c r="G28" s="115">
        <v>0</v>
      </c>
      <c r="H28" s="97">
        <v>0</v>
      </c>
      <c r="I28" s="97"/>
      <c r="J28" s="94">
        <v>460592</v>
      </c>
      <c r="K28" s="94">
        <v>66642</v>
      </c>
    </row>
    <row r="29" spans="1:11" ht="12.75">
      <c r="A29" s="3"/>
      <c r="B29" s="128"/>
      <c r="C29" s="97"/>
      <c r="D29" s="144"/>
      <c r="E29" s="97"/>
      <c r="F29" s="97"/>
      <c r="G29" s="115"/>
      <c r="H29" s="115"/>
      <c r="I29" s="97"/>
      <c r="J29" s="94"/>
      <c r="K29" s="94"/>
    </row>
    <row r="30" spans="1:11" ht="12.75">
      <c r="A30" s="3" t="s">
        <v>16</v>
      </c>
      <c r="B30" s="128">
        <v>0</v>
      </c>
      <c r="C30" s="97">
        <v>1227748.34</v>
      </c>
      <c r="D30" s="144">
        <v>486047.45</v>
      </c>
      <c r="E30" s="97">
        <v>508466.01</v>
      </c>
      <c r="F30" s="97">
        <v>0</v>
      </c>
      <c r="G30" s="279">
        <v>22228.18</v>
      </c>
      <c r="H30" s="279">
        <v>1991822.16</v>
      </c>
      <c r="I30" s="97"/>
      <c r="J30" s="94">
        <v>13972420.51</v>
      </c>
      <c r="K30" s="94">
        <v>2106457.63</v>
      </c>
    </row>
    <row r="31" spans="1:11" ht="12.75">
      <c r="A31" s="3" t="s">
        <v>17</v>
      </c>
      <c r="B31" s="173">
        <v>2098.64</v>
      </c>
      <c r="C31" s="97">
        <v>1676278.48</v>
      </c>
      <c r="D31" s="144">
        <v>419447</v>
      </c>
      <c r="E31" s="97">
        <v>727932.09</v>
      </c>
      <c r="F31" s="97">
        <v>0</v>
      </c>
      <c r="G31" s="279">
        <v>2680.11</v>
      </c>
      <c r="H31" s="279">
        <v>1741014.38</v>
      </c>
      <c r="I31" s="97"/>
      <c r="J31" s="94">
        <v>26714792.03</v>
      </c>
      <c r="K31" s="94">
        <v>2525328.45</v>
      </c>
    </row>
    <row r="32" spans="1:11" ht="12.75">
      <c r="A32" s="3" t="s">
        <v>18</v>
      </c>
      <c r="B32" s="128">
        <v>0</v>
      </c>
      <c r="C32" s="97">
        <v>19092.22</v>
      </c>
      <c r="D32" s="144">
        <v>0</v>
      </c>
      <c r="E32" s="97">
        <v>35054.85</v>
      </c>
      <c r="F32" s="97">
        <v>0</v>
      </c>
      <c r="G32" s="115">
        <v>0</v>
      </c>
      <c r="H32" s="97">
        <v>0</v>
      </c>
      <c r="I32" s="97"/>
      <c r="J32" s="94">
        <v>453526.22</v>
      </c>
      <c r="K32" s="145">
        <v>0</v>
      </c>
    </row>
    <row r="33" spans="1:11" ht="12.75">
      <c r="A33" s="3" t="s">
        <v>19</v>
      </c>
      <c r="B33" s="128">
        <v>0</v>
      </c>
      <c r="C33" s="97">
        <v>53666.91</v>
      </c>
      <c r="D33" s="144">
        <v>104728.86</v>
      </c>
      <c r="E33" s="97">
        <v>42869.07</v>
      </c>
      <c r="F33" s="97">
        <v>0</v>
      </c>
      <c r="G33" s="115">
        <v>0</v>
      </c>
      <c r="H33" s="97">
        <v>0</v>
      </c>
      <c r="I33" s="97"/>
      <c r="J33" s="94">
        <v>1641514.12</v>
      </c>
      <c r="K33" s="94">
        <v>338410.95</v>
      </c>
    </row>
    <row r="34" spans="1:11" ht="12.75">
      <c r="A34" s="3" t="s">
        <v>20</v>
      </c>
      <c r="B34" s="173">
        <v>201375.73</v>
      </c>
      <c r="C34" s="97">
        <v>176554.94</v>
      </c>
      <c r="D34" s="185">
        <v>0</v>
      </c>
      <c r="E34" s="97">
        <v>27058.38</v>
      </c>
      <c r="F34" s="97">
        <v>0</v>
      </c>
      <c r="G34" s="115">
        <v>0</v>
      </c>
      <c r="H34" s="97">
        <v>174907.52</v>
      </c>
      <c r="I34" s="97"/>
      <c r="J34" s="94">
        <v>813687.22</v>
      </c>
      <c r="K34" s="145">
        <v>0</v>
      </c>
    </row>
    <row r="35" spans="1:11" ht="12.75">
      <c r="A35" s="3"/>
      <c r="B35" s="128"/>
      <c r="C35" s="97"/>
      <c r="D35" s="144"/>
      <c r="E35" s="97"/>
      <c r="F35" s="97"/>
      <c r="G35" s="115"/>
      <c r="H35" s="115"/>
      <c r="I35" s="97"/>
      <c r="J35" s="94"/>
      <c r="K35" s="94"/>
    </row>
    <row r="36" spans="1:11" ht="12.75">
      <c r="A36" s="3" t="s">
        <v>21</v>
      </c>
      <c r="B36" s="128">
        <v>0</v>
      </c>
      <c r="C36" s="97">
        <v>62258.06</v>
      </c>
      <c r="D36" s="144">
        <v>80488.65</v>
      </c>
      <c r="E36" s="145">
        <v>19073.75</v>
      </c>
      <c r="F36" s="97">
        <v>0</v>
      </c>
      <c r="G36" s="115">
        <v>0</v>
      </c>
      <c r="H36" s="97">
        <v>0</v>
      </c>
      <c r="I36" s="97"/>
      <c r="J36" s="94">
        <v>536875.84</v>
      </c>
      <c r="K36" s="94">
        <v>89935.03</v>
      </c>
    </row>
    <row r="37" spans="1:11" ht="12.75">
      <c r="A37" s="3" t="s">
        <v>22</v>
      </c>
      <c r="B37" s="173">
        <v>259380.98</v>
      </c>
      <c r="C37" s="97">
        <v>375661.08</v>
      </c>
      <c r="D37" s="144">
        <v>105325</v>
      </c>
      <c r="E37" s="97">
        <v>126489.29</v>
      </c>
      <c r="F37" s="97">
        <v>75741.98</v>
      </c>
      <c r="G37" s="115">
        <v>0</v>
      </c>
      <c r="H37" s="97">
        <v>0</v>
      </c>
      <c r="I37" s="97"/>
      <c r="J37" s="94">
        <v>2915701</v>
      </c>
      <c r="K37" s="94">
        <v>342949</v>
      </c>
    </row>
    <row r="38" spans="1:11" ht="12.75">
      <c r="A38" s="3" t="s">
        <v>23</v>
      </c>
      <c r="B38" s="173">
        <v>158514.82</v>
      </c>
      <c r="C38" s="97">
        <v>182933.97</v>
      </c>
      <c r="D38" s="144">
        <v>0</v>
      </c>
      <c r="E38" s="97">
        <v>95042.26</v>
      </c>
      <c r="F38" s="97">
        <v>0</v>
      </c>
      <c r="G38" s="115">
        <v>0</v>
      </c>
      <c r="H38" s="97">
        <v>0</v>
      </c>
      <c r="I38" s="97"/>
      <c r="J38" s="94">
        <v>2692997.54</v>
      </c>
      <c r="K38" s="94">
        <v>173161.29</v>
      </c>
    </row>
    <row r="39" spans="1:11" ht="12.75">
      <c r="A39" s="14" t="s">
        <v>24</v>
      </c>
      <c r="B39" s="135">
        <v>0</v>
      </c>
      <c r="C39" s="146">
        <v>151349.38</v>
      </c>
      <c r="D39" s="147">
        <v>0</v>
      </c>
      <c r="E39" s="146">
        <v>35527</v>
      </c>
      <c r="F39" s="146">
        <v>137189.6</v>
      </c>
      <c r="G39" s="119">
        <v>0</v>
      </c>
      <c r="H39" s="119">
        <v>212280.86</v>
      </c>
      <c r="I39" s="146"/>
      <c r="J39" s="98">
        <v>1007350.23</v>
      </c>
      <c r="K39" s="98">
        <v>177065</v>
      </c>
    </row>
    <row r="40" spans="1:11" ht="12.75">
      <c r="A40" s="3"/>
      <c r="B40" s="3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3"/>
      <c r="B41" s="3"/>
      <c r="C41" s="17"/>
      <c r="D41" s="17"/>
      <c r="E41" s="17"/>
      <c r="F41" s="17"/>
      <c r="G41" s="17"/>
      <c r="H41" s="17"/>
      <c r="I41" s="17"/>
      <c r="J41" s="151"/>
      <c r="K41" s="17"/>
    </row>
    <row r="42" spans="1:11" ht="12.75">
      <c r="A42" s="3"/>
      <c r="B42" s="3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2.75">
      <c r="A43" s="3"/>
      <c r="B43" s="3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2.75">
      <c r="A44" s="3"/>
      <c r="B44" s="3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2.75">
      <c r="A45" s="3"/>
      <c r="B45" s="3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.75">
      <c r="A46" s="3"/>
      <c r="B46" s="3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.75">
      <c r="A47" s="3"/>
      <c r="B47" s="3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3"/>
      <c r="B48" s="3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2.75">
      <c r="A49" s="3"/>
      <c r="B49" s="3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2.75">
      <c r="A50" s="3"/>
      <c r="B50" s="3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2.75">
      <c r="A51" s="3"/>
      <c r="B51" s="3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2.75">
      <c r="A52" s="3"/>
      <c r="B52" s="3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2.75">
      <c r="A53" s="3"/>
      <c r="B53" s="3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2.75">
      <c r="A54" s="3"/>
      <c r="B54" s="3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.75">
      <c r="A55" s="3"/>
      <c r="B55" s="3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.75">
      <c r="A56" s="3"/>
      <c r="B56" s="3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2.75">
      <c r="A57" s="3"/>
      <c r="B57" s="3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2.75">
      <c r="A58" s="3"/>
      <c r="B58" s="3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3"/>
      <c r="B59" s="3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3"/>
      <c r="B60" s="3"/>
      <c r="C60" s="17"/>
      <c r="D60" s="17"/>
      <c r="E60" s="17"/>
      <c r="F60" s="17"/>
      <c r="G60" s="17"/>
      <c r="H60" s="17"/>
      <c r="I60" s="17"/>
      <c r="J60" s="17"/>
      <c r="K60" s="17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</sheetData>
  <sheetProtection password="C935" sheet="1" objects="1" scenarios="1"/>
  <mergeCells count="7">
    <mergeCell ref="D7:D9"/>
    <mergeCell ref="J5:K5"/>
    <mergeCell ref="A1:K1"/>
    <mergeCell ref="A3:K3"/>
    <mergeCell ref="C5:H5"/>
    <mergeCell ref="F7:F9"/>
    <mergeCell ref="B7:B9"/>
  </mergeCells>
  <printOptions horizontalCentered="1"/>
  <pageMargins left="0.87" right="0.32" top="0.83" bottom="1" header="0.67" footer="0.5"/>
  <pageSetup fitToHeight="1" fitToWidth="1" horizontalDpi="600" verticalDpi="600" orientation="landscape" scale="97" r:id="rId1"/>
  <headerFooter alignWithMargins="0">
    <oddFooter>&amp;L&amp;"Arial,Italic"&amp;9MSDE-DBS  11 / 2006
&amp;C- 14 -&amp;R&amp;"Arial,Italic"&amp;9Selected Financial Data-Part 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 topLeftCell="C13">
      <selection activeCell="B32" sqref="B32"/>
    </sheetView>
  </sheetViews>
  <sheetFormatPr defaultColWidth="9.140625" defaultRowHeight="12.75"/>
  <cols>
    <col min="1" max="1" width="14.421875" style="0" customWidth="1"/>
    <col min="2" max="2" width="13.8515625" style="0" bestFit="1" customWidth="1"/>
    <col min="3" max="3" width="14.8515625" style="0" bestFit="1" customWidth="1"/>
    <col min="4" max="4" width="13.8515625" style="0" bestFit="1" customWidth="1"/>
    <col min="5" max="5" width="13.8515625" style="0" customWidth="1"/>
    <col min="6" max="6" width="11.421875" style="0" customWidth="1"/>
    <col min="7" max="7" width="13.8515625" style="0" bestFit="1" customWidth="1"/>
    <col min="8" max="8" width="13.8515625" style="0" customWidth="1"/>
    <col min="9" max="9" width="13.8515625" style="0" bestFit="1" customWidth="1"/>
  </cols>
  <sheetData>
    <row r="1" spans="1:10" ht="12.75">
      <c r="A1" s="424" t="s">
        <v>136</v>
      </c>
      <c r="B1" s="424"/>
      <c r="C1" s="424"/>
      <c r="D1" s="424"/>
      <c r="E1" s="424"/>
      <c r="F1" s="424"/>
      <c r="G1" s="424"/>
      <c r="H1" s="424"/>
      <c r="I1" s="424"/>
      <c r="J1" s="4"/>
    </row>
    <row r="2" ht="12.75">
      <c r="A2" s="3"/>
    </row>
    <row r="3" spans="1:10" ht="12.75">
      <c r="A3" s="424" t="s">
        <v>298</v>
      </c>
      <c r="B3" s="424"/>
      <c r="C3" s="424"/>
      <c r="D3" s="424"/>
      <c r="E3" s="424"/>
      <c r="F3" s="424"/>
      <c r="G3" s="424"/>
      <c r="H3" s="424"/>
      <c r="I3" s="424"/>
      <c r="J3" s="4"/>
    </row>
    <row r="4" spans="1:8" ht="13.5" thickBot="1">
      <c r="A4" s="3"/>
      <c r="B4" s="3"/>
      <c r="C4" s="13"/>
      <c r="D4" s="13"/>
      <c r="E4" s="13"/>
      <c r="F4" s="13"/>
      <c r="G4" s="13"/>
      <c r="H4" s="13"/>
    </row>
    <row r="5" spans="1:9" ht="15" customHeight="1" thickTop="1">
      <c r="A5" s="6"/>
      <c r="B5" s="6"/>
      <c r="C5" s="381" t="s">
        <v>86</v>
      </c>
      <c r="D5" s="381"/>
      <c r="E5" s="381"/>
      <c r="F5" s="4"/>
      <c r="G5" s="432" t="s">
        <v>257</v>
      </c>
      <c r="H5" s="4"/>
      <c r="I5" s="6"/>
    </row>
    <row r="6" spans="1:9" ht="12.75">
      <c r="A6" s="3"/>
      <c r="B6" s="3"/>
      <c r="E6" s="138" t="s">
        <v>165</v>
      </c>
      <c r="G6" s="399"/>
      <c r="H6" s="93" t="s">
        <v>172</v>
      </c>
      <c r="I6" s="394" t="s">
        <v>263</v>
      </c>
    </row>
    <row r="7" spans="1:9" ht="12.75">
      <c r="A7" s="3" t="s">
        <v>101</v>
      </c>
      <c r="B7" s="3"/>
      <c r="D7" s="4"/>
      <c r="E7" s="93" t="s">
        <v>139</v>
      </c>
      <c r="F7" s="4" t="s">
        <v>54</v>
      </c>
      <c r="G7" s="399"/>
      <c r="H7" s="93" t="s">
        <v>37</v>
      </c>
      <c r="I7" s="399"/>
    </row>
    <row r="8" spans="1:9" ht="12.75">
      <c r="A8" s="3" t="s">
        <v>41</v>
      </c>
      <c r="B8" s="104" t="s">
        <v>98</v>
      </c>
      <c r="C8" s="149" t="s">
        <v>164</v>
      </c>
      <c r="D8" s="93" t="s">
        <v>164</v>
      </c>
      <c r="E8" s="93" t="s">
        <v>37</v>
      </c>
      <c r="F8" s="93" t="s">
        <v>77</v>
      </c>
      <c r="G8" s="399"/>
      <c r="H8" s="93" t="s">
        <v>150</v>
      </c>
      <c r="I8" s="399"/>
    </row>
    <row r="9" spans="1:9" ht="13.5" thickBot="1">
      <c r="A9" s="7" t="s">
        <v>154</v>
      </c>
      <c r="B9" s="109" t="s">
        <v>99</v>
      </c>
      <c r="C9" s="150" t="s">
        <v>173</v>
      </c>
      <c r="D9" s="109" t="s">
        <v>69</v>
      </c>
      <c r="E9" s="109" t="s">
        <v>140</v>
      </c>
      <c r="F9" s="109" t="s">
        <v>159</v>
      </c>
      <c r="G9" s="401"/>
      <c r="H9" s="109" t="s">
        <v>70</v>
      </c>
      <c r="I9" s="401"/>
    </row>
    <row r="10" spans="1:9" s="313" customFormat="1" ht="12.75">
      <c r="A10" s="311" t="s">
        <v>0</v>
      </c>
      <c r="B10" s="85">
        <f>SUM(B12:B39)</f>
        <v>10514543.540000001</v>
      </c>
      <c r="C10" s="85">
        <f aca="true" t="shared" si="0" ref="C10:I10">SUM(C12:C39)</f>
        <v>159128743.80999997</v>
      </c>
      <c r="D10" s="85">
        <f t="shared" si="0"/>
        <v>5754380.889999999</v>
      </c>
      <c r="E10" s="85">
        <f t="shared" si="0"/>
        <v>3158696.6600000006</v>
      </c>
      <c r="F10" s="85">
        <f t="shared" si="0"/>
        <v>462100.64999999997</v>
      </c>
      <c r="G10" s="85">
        <f t="shared" si="0"/>
        <v>40669324.89000001</v>
      </c>
      <c r="H10" s="85">
        <f t="shared" si="0"/>
        <v>307964.87</v>
      </c>
      <c r="I10" s="85">
        <f t="shared" si="0"/>
        <v>199166.73</v>
      </c>
    </row>
    <row r="11" spans="1:9" ht="12.75">
      <c r="A11" s="3"/>
      <c r="B11" s="143"/>
      <c r="C11" s="143"/>
      <c r="D11" s="143"/>
      <c r="E11" s="143"/>
      <c r="F11" s="143"/>
      <c r="G11" s="143"/>
      <c r="H11" s="143"/>
      <c r="I11" s="143"/>
    </row>
    <row r="12" spans="1:9" ht="12.75">
      <c r="A12" s="3" t="s">
        <v>1</v>
      </c>
      <c r="B12" s="165">
        <v>0</v>
      </c>
      <c r="C12" s="97">
        <v>2680873.72</v>
      </c>
      <c r="D12" s="97">
        <v>108748</v>
      </c>
      <c r="E12" s="97">
        <v>137797.16</v>
      </c>
      <c r="F12" s="97">
        <v>0</v>
      </c>
      <c r="G12" s="97">
        <v>853110.68</v>
      </c>
      <c r="H12" s="97">
        <v>0</v>
      </c>
      <c r="I12" s="97">
        <v>0</v>
      </c>
    </row>
    <row r="13" spans="1:9" ht="12.75">
      <c r="A13" s="3" t="s">
        <v>2</v>
      </c>
      <c r="B13" s="97">
        <v>3603523</v>
      </c>
      <c r="C13" s="97">
        <v>13633761.010000002</v>
      </c>
      <c r="D13" s="97">
        <v>669453.56</v>
      </c>
      <c r="E13" s="97">
        <v>605180.18</v>
      </c>
      <c r="F13" s="97">
        <v>400064.54</v>
      </c>
      <c r="G13" s="91">
        <v>3044165.7</v>
      </c>
      <c r="H13" s="97">
        <v>0</v>
      </c>
      <c r="I13" s="97">
        <v>0</v>
      </c>
    </row>
    <row r="14" spans="1:9" ht="12.75">
      <c r="A14" s="3" t="s">
        <v>3</v>
      </c>
      <c r="B14" s="97">
        <v>417672.1</v>
      </c>
      <c r="C14" s="97">
        <v>22274111.349999998</v>
      </c>
      <c r="D14" s="97">
        <v>861538.94</v>
      </c>
      <c r="E14" s="145">
        <v>0</v>
      </c>
      <c r="F14" s="97">
        <v>2103.1</v>
      </c>
      <c r="G14" s="91">
        <v>11541149.74</v>
      </c>
      <c r="H14" s="97">
        <v>0</v>
      </c>
      <c r="I14" s="97">
        <v>0</v>
      </c>
    </row>
    <row r="15" spans="1:9" ht="12.75">
      <c r="A15" s="3" t="s">
        <v>4</v>
      </c>
      <c r="B15" s="155">
        <v>0</v>
      </c>
      <c r="C15" s="97">
        <v>17787328.86</v>
      </c>
      <c r="D15" s="97">
        <v>799495.59</v>
      </c>
      <c r="E15" s="97">
        <v>875916</v>
      </c>
      <c r="F15" s="97">
        <v>0</v>
      </c>
      <c r="G15" s="97">
        <v>5283842.72</v>
      </c>
      <c r="H15" s="97">
        <v>164675.35</v>
      </c>
      <c r="I15" s="97">
        <v>89629.74</v>
      </c>
    </row>
    <row r="16" spans="1:9" ht="12.75">
      <c r="A16" s="3" t="s">
        <v>5</v>
      </c>
      <c r="B16" s="97">
        <v>241631.64</v>
      </c>
      <c r="C16" s="97">
        <v>2745913.76</v>
      </c>
      <c r="D16" s="97">
        <v>134135.72</v>
      </c>
      <c r="E16" s="97">
        <v>0</v>
      </c>
      <c r="F16" s="145">
        <v>0</v>
      </c>
      <c r="G16" s="97">
        <v>496073</v>
      </c>
      <c r="H16" s="97">
        <v>0</v>
      </c>
      <c r="I16" s="97">
        <v>0</v>
      </c>
    </row>
    <row r="17" spans="1:9" ht="12.75">
      <c r="A17" s="3"/>
      <c r="B17" s="165"/>
      <c r="C17" s="97"/>
      <c r="D17" s="97"/>
      <c r="E17" s="97"/>
      <c r="F17" s="97"/>
      <c r="G17" s="97"/>
      <c r="H17" s="97"/>
      <c r="I17" s="97"/>
    </row>
    <row r="18" spans="1:9" ht="12.75">
      <c r="A18" s="3" t="s">
        <v>6</v>
      </c>
      <c r="B18" s="165">
        <v>0</v>
      </c>
      <c r="C18" s="97">
        <v>1076410.49</v>
      </c>
      <c r="D18" s="97">
        <v>46230.64</v>
      </c>
      <c r="E18" s="97">
        <v>71259.31</v>
      </c>
      <c r="F18" s="97">
        <v>0</v>
      </c>
      <c r="G18" s="97">
        <v>239906.69</v>
      </c>
      <c r="H18" s="97">
        <v>0</v>
      </c>
      <c r="I18" s="97">
        <v>0</v>
      </c>
    </row>
    <row r="19" spans="1:9" ht="12.75">
      <c r="A19" s="3" t="s">
        <v>7</v>
      </c>
      <c r="B19" s="165">
        <v>0</v>
      </c>
      <c r="C19" s="145">
        <v>4805999.25</v>
      </c>
      <c r="D19" s="97">
        <v>184614</v>
      </c>
      <c r="E19" s="97">
        <v>191495</v>
      </c>
      <c r="F19" s="97">
        <v>0</v>
      </c>
      <c r="G19" s="97">
        <v>757083.84</v>
      </c>
      <c r="H19" s="97">
        <v>0</v>
      </c>
      <c r="I19" s="97">
        <v>0</v>
      </c>
    </row>
    <row r="20" spans="1:9" ht="12.75">
      <c r="A20" s="3" t="s">
        <v>8</v>
      </c>
      <c r="B20" s="165">
        <v>0</v>
      </c>
      <c r="C20" s="97">
        <v>3383582.73</v>
      </c>
      <c r="D20" s="97">
        <v>157202.8</v>
      </c>
      <c r="E20" s="97">
        <v>118895.13</v>
      </c>
      <c r="F20" s="97">
        <v>0</v>
      </c>
      <c r="G20" s="97">
        <v>693458.66</v>
      </c>
      <c r="H20" s="97">
        <v>0</v>
      </c>
      <c r="I20" s="97">
        <v>0</v>
      </c>
    </row>
    <row r="21" spans="1:9" ht="12.75">
      <c r="A21" s="3" t="s">
        <v>9</v>
      </c>
      <c r="B21" s="145">
        <v>979045.7</v>
      </c>
      <c r="C21" s="97">
        <v>4513228.68</v>
      </c>
      <c r="D21" s="97">
        <v>149223.04</v>
      </c>
      <c r="E21" s="97">
        <v>0</v>
      </c>
      <c r="F21" s="97">
        <v>0</v>
      </c>
      <c r="G21" s="97">
        <v>1043051.28</v>
      </c>
      <c r="H21" s="97">
        <v>0</v>
      </c>
      <c r="I21" s="97">
        <v>0</v>
      </c>
    </row>
    <row r="22" spans="1:9" ht="12.75">
      <c r="A22" s="3" t="s">
        <v>10</v>
      </c>
      <c r="B22" s="165">
        <v>0</v>
      </c>
      <c r="C22" s="97">
        <v>1085470.65</v>
      </c>
      <c r="D22" s="97">
        <v>36124</v>
      </c>
      <c r="E22" s="97">
        <v>75562</v>
      </c>
      <c r="F22" s="97">
        <v>0</v>
      </c>
      <c r="G22" s="97">
        <v>378778.45</v>
      </c>
      <c r="H22" s="97">
        <v>0</v>
      </c>
      <c r="I22" s="97">
        <v>0</v>
      </c>
    </row>
    <row r="23" spans="1:9" ht="12.75">
      <c r="A23" s="3"/>
      <c r="B23" s="165"/>
      <c r="C23" s="97"/>
      <c r="D23" s="97"/>
      <c r="E23" s="97"/>
      <c r="F23" s="97"/>
      <c r="G23" s="97"/>
      <c r="H23" s="97"/>
      <c r="I23" s="97"/>
    </row>
    <row r="24" spans="1:9" ht="12.75">
      <c r="A24" s="3" t="s">
        <v>11</v>
      </c>
      <c r="B24" s="97">
        <v>176605.66</v>
      </c>
      <c r="C24" s="97">
        <v>6803078.33</v>
      </c>
      <c r="D24" s="97">
        <v>176318</v>
      </c>
      <c r="E24" s="97">
        <v>0</v>
      </c>
      <c r="F24" s="97">
        <v>0</v>
      </c>
      <c r="G24" s="97">
        <v>1072794.61</v>
      </c>
      <c r="H24" s="97">
        <v>0</v>
      </c>
      <c r="I24" s="97">
        <v>0</v>
      </c>
    </row>
    <row r="25" spans="1:9" ht="12.75">
      <c r="A25" s="3" t="s">
        <v>12</v>
      </c>
      <c r="B25" s="97">
        <v>500944.9</v>
      </c>
      <c r="C25" s="97">
        <v>1080394.44</v>
      </c>
      <c r="D25" s="97">
        <v>39915</v>
      </c>
      <c r="E25" s="97">
        <v>36223</v>
      </c>
      <c r="F25" s="97">
        <v>0</v>
      </c>
      <c r="G25" s="97">
        <v>403044.54</v>
      </c>
      <c r="H25" s="97">
        <v>0</v>
      </c>
      <c r="I25" s="97">
        <v>0</v>
      </c>
    </row>
    <row r="26" spans="1:9" ht="12.75">
      <c r="A26" s="3" t="s">
        <v>13</v>
      </c>
      <c r="B26" s="97">
        <v>371032.85</v>
      </c>
      <c r="C26" s="97">
        <v>7473607.029999999</v>
      </c>
      <c r="D26" s="97">
        <v>221618</v>
      </c>
      <c r="E26" s="97">
        <v>0</v>
      </c>
      <c r="F26" s="165">
        <v>0</v>
      </c>
      <c r="G26" s="97">
        <v>1261837.58</v>
      </c>
      <c r="H26" s="97">
        <v>0</v>
      </c>
      <c r="I26" s="97">
        <v>0</v>
      </c>
    </row>
    <row r="27" spans="1:9" ht="12.75">
      <c r="A27" s="3" t="s">
        <v>14</v>
      </c>
      <c r="B27" s="97">
        <v>191475.16</v>
      </c>
      <c r="C27" s="97">
        <v>7323850.87</v>
      </c>
      <c r="D27" s="97">
        <v>136829.09</v>
      </c>
      <c r="E27" s="97">
        <v>428490.84</v>
      </c>
      <c r="F27" s="97">
        <v>0</v>
      </c>
      <c r="G27" s="97">
        <v>917966.17</v>
      </c>
      <c r="H27" s="97">
        <v>0</v>
      </c>
      <c r="I27" s="97">
        <v>0</v>
      </c>
    </row>
    <row r="28" spans="1:9" ht="12.75">
      <c r="A28" s="3" t="s">
        <v>15</v>
      </c>
      <c r="B28" s="165">
        <v>0</v>
      </c>
      <c r="C28" s="97">
        <v>649161.48</v>
      </c>
      <c r="D28" s="97">
        <v>20722.75</v>
      </c>
      <c r="E28" s="97">
        <v>39882.06</v>
      </c>
      <c r="F28" s="97">
        <v>0</v>
      </c>
      <c r="G28" s="97">
        <v>156599.31</v>
      </c>
      <c r="H28" s="97">
        <v>0</v>
      </c>
      <c r="I28" s="97">
        <v>0</v>
      </c>
    </row>
    <row r="29" spans="1:9" ht="12.75">
      <c r="A29" s="3"/>
      <c r="B29" s="165"/>
      <c r="C29" s="97"/>
      <c r="D29" s="97"/>
      <c r="E29" s="97"/>
      <c r="F29" s="97"/>
      <c r="G29" s="97"/>
      <c r="H29" s="97"/>
      <c r="I29" s="97"/>
    </row>
    <row r="30" spans="1:9" ht="12.75">
      <c r="A30" s="3" t="s">
        <v>16</v>
      </c>
      <c r="B30" s="97">
        <v>229694.86</v>
      </c>
      <c r="C30" s="97">
        <v>23924548.24</v>
      </c>
      <c r="D30" s="97">
        <v>853213</v>
      </c>
      <c r="E30" s="97">
        <v>0</v>
      </c>
      <c r="F30" s="97">
        <v>0</v>
      </c>
      <c r="G30" s="97">
        <v>4411884.9</v>
      </c>
      <c r="H30" s="97">
        <v>0</v>
      </c>
      <c r="I30" s="97">
        <v>109536.99</v>
      </c>
    </row>
    <row r="31" spans="1:9" ht="12.75">
      <c r="A31" s="3" t="s">
        <v>17</v>
      </c>
      <c r="B31" s="97">
        <v>773203.42</v>
      </c>
      <c r="C31" s="97">
        <v>23981942.700000003</v>
      </c>
      <c r="D31" s="97">
        <v>703066.76</v>
      </c>
      <c r="E31" s="97">
        <v>0</v>
      </c>
      <c r="F31" s="97">
        <v>30325.71</v>
      </c>
      <c r="G31" s="97">
        <v>4358802.32</v>
      </c>
      <c r="H31" s="97">
        <v>0</v>
      </c>
      <c r="I31" s="97">
        <v>0</v>
      </c>
    </row>
    <row r="32" spans="1:9" ht="12.75">
      <c r="A32" s="3" t="s">
        <v>18</v>
      </c>
      <c r="B32" s="165">
        <v>0</v>
      </c>
      <c r="C32" s="97">
        <v>1373200.76</v>
      </c>
      <c r="D32" s="97">
        <v>43097.37</v>
      </c>
      <c r="E32" s="97">
        <v>71042.35</v>
      </c>
      <c r="F32" s="97">
        <v>0</v>
      </c>
      <c r="G32" s="97">
        <v>272725.24</v>
      </c>
      <c r="H32" s="97">
        <v>0</v>
      </c>
      <c r="I32" s="97">
        <v>0</v>
      </c>
    </row>
    <row r="33" spans="1:9" ht="12.75">
      <c r="A33" s="3" t="s">
        <v>19</v>
      </c>
      <c r="B33" s="97">
        <v>2916889.72</v>
      </c>
      <c r="C33" s="97">
        <v>2977066.35</v>
      </c>
      <c r="D33" s="97">
        <v>116693.68</v>
      </c>
      <c r="E33" s="97">
        <v>0</v>
      </c>
      <c r="F33" s="97">
        <v>0</v>
      </c>
      <c r="G33" s="97">
        <v>738565.27</v>
      </c>
      <c r="H33" s="97">
        <v>0</v>
      </c>
      <c r="I33" s="97">
        <v>0</v>
      </c>
    </row>
    <row r="34" spans="1:9" ht="12.75">
      <c r="A34" s="3" t="s">
        <v>20</v>
      </c>
      <c r="B34" s="165">
        <v>0</v>
      </c>
      <c r="C34" s="97">
        <v>656303.41</v>
      </c>
      <c r="D34" s="97">
        <v>24916</v>
      </c>
      <c r="E34" s="97">
        <v>43233</v>
      </c>
      <c r="F34" s="97">
        <v>0</v>
      </c>
      <c r="G34" s="97">
        <v>288571</v>
      </c>
      <c r="H34" s="97">
        <v>98496.52</v>
      </c>
      <c r="I34" s="97">
        <v>0</v>
      </c>
    </row>
    <row r="35" spans="1:9" ht="12.75">
      <c r="A35" s="3"/>
      <c r="B35" s="165"/>
      <c r="C35" s="97"/>
      <c r="D35" s="97"/>
      <c r="E35" s="97"/>
      <c r="F35" s="97"/>
      <c r="G35" s="97"/>
      <c r="H35" s="43"/>
      <c r="I35" s="97"/>
    </row>
    <row r="36" spans="1:9" ht="12.75">
      <c r="A36" s="3" t="s">
        <v>21</v>
      </c>
      <c r="B36" s="165">
        <v>0</v>
      </c>
      <c r="C36" s="97">
        <v>867349.69</v>
      </c>
      <c r="D36" s="97">
        <v>25182.1</v>
      </c>
      <c r="E36" s="97">
        <v>63064.62</v>
      </c>
      <c r="F36" s="97">
        <v>0</v>
      </c>
      <c r="G36" s="97">
        <v>251801.91</v>
      </c>
      <c r="H36" s="97">
        <v>0</v>
      </c>
      <c r="I36" s="97">
        <v>0</v>
      </c>
    </row>
    <row r="37" spans="1:9" ht="12.75">
      <c r="A37" s="3" t="s">
        <v>22</v>
      </c>
      <c r="B37" s="308">
        <v>38632.28</v>
      </c>
      <c r="C37" s="97">
        <v>3889744.53</v>
      </c>
      <c r="D37" s="97">
        <v>123770.85</v>
      </c>
      <c r="E37" s="97">
        <v>156481</v>
      </c>
      <c r="F37" s="97">
        <v>29607.3</v>
      </c>
      <c r="G37" s="97">
        <v>1006547.54</v>
      </c>
      <c r="H37" s="97">
        <v>44793</v>
      </c>
      <c r="I37" s="97">
        <v>0</v>
      </c>
    </row>
    <row r="38" spans="1:9" ht="12.75">
      <c r="A38" s="3" t="s">
        <v>23</v>
      </c>
      <c r="B38" s="165">
        <v>0</v>
      </c>
      <c r="C38" s="97">
        <v>2779773.28</v>
      </c>
      <c r="D38" s="97">
        <v>79649</v>
      </c>
      <c r="E38" s="97">
        <v>196587.33</v>
      </c>
      <c r="F38" s="97">
        <v>0</v>
      </c>
      <c r="G38" s="97">
        <v>533331.42</v>
      </c>
      <c r="H38" s="165">
        <v>0</v>
      </c>
      <c r="I38" s="97">
        <v>0</v>
      </c>
    </row>
    <row r="39" spans="1:9" ht="12.75">
      <c r="A39" s="14" t="s">
        <v>24</v>
      </c>
      <c r="B39" s="146">
        <v>74192.25</v>
      </c>
      <c r="C39" s="146">
        <v>1362042.2</v>
      </c>
      <c r="D39" s="147">
        <v>42623</v>
      </c>
      <c r="E39" s="146">
        <v>47587.68</v>
      </c>
      <c r="F39" s="146">
        <v>0</v>
      </c>
      <c r="G39" s="146">
        <v>664232.32</v>
      </c>
      <c r="H39" s="146">
        <v>0</v>
      </c>
      <c r="I39" s="146">
        <v>0</v>
      </c>
    </row>
    <row r="40" spans="1:9" ht="12.75">
      <c r="A40" s="3"/>
      <c r="B40" s="17"/>
      <c r="C40" s="17"/>
      <c r="D40" s="17"/>
      <c r="E40" s="17"/>
      <c r="F40" s="17"/>
      <c r="I40" s="17"/>
    </row>
    <row r="41" spans="1:6" ht="12.75">
      <c r="A41" s="3"/>
      <c r="B41" s="17"/>
      <c r="C41" s="17"/>
      <c r="D41" s="17"/>
      <c r="E41" s="17"/>
      <c r="F41" s="17"/>
    </row>
    <row r="42" spans="1:6" ht="12.75">
      <c r="A42" s="3"/>
      <c r="B42" s="17"/>
      <c r="C42" s="17"/>
      <c r="D42" s="17"/>
      <c r="E42" s="17"/>
      <c r="F42" s="17"/>
    </row>
    <row r="43" spans="1:6" ht="12.75">
      <c r="A43" s="3"/>
      <c r="B43" s="17"/>
      <c r="C43" s="17"/>
      <c r="D43" s="17"/>
      <c r="E43" s="17"/>
      <c r="F43" s="17"/>
    </row>
    <row r="44" spans="1:6" ht="12.75">
      <c r="A44" s="3"/>
      <c r="B44" s="17"/>
      <c r="C44" s="17"/>
      <c r="D44" s="17"/>
      <c r="E44" s="17"/>
      <c r="F44" s="17"/>
    </row>
    <row r="45" spans="1:6" ht="12.75">
      <c r="A45" s="3"/>
      <c r="B45" s="17"/>
      <c r="C45" s="17"/>
      <c r="D45" s="17"/>
      <c r="E45" s="17"/>
      <c r="F45" s="17"/>
    </row>
    <row r="46" spans="1:6" ht="12.75">
      <c r="A46" s="3"/>
      <c r="B46" s="17"/>
      <c r="C46" s="17"/>
      <c r="D46" s="17"/>
      <c r="E46" s="17"/>
      <c r="F46" s="17"/>
    </row>
    <row r="47" spans="1:6" ht="12.75">
      <c r="A47" s="3"/>
      <c r="B47" s="17"/>
      <c r="C47" s="17"/>
      <c r="D47" s="17"/>
      <c r="E47" s="17"/>
      <c r="F47" s="17"/>
    </row>
    <row r="48" spans="1:6" ht="12.75">
      <c r="A48" s="3"/>
      <c r="B48" s="17"/>
      <c r="C48" s="17"/>
      <c r="D48" s="17"/>
      <c r="E48" s="17"/>
      <c r="F48" s="17"/>
    </row>
    <row r="49" spans="1:6" ht="12.75">
      <c r="A49" s="3"/>
      <c r="B49" s="17"/>
      <c r="C49" s="17"/>
      <c r="D49" s="17"/>
      <c r="E49" s="17"/>
      <c r="F49" s="17"/>
    </row>
    <row r="50" spans="1:6" ht="12.75">
      <c r="A50" s="3"/>
      <c r="B50" s="17"/>
      <c r="C50" s="17"/>
      <c r="D50" s="17"/>
      <c r="E50" s="17"/>
      <c r="F50" s="17"/>
    </row>
    <row r="51" spans="1:6" ht="12.75">
      <c r="A51" s="3"/>
      <c r="B51" s="17"/>
      <c r="C51" s="17"/>
      <c r="D51" s="17"/>
      <c r="E51" s="17"/>
      <c r="F51" s="17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</sheetData>
  <sheetProtection password="C935" sheet="1" objects="1" scenarios="1"/>
  <mergeCells count="5">
    <mergeCell ref="A1:I1"/>
    <mergeCell ref="A3:I3"/>
    <mergeCell ref="C5:E5"/>
    <mergeCell ref="G5:G9"/>
    <mergeCell ref="I6:I9"/>
  </mergeCells>
  <printOptions horizontalCentered="1"/>
  <pageMargins left="0.45" right="0.52" top="0.83" bottom="1" header="0.67" footer="0.5"/>
  <pageSetup fitToHeight="1" fitToWidth="1" horizontalDpi="600" verticalDpi="600" orientation="landscape" scale="98" r:id="rId1"/>
  <headerFooter alignWithMargins="0">
    <oddFooter>&amp;L&amp;"Arial,Italic"&amp;9MSDE-DBS 11 / 2006
&amp;C- 15 -&amp;R&amp;"Arial,Italic"&amp;9Selected Financial Data-Part 1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workbookViewId="0" topLeftCell="B1">
      <selection activeCell="D10" sqref="D10"/>
    </sheetView>
  </sheetViews>
  <sheetFormatPr defaultColWidth="9.140625" defaultRowHeight="12.75"/>
  <cols>
    <col min="1" max="1" width="17.57421875" style="0" customWidth="1"/>
    <col min="2" max="2" width="13.8515625" style="0" customWidth="1"/>
    <col min="3" max="3" width="16.421875" style="0" customWidth="1"/>
    <col min="4" max="4" width="15.57421875" style="0" customWidth="1"/>
    <col min="5" max="5" width="15.421875" style="0" customWidth="1"/>
    <col min="6" max="6" width="15.8515625" style="0" customWidth="1"/>
    <col min="7" max="7" width="14.421875" style="0" customWidth="1"/>
    <col min="8" max="8" width="14.00390625" style="0" customWidth="1"/>
    <col min="9" max="9" width="14.7109375" style="0" customWidth="1"/>
  </cols>
  <sheetData>
    <row r="1" spans="1:9" ht="12.75">
      <c r="A1" s="424" t="s">
        <v>136</v>
      </c>
      <c r="B1" s="424"/>
      <c r="C1" s="424"/>
      <c r="D1" s="424"/>
      <c r="E1" s="424"/>
      <c r="F1" s="424"/>
      <c r="G1" s="424"/>
      <c r="H1" s="424"/>
      <c r="I1" s="424"/>
    </row>
    <row r="2" spans="1:4" ht="12.75">
      <c r="A2" s="3"/>
      <c r="B2" s="3"/>
      <c r="C2" s="3"/>
      <c r="D2" s="3"/>
    </row>
    <row r="3" spans="1:9" ht="12.75">
      <c r="A3" s="424" t="s">
        <v>298</v>
      </c>
      <c r="B3" s="424"/>
      <c r="C3" s="424"/>
      <c r="D3" s="424"/>
      <c r="E3" s="424"/>
      <c r="F3" s="424"/>
      <c r="G3" s="424"/>
      <c r="H3" s="424"/>
      <c r="I3" s="424"/>
    </row>
    <row r="4" spans="1:16" ht="15" customHeight="1" thickBot="1">
      <c r="A4" s="3"/>
      <c r="B4" s="3"/>
      <c r="C4" s="3"/>
      <c r="D4" s="3"/>
      <c r="E4" s="3"/>
      <c r="F4" s="3"/>
      <c r="G4" s="3"/>
      <c r="H4" s="13"/>
      <c r="I4" s="3"/>
      <c r="P4" s="3"/>
    </row>
    <row r="5" spans="1:16" ht="17.25" customHeight="1" thickTop="1">
      <c r="A5" s="6"/>
      <c r="B5" s="130"/>
      <c r="C5" s="19"/>
      <c r="D5" s="19"/>
      <c r="E5" s="102" t="s">
        <v>195</v>
      </c>
      <c r="F5" s="434" t="s">
        <v>191</v>
      </c>
      <c r="G5" s="19"/>
      <c r="H5" s="142"/>
      <c r="I5" s="102" t="s">
        <v>201</v>
      </c>
      <c r="P5" s="3"/>
    </row>
    <row r="6" spans="1:16" ht="12.75" customHeight="1">
      <c r="A6" s="3"/>
      <c r="B6" s="131"/>
      <c r="C6" s="93" t="s">
        <v>166</v>
      </c>
      <c r="D6" s="433" t="s">
        <v>309</v>
      </c>
      <c r="E6" s="93" t="s">
        <v>196</v>
      </c>
      <c r="F6" s="435"/>
      <c r="G6" s="148"/>
      <c r="H6" s="93" t="s">
        <v>207</v>
      </c>
      <c r="I6" s="93" t="s">
        <v>80</v>
      </c>
      <c r="P6" s="3"/>
    </row>
    <row r="7" spans="1:16" ht="12.75">
      <c r="A7" s="3" t="s">
        <v>101</v>
      </c>
      <c r="B7" s="437" t="s">
        <v>291</v>
      </c>
      <c r="C7" s="93" t="s">
        <v>43</v>
      </c>
      <c r="D7" s="397"/>
      <c r="E7" s="93" t="s">
        <v>197</v>
      </c>
      <c r="F7" s="435"/>
      <c r="G7" s="148"/>
      <c r="H7" s="178" t="s">
        <v>208</v>
      </c>
      <c r="I7" s="93" t="s">
        <v>202</v>
      </c>
      <c r="P7" s="3"/>
    </row>
    <row r="8" spans="1:16" ht="12.75">
      <c r="A8" s="3" t="s">
        <v>41</v>
      </c>
      <c r="B8" s="437"/>
      <c r="C8" s="93" t="s">
        <v>85</v>
      </c>
      <c r="D8" s="397"/>
      <c r="E8" s="93" t="s">
        <v>198</v>
      </c>
      <c r="F8" s="435"/>
      <c r="G8" s="93" t="s">
        <v>200</v>
      </c>
      <c r="H8" s="93" t="s">
        <v>209</v>
      </c>
      <c r="I8" s="93" t="s">
        <v>203</v>
      </c>
      <c r="P8" s="3"/>
    </row>
    <row r="9" spans="1:16" ht="16.5" customHeight="1" thickBot="1">
      <c r="A9" s="7" t="s">
        <v>154</v>
      </c>
      <c r="B9" s="438"/>
      <c r="C9" s="109" t="s">
        <v>70</v>
      </c>
      <c r="D9" s="395"/>
      <c r="E9" s="109" t="s">
        <v>199</v>
      </c>
      <c r="F9" s="436"/>
      <c r="G9" s="109" t="s">
        <v>41</v>
      </c>
      <c r="H9" s="109" t="s">
        <v>33</v>
      </c>
      <c r="I9" s="109" t="s">
        <v>204</v>
      </c>
      <c r="P9" s="3"/>
    </row>
    <row r="10" spans="1:16" s="313" customFormat="1" ht="12.75">
      <c r="A10" s="311" t="s">
        <v>0</v>
      </c>
      <c r="B10" s="85">
        <f>SUM(B12:B39)</f>
        <v>221683.59</v>
      </c>
      <c r="C10" s="312">
        <f aca="true" t="shared" si="0" ref="C10:I10">SUM(C12:C39)</f>
        <v>197914.59</v>
      </c>
      <c r="D10" s="85">
        <f t="shared" si="0"/>
        <v>5399661.17</v>
      </c>
      <c r="E10" s="85">
        <f t="shared" si="0"/>
        <v>910715.71</v>
      </c>
      <c r="F10" s="85">
        <f t="shared" si="0"/>
        <v>278413.12999999995</v>
      </c>
      <c r="G10" s="85">
        <f t="shared" si="0"/>
        <v>1149718.87</v>
      </c>
      <c r="H10" s="85">
        <f t="shared" si="0"/>
        <v>125170.4</v>
      </c>
      <c r="I10" s="85">
        <f t="shared" si="0"/>
        <v>2058239.3699999999</v>
      </c>
      <c r="P10" s="85"/>
    </row>
    <row r="11" spans="1:16" ht="12.75">
      <c r="A11" s="3"/>
      <c r="B11" s="132"/>
      <c r="C11" s="56"/>
      <c r="D11" s="56"/>
      <c r="E11" s="56"/>
      <c r="F11" s="56"/>
      <c r="G11" s="56"/>
      <c r="H11" s="56"/>
      <c r="I11" s="56"/>
      <c r="P11" s="3"/>
    </row>
    <row r="12" spans="1:16" ht="12.75">
      <c r="A12" s="3" t="s">
        <v>1</v>
      </c>
      <c r="B12" s="128">
        <v>0</v>
      </c>
      <c r="C12" s="145">
        <v>8218.89</v>
      </c>
      <c r="D12" s="97">
        <v>415310.7</v>
      </c>
      <c r="E12" s="97">
        <v>0</v>
      </c>
      <c r="F12" s="97">
        <v>19328.48</v>
      </c>
      <c r="G12" s="165">
        <v>0</v>
      </c>
      <c r="H12" s="97">
        <v>7789.13</v>
      </c>
      <c r="I12" s="145">
        <v>16891.64</v>
      </c>
      <c r="P12" s="17"/>
    </row>
    <row r="13" spans="1:16" ht="12.75">
      <c r="A13" s="3" t="s">
        <v>2</v>
      </c>
      <c r="B13" s="128">
        <v>0</v>
      </c>
      <c r="C13" s="305">
        <v>9933.77</v>
      </c>
      <c r="D13" s="97">
        <v>345257.04</v>
      </c>
      <c r="E13" s="97">
        <v>0</v>
      </c>
      <c r="F13" s="97">
        <v>2812</v>
      </c>
      <c r="G13" s="97">
        <v>139458.49</v>
      </c>
      <c r="H13" s="97">
        <v>5191.33</v>
      </c>
      <c r="I13" s="145">
        <v>195623.84</v>
      </c>
      <c r="P13" s="17"/>
    </row>
    <row r="14" spans="1:16" ht="12.75">
      <c r="A14" s="3" t="s">
        <v>3</v>
      </c>
      <c r="B14" s="128">
        <v>0</v>
      </c>
      <c r="C14" s="155">
        <v>0</v>
      </c>
      <c r="D14" s="97">
        <v>0</v>
      </c>
      <c r="E14" s="97">
        <v>272427.99</v>
      </c>
      <c r="F14" s="97">
        <v>2530</v>
      </c>
      <c r="G14" s="97">
        <v>0</v>
      </c>
      <c r="H14" s="97">
        <v>22326.51</v>
      </c>
      <c r="I14" s="97">
        <v>438499.61</v>
      </c>
      <c r="P14" s="17"/>
    </row>
    <row r="15" spans="1:16" ht="12.75">
      <c r="A15" s="3" t="s">
        <v>4</v>
      </c>
      <c r="B15" s="128">
        <v>0</v>
      </c>
      <c r="C15" s="97">
        <v>11702.09</v>
      </c>
      <c r="D15" s="97">
        <v>0</v>
      </c>
      <c r="E15" s="97">
        <v>160598.07</v>
      </c>
      <c r="F15" s="97">
        <v>22479.72</v>
      </c>
      <c r="G15" s="173">
        <v>0</v>
      </c>
      <c r="H15" s="97">
        <v>7251.49</v>
      </c>
      <c r="I15" s="97">
        <v>275250.92</v>
      </c>
      <c r="P15" s="17"/>
    </row>
    <row r="16" spans="1:16" ht="12.75">
      <c r="A16" s="3" t="s">
        <v>5</v>
      </c>
      <c r="B16" s="128">
        <v>0</v>
      </c>
      <c r="C16" s="97">
        <v>7317.07</v>
      </c>
      <c r="D16" s="97">
        <v>0</v>
      </c>
      <c r="E16" s="165">
        <v>0</v>
      </c>
      <c r="F16" s="97">
        <v>0</v>
      </c>
      <c r="G16" s="97">
        <v>15000</v>
      </c>
      <c r="H16" s="165">
        <v>0</v>
      </c>
      <c r="I16" s="97">
        <v>67003</v>
      </c>
      <c r="P16" s="17"/>
    </row>
    <row r="17" spans="1:16" ht="12.75">
      <c r="A17" s="3"/>
      <c r="B17" s="134"/>
      <c r="C17" s="97"/>
      <c r="D17" s="97"/>
      <c r="E17" s="97"/>
      <c r="F17" s="97"/>
      <c r="G17" s="97"/>
      <c r="H17" s="97"/>
      <c r="I17" s="165"/>
      <c r="P17" s="17"/>
    </row>
    <row r="18" spans="1:16" ht="12.75">
      <c r="A18" s="3" t="s">
        <v>6</v>
      </c>
      <c r="B18" s="128">
        <v>0</v>
      </c>
      <c r="C18" s="97">
        <v>7060.25</v>
      </c>
      <c r="D18" s="97">
        <v>0</v>
      </c>
      <c r="E18" s="97">
        <v>0</v>
      </c>
      <c r="F18" s="97">
        <v>35117.38</v>
      </c>
      <c r="G18" s="97">
        <v>0</v>
      </c>
      <c r="H18" s="97">
        <v>0</v>
      </c>
      <c r="I18" s="165">
        <v>0</v>
      </c>
      <c r="P18" s="17"/>
    </row>
    <row r="19" spans="1:16" ht="12.75">
      <c r="A19" s="3" t="s">
        <v>7</v>
      </c>
      <c r="B19" s="128">
        <v>0</v>
      </c>
      <c r="C19" s="97">
        <v>10654.58</v>
      </c>
      <c r="D19" s="97">
        <v>421215</v>
      </c>
      <c r="E19" s="97">
        <v>0</v>
      </c>
      <c r="F19" s="97">
        <v>0</v>
      </c>
      <c r="G19" s="97">
        <v>110152.82</v>
      </c>
      <c r="H19" s="97">
        <v>0</v>
      </c>
      <c r="I19" s="97">
        <v>7526.92</v>
      </c>
      <c r="P19" s="17"/>
    </row>
    <row r="20" spans="1:16" ht="12.75">
      <c r="A20" s="3" t="s">
        <v>8</v>
      </c>
      <c r="B20" s="176">
        <v>0</v>
      </c>
      <c r="C20" s="97">
        <v>10194.42</v>
      </c>
      <c r="D20" s="97">
        <v>0</v>
      </c>
      <c r="E20" s="97">
        <v>0</v>
      </c>
      <c r="F20" s="97">
        <v>0</v>
      </c>
      <c r="G20" s="97">
        <v>0</v>
      </c>
      <c r="H20" s="97">
        <v>9872.58</v>
      </c>
      <c r="I20" s="97">
        <v>38094.12</v>
      </c>
      <c r="P20" s="17"/>
    </row>
    <row r="21" spans="1:16" ht="12.75">
      <c r="A21" s="3" t="s">
        <v>9</v>
      </c>
      <c r="B21" s="176">
        <v>0</v>
      </c>
      <c r="C21" s="97">
        <v>8367.78</v>
      </c>
      <c r="D21" s="97">
        <v>0</v>
      </c>
      <c r="E21" s="97">
        <v>0</v>
      </c>
      <c r="F21" s="97">
        <v>0</v>
      </c>
      <c r="G21" s="97">
        <v>0</v>
      </c>
      <c r="H21" s="97">
        <v>9840.85</v>
      </c>
      <c r="I21" s="97">
        <v>9391.01</v>
      </c>
      <c r="P21" s="17"/>
    </row>
    <row r="22" spans="1:16" ht="12.75">
      <c r="A22" s="3" t="s">
        <v>10</v>
      </c>
      <c r="B22" s="128">
        <v>0</v>
      </c>
      <c r="C22" s="97">
        <v>13699.55</v>
      </c>
      <c r="D22" s="97">
        <v>0</v>
      </c>
      <c r="E22" s="97">
        <v>0</v>
      </c>
      <c r="F22" s="97">
        <v>20017.22</v>
      </c>
      <c r="G22" s="97">
        <v>0</v>
      </c>
      <c r="H22" s="97">
        <v>0</v>
      </c>
      <c r="I22" s="97">
        <v>11937.6</v>
      </c>
      <c r="P22" s="17"/>
    </row>
    <row r="23" spans="1:16" ht="12.75">
      <c r="A23" s="3"/>
      <c r="B23" s="134"/>
      <c r="C23" s="97"/>
      <c r="D23" s="97"/>
      <c r="E23" s="97"/>
      <c r="F23" s="97"/>
      <c r="G23" s="97"/>
      <c r="H23" s="97"/>
      <c r="I23" s="97"/>
      <c r="P23" s="17"/>
    </row>
    <row r="24" spans="1:16" ht="12.75">
      <c r="A24" s="3" t="s">
        <v>11</v>
      </c>
      <c r="B24" s="128">
        <v>221683.59</v>
      </c>
      <c r="C24" s="97">
        <v>14810.81</v>
      </c>
      <c r="D24" s="97">
        <v>118905.66</v>
      </c>
      <c r="E24" s="97">
        <v>0</v>
      </c>
      <c r="F24" s="97">
        <v>0</v>
      </c>
      <c r="G24" s="97">
        <v>10992.25</v>
      </c>
      <c r="H24" s="97">
        <v>17000</v>
      </c>
      <c r="I24" s="165">
        <v>0</v>
      </c>
      <c r="P24" s="17"/>
    </row>
    <row r="25" spans="1:16" ht="12.75">
      <c r="A25" s="3" t="s">
        <v>12</v>
      </c>
      <c r="B25" s="128">
        <v>0</v>
      </c>
      <c r="C25" s="97">
        <v>4500</v>
      </c>
      <c r="D25" s="97">
        <v>0</v>
      </c>
      <c r="E25" s="308">
        <v>162571.16</v>
      </c>
      <c r="F25" s="97">
        <v>26243.2</v>
      </c>
      <c r="G25" s="97">
        <v>0</v>
      </c>
      <c r="H25" s="97">
        <v>16356.65</v>
      </c>
      <c r="I25" s="97">
        <v>867.48</v>
      </c>
      <c r="P25" s="17"/>
    </row>
    <row r="26" spans="1:16" ht="12.75">
      <c r="A26" s="3" t="s">
        <v>13</v>
      </c>
      <c r="B26" s="128">
        <v>0</v>
      </c>
      <c r="C26" s="97">
        <v>10260.85</v>
      </c>
      <c r="D26" s="97">
        <v>12864.87</v>
      </c>
      <c r="E26" s="97">
        <v>0</v>
      </c>
      <c r="F26" s="97">
        <v>1332</v>
      </c>
      <c r="G26" s="97">
        <v>0</v>
      </c>
      <c r="H26" s="97">
        <v>0</v>
      </c>
      <c r="I26" s="97">
        <v>117565.26</v>
      </c>
      <c r="P26" s="17"/>
    </row>
    <row r="27" spans="1:16" ht="12.75">
      <c r="A27" s="3" t="s">
        <v>14</v>
      </c>
      <c r="B27" s="128">
        <v>0</v>
      </c>
      <c r="C27" s="97">
        <v>234</v>
      </c>
      <c r="D27" s="97">
        <v>452433.8</v>
      </c>
      <c r="E27" s="97">
        <v>0</v>
      </c>
      <c r="F27" s="165">
        <v>0</v>
      </c>
      <c r="G27" s="97">
        <v>0</v>
      </c>
      <c r="H27" s="97">
        <v>0</v>
      </c>
      <c r="I27" s="165">
        <v>0</v>
      </c>
      <c r="P27" s="17"/>
    </row>
    <row r="28" spans="1:16" ht="12.75">
      <c r="A28" s="3" t="s">
        <v>15</v>
      </c>
      <c r="B28" s="128">
        <v>0</v>
      </c>
      <c r="C28" s="97">
        <v>5724.21</v>
      </c>
      <c r="D28" s="97">
        <v>295490.26</v>
      </c>
      <c r="E28" s="97">
        <v>0</v>
      </c>
      <c r="F28" s="97">
        <v>0</v>
      </c>
      <c r="G28" s="97">
        <v>0</v>
      </c>
      <c r="H28" s="97">
        <v>0</v>
      </c>
      <c r="I28" s="97">
        <v>38527.22</v>
      </c>
      <c r="P28" s="17"/>
    </row>
    <row r="29" spans="1:16" ht="12.75">
      <c r="A29" s="3"/>
      <c r="B29" s="134"/>
      <c r="C29" s="97"/>
      <c r="D29" s="165"/>
      <c r="E29" s="97"/>
      <c r="F29" s="97"/>
      <c r="G29" s="97"/>
      <c r="H29" s="97"/>
      <c r="I29" s="97"/>
      <c r="P29" s="17"/>
    </row>
    <row r="30" spans="1:16" ht="12.75">
      <c r="A30" s="3" t="s">
        <v>16</v>
      </c>
      <c r="B30" s="128">
        <v>0</v>
      </c>
      <c r="C30" s="97">
        <v>10192.02</v>
      </c>
      <c r="D30" s="97">
        <v>546609.97</v>
      </c>
      <c r="E30" s="97">
        <v>0</v>
      </c>
      <c r="F30" s="97">
        <v>34159.57</v>
      </c>
      <c r="G30" s="97">
        <v>799876.31</v>
      </c>
      <c r="H30" s="97">
        <v>0</v>
      </c>
      <c r="I30" s="97">
        <v>410000</v>
      </c>
      <c r="P30" s="17"/>
    </row>
    <row r="31" spans="1:16" ht="12.75">
      <c r="A31" s="3" t="s">
        <v>17</v>
      </c>
      <c r="B31" s="128">
        <v>0</v>
      </c>
      <c r="C31" s="97">
        <v>0</v>
      </c>
      <c r="D31" s="165"/>
      <c r="E31" s="97">
        <v>98486.42</v>
      </c>
      <c r="F31" s="97">
        <v>17756.03</v>
      </c>
      <c r="G31" s="165">
        <v>0</v>
      </c>
      <c r="H31" s="97">
        <v>0</v>
      </c>
      <c r="I31" s="97">
        <v>185640.45</v>
      </c>
      <c r="P31" s="17"/>
    </row>
    <row r="32" spans="1:16" ht="12.75">
      <c r="A32" s="3" t="s">
        <v>18</v>
      </c>
      <c r="B32" s="128">
        <v>0</v>
      </c>
      <c r="C32" s="97">
        <v>8312.11</v>
      </c>
      <c r="D32" s="97">
        <v>413609.81</v>
      </c>
      <c r="E32" s="97">
        <v>0</v>
      </c>
      <c r="F32" s="97">
        <v>0</v>
      </c>
      <c r="G32" s="97">
        <v>9000</v>
      </c>
      <c r="H32" s="97">
        <v>0</v>
      </c>
      <c r="I32" s="97">
        <v>13053.22</v>
      </c>
      <c r="P32" s="17"/>
    </row>
    <row r="33" spans="1:16" ht="12.75">
      <c r="A33" s="3" t="s">
        <v>19</v>
      </c>
      <c r="B33" s="128">
        <v>0</v>
      </c>
      <c r="C33" s="97">
        <v>11847.41</v>
      </c>
      <c r="D33" s="97">
        <v>621048.87</v>
      </c>
      <c r="E33" s="97">
        <v>0</v>
      </c>
      <c r="F33" s="97">
        <v>0</v>
      </c>
      <c r="G33" s="97">
        <v>0</v>
      </c>
      <c r="H33" s="97">
        <v>13816.09</v>
      </c>
      <c r="I33" s="97">
        <v>24559.04</v>
      </c>
      <c r="P33" s="17"/>
    </row>
    <row r="34" spans="1:16" ht="12.75">
      <c r="A34" s="3" t="s">
        <v>20</v>
      </c>
      <c r="B34" s="176">
        <v>0</v>
      </c>
      <c r="C34" s="97">
        <v>5038.15</v>
      </c>
      <c r="D34" s="97">
        <v>95799.9</v>
      </c>
      <c r="E34" s="97">
        <v>181380.11</v>
      </c>
      <c r="F34" s="97">
        <v>34815.67</v>
      </c>
      <c r="G34" s="97">
        <v>0</v>
      </c>
      <c r="H34" s="97">
        <v>0</v>
      </c>
      <c r="I34" s="165">
        <v>0</v>
      </c>
      <c r="P34" s="17"/>
    </row>
    <row r="35" spans="1:16" ht="12.75">
      <c r="A35" s="3"/>
      <c r="B35" s="177"/>
      <c r="C35" s="97"/>
      <c r="D35" s="97"/>
      <c r="E35" s="97"/>
      <c r="F35" s="97"/>
      <c r="G35" s="97"/>
      <c r="I35" s="97"/>
      <c r="P35" s="17"/>
    </row>
    <row r="36" spans="1:16" ht="12.75">
      <c r="A36" s="3" t="s">
        <v>21</v>
      </c>
      <c r="B36" s="176">
        <v>0</v>
      </c>
      <c r="C36" s="97">
        <v>8869.12</v>
      </c>
      <c r="D36" s="97">
        <v>0</v>
      </c>
      <c r="E36" s="97">
        <v>0</v>
      </c>
      <c r="F36" s="97">
        <v>0</v>
      </c>
      <c r="G36" s="97">
        <v>65239</v>
      </c>
      <c r="H36" s="97">
        <v>13975.43</v>
      </c>
      <c r="I36" s="97">
        <v>19721.06</v>
      </c>
      <c r="P36" s="17"/>
    </row>
    <row r="37" spans="1:16" ht="12.75">
      <c r="A37" s="3" t="s">
        <v>22</v>
      </c>
      <c r="B37" s="133">
        <v>0</v>
      </c>
      <c r="C37" s="97">
        <v>12095.43</v>
      </c>
      <c r="D37" s="97">
        <v>210096</v>
      </c>
      <c r="E37" s="97">
        <v>35251.96</v>
      </c>
      <c r="F37" s="97">
        <v>35268.47</v>
      </c>
      <c r="G37" s="97">
        <v>0</v>
      </c>
      <c r="H37" s="165">
        <v>0</v>
      </c>
      <c r="I37" s="97">
        <v>127933.4</v>
      </c>
      <c r="P37" s="17"/>
    </row>
    <row r="38" spans="1:16" ht="12.75">
      <c r="A38" s="3" t="s">
        <v>23</v>
      </c>
      <c r="B38" s="133">
        <v>0</v>
      </c>
      <c r="C38" s="97">
        <v>9812.68</v>
      </c>
      <c r="D38" s="97">
        <v>554336.54</v>
      </c>
      <c r="E38" s="97">
        <v>0</v>
      </c>
      <c r="F38" s="97">
        <v>0</v>
      </c>
      <c r="G38" s="97">
        <v>0</v>
      </c>
      <c r="H38" s="97">
        <v>1750.34</v>
      </c>
      <c r="I38" s="97">
        <v>13573.17</v>
      </c>
      <c r="P38" s="17"/>
    </row>
    <row r="39" spans="1:16" ht="12.75">
      <c r="A39" s="14" t="s">
        <v>24</v>
      </c>
      <c r="B39" s="136">
        <v>0</v>
      </c>
      <c r="C39" s="146">
        <v>9069.4</v>
      </c>
      <c r="D39" s="146">
        <v>896682.75</v>
      </c>
      <c r="E39" s="146">
        <v>0</v>
      </c>
      <c r="F39" s="146">
        <v>26553.39</v>
      </c>
      <c r="G39" s="146">
        <v>0</v>
      </c>
      <c r="H39" s="146">
        <v>0</v>
      </c>
      <c r="I39" s="146">
        <v>46580.41</v>
      </c>
      <c r="P39" s="17"/>
    </row>
    <row r="40" spans="1:16" ht="12.75">
      <c r="A40" s="3"/>
      <c r="B40" s="3"/>
      <c r="C40" s="17"/>
      <c r="E40" s="17"/>
      <c r="F40" s="17"/>
      <c r="G40" s="17"/>
      <c r="H40" s="17"/>
      <c r="I40" s="17"/>
      <c r="P40" s="17"/>
    </row>
    <row r="41" spans="1:16" ht="12.75">
      <c r="A41" s="3"/>
      <c r="B41" s="3"/>
      <c r="C41" s="3"/>
      <c r="E41" s="17"/>
      <c r="F41" s="17"/>
      <c r="G41" s="17"/>
      <c r="H41" s="17"/>
      <c r="I41" s="17"/>
      <c r="P41" s="17"/>
    </row>
    <row r="42" spans="1:16" ht="12.75">
      <c r="A42" s="3"/>
      <c r="B42" s="3"/>
      <c r="C42" s="3"/>
      <c r="E42" s="17"/>
      <c r="F42" s="17"/>
      <c r="G42" s="17"/>
      <c r="H42" s="17"/>
      <c r="I42" s="17"/>
      <c r="P42" s="17"/>
    </row>
    <row r="43" spans="1:16" ht="12.75">
      <c r="A43" s="3"/>
      <c r="B43" s="3"/>
      <c r="C43" s="3"/>
      <c r="E43" s="17"/>
      <c r="F43" s="17"/>
      <c r="G43" s="17"/>
      <c r="H43" s="17"/>
      <c r="I43" s="17"/>
      <c r="P43" s="17"/>
    </row>
    <row r="44" spans="1:16" ht="12.75">
      <c r="A44" s="3"/>
      <c r="B44" s="3"/>
      <c r="C44" s="3"/>
      <c r="E44" s="17"/>
      <c r="F44" s="17"/>
      <c r="G44" s="17"/>
      <c r="H44" s="17"/>
      <c r="I44" s="17"/>
      <c r="P44" s="17"/>
    </row>
    <row r="45" spans="1:16" ht="12.75">
      <c r="A45" s="3"/>
      <c r="B45" s="3"/>
      <c r="C45" s="3"/>
      <c r="E45" s="17"/>
      <c r="F45" s="17"/>
      <c r="G45" s="17"/>
      <c r="H45" s="17"/>
      <c r="I45" s="17"/>
      <c r="P45" s="17"/>
    </row>
    <row r="46" spans="1:16" ht="12.75">
      <c r="A46" s="3"/>
      <c r="B46" s="3"/>
      <c r="C46" s="3"/>
      <c r="E46" s="17"/>
      <c r="F46" s="17"/>
      <c r="G46" s="17"/>
      <c r="H46" s="17"/>
      <c r="I46" s="17"/>
      <c r="P46" s="17"/>
    </row>
    <row r="47" spans="1:16" ht="12.75">
      <c r="A47" s="3"/>
      <c r="B47" s="3"/>
      <c r="C47" s="3"/>
      <c r="E47" s="17"/>
      <c r="F47" s="17"/>
      <c r="G47" s="17"/>
      <c r="H47" s="17"/>
      <c r="I47" s="17"/>
      <c r="P47" s="17"/>
    </row>
    <row r="48" spans="1:16" ht="12.75">
      <c r="A48" s="3"/>
      <c r="B48" s="3"/>
      <c r="C48" s="3"/>
      <c r="E48" s="17"/>
      <c r="F48" s="17"/>
      <c r="G48" s="17"/>
      <c r="H48" s="17"/>
      <c r="I48" s="17"/>
      <c r="P48" s="17"/>
    </row>
    <row r="49" spans="1:16" ht="12.75">
      <c r="A49" s="3"/>
      <c r="B49" s="3"/>
      <c r="C49" s="3"/>
      <c r="E49" s="17"/>
      <c r="F49" s="17"/>
      <c r="G49" s="17"/>
      <c r="H49" s="17"/>
      <c r="I49" s="17"/>
      <c r="P49" s="17"/>
    </row>
    <row r="50" spans="1:16" ht="12.75">
      <c r="A50" s="3"/>
      <c r="B50" s="3"/>
      <c r="C50" s="3"/>
      <c r="D50" s="3"/>
      <c r="E50" s="17"/>
      <c r="F50" s="17"/>
      <c r="G50" s="17"/>
      <c r="H50" s="17"/>
      <c r="I50" s="17"/>
      <c r="P50" s="17"/>
    </row>
    <row r="51" spans="1:16" ht="12.75">
      <c r="A51" s="3"/>
      <c r="B51" s="3"/>
      <c r="C51" s="3"/>
      <c r="D51" s="3"/>
      <c r="E51" s="17"/>
      <c r="F51" s="17"/>
      <c r="G51" s="17"/>
      <c r="H51" s="17"/>
      <c r="I51" s="17"/>
      <c r="P51" s="17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</sheetData>
  <sheetProtection password="C935" sheet="1" objects="1" scenarios="1"/>
  <mergeCells count="5">
    <mergeCell ref="A1:I1"/>
    <mergeCell ref="A3:I3"/>
    <mergeCell ref="D6:D9"/>
    <mergeCell ref="F5:F9"/>
    <mergeCell ref="B7:B9"/>
  </mergeCells>
  <printOptions horizontalCentered="1"/>
  <pageMargins left="0.56" right="0.49" top="0.83" bottom="1.07" header="0.67" footer="0.5"/>
  <pageSetup fitToHeight="1" fitToWidth="1" horizontalDpi="600" verticalDpi="600" orientation="landscape" scale="94" r:id="rId1"/>
  <headerFooter alignWithMargins="0">
    <oddHeader>&amp;R
</oddHeader>
    <oddFooter>&amp;L&amp;"Arial,Italic"&amp;9MSDE-DBS  11 / 2006&amp;C- 16 -&amp;R&amp;"Arial,Italic"&amp;9Selected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B16">
      <selection activeCell="C38" sqref="C38"/>
    </sheetView>
  </sheetViews>
  <sheetFormatPr defaultColWidth="9.140625" defaultRowHeight="12.75"/>
  <cols>
    <col min="1" max="1" width="17.28125" style="0" customWidth="1"/>
    <col min="2" max="3" width="12.8515625" style="0" customWidth="1"/>
    <col min="4" max="4" width="14.00390625" style="0" customWidth="1"/>
    <col min="5" max="5" width="14.8515625" style="0" customWidth="1"/>
    <col min="6" max="6" width="12.28125" style="0" customWidth="1"/>
    <col min="7" max="8" width="13.7109375" style="0" customWidth="1"/>
    <col min="9" max="9" width="14.57421875" style="0" customWidth="1"/>
  </cols>
  <sheetData>
    <row r="1" spans="1:9" ht="12.75">
      <c r="A1" s="424" t="s">
        <v>136</v>
      </c>
      <c r="B1" s="424"/>
      <c r="C1" s="424"/>
      <c r="D1" s="424"/>
      <c r="E1" s="424"/>
      <c r="F1" s="424"/>
      <c r="G1" s="424"/>
      <c r="H1" s="424"/>
      <c r="I1" s="424"/>
    </row>
    <row r="2" ht="12.75">
      <c r="A2" s="3"/>
    </row>
    <row r="3" spans="1:9" ht="12.75">
      <c r="A3" s="424" t="s">
        <v>298</v>
      </c>
      <c r="B3" s="424"/>
      <c r="C3" s="424"/>
      <c r="D3" s="424"/>
      <c r="E3" s="424"/>
      <c r="F3" s="424"/>
      <c r="G3" s="424"/>
      <c r="H3" s="424"/>
      <c r="I3" s="424"/>
    </row>
    <row r="4" spans="1:9" ht="13.5" thickBot="1">
      <c r="A4" s="13"/>
      <c r="B4" s="13"/>
      <c r="C4" s="13"/>
      <c r="D4" s="13"/>
      <c r="E4" s="13"/>
      <c r="F4" s="13"/>
      <c r="G4" s="13"/>
      <c r="H4" s="13"/>
      <c r="I4" s="13"/>
    </row>
    <row r="5" spans="1:9" ht="15" customHeight="1" thickTop="1">
      <c r="A5" s="3"/>
      <c r="D5" s="428" t="s">
        <v>293</v>
      </c>
      <c r="E5" s="93" t="s">
        <v>205</v>
      </c>
      <c r="F5" s="93" t="s">
        <v>92</v>
      </c>
      <c r="G5" s="439" t="s">
        <v>262</v>
      </c>
      <c r="H5" s="428" t="s">
        <v>292</v>
      </c>
      <c r="I5" s="93" t="s">
        <v>47</v>
      </c>
    </row>
    <row r="6" spans="1:9" ht="12.75">
      <c r="A6" s="3" t="s">
        <v>101</v>
      </c>
      <c r="B6" s="93" t="s">
        <v>133</v>
      </c>
      <c r="C6" s="93" t="s">
        <v>295</v>
      </c>
      <c r="D6" s="399"/>
      <c r="E6" s="93" t="s">
        <v>206</v>
      </c>
      <c r="F6" s="93" t="s">
        <v>93</v>
      </c>
      <c r="G6" s="399"/>
      <c r="H6" s="399"/>
      <c r="I6" s="4" t="s">
        <v>67</v>
      </c>
    </row>
    <row r="7" spans="1:9" ht="12.75">
      <c r="A7" s="3" t="s">
        <v>41</v>
      </c>
      <c r="B7" s="93" t="s">
        <v>134</v>
      </c>
      <c r="C7" s="93" t="s">
        <v>26</v>
      </c>
      <c r="D7" s="399"/>
      <c r="E7" s="93" t="s">
        <v>167</v>
      </c>
      <c r="F7" s="93" t="s">
        <v>71</v>
      </c>
      <c r="G7" s="399"/>
      <c r="H7" s="399"/>
      <c r="I7" s="4" t="s">
        <v>66</v>
      </c>
    </row>
    <row r="8" spans="1:9" ht="13.5" thickBot="1">
      <c r="A8" s="7" t="s">
        <v>154</v>
      </c>
      <c r="B8" s="109" t="s">
        <v>174</v>
      </c>
      <c r="C8" s="109"/>
      <c r="D8" s="401"/>
      <c r="E8" s="109" t="s">
        <v>80</v>
      </c>
      <c r="F8" s="109" t="s">
        <v>80</v>
      </c>
      <c r="G8" s="401"/>
      <c r="H8" s="401"/>
      <c r="I8" s="187" t="s">
        <v>79</v>
      </c>
    </row>
    <row r="9" spans="1:9" s="313" customFormat="1" ht="12.75">
      <c r="A9" s="311" t="s">
        <v>0</v>
      </c>
      <c r="B9" s="85">
        <f aca="true" t="shared" si="0" ref="B9:I9">SUM(B11:B38)</f>
        <v>5503368.820000002</v>
      </c>
      <c r="C9" s="85">
        <f t="shared" si="0"/>
        <v>28486.14</v>
      </c>
      <c r="D9" s="85">
        <f t="shared" si="0"/>
        <v>351966.99000000005</v>
      </c>
      <c r="E9" s="312">
        <f t="shared" si="0"/>
        <v>47450575.01</v>
      </c>
      <c r="F9" s="85">
        <f t="shared" si="0"/>
        <v>646245.2600000001</v>
      </c>
      <c r="G9" s="85">
        <f t="shared" si="0"/>
        <v>57607.23</v>
      </c>
      <c r="H9" s="85">
        <f t="shared" si="0"/>
        <v>177006.4</v>
      </c>
      <c r="I9" s="85">
        <f t="shared" si="0"/>
        <v>35330475.94</v>
      </c>
    </row>
    <row r="10" spans="1:9" ht="12.75">
      <c r="A10" s="3"/>
      <c r="B10" s="56"/>
      <c r="C10" s="56"/>
      <c r="D10" s="56"/>
      <c r="E10" s="56"/>
      <c r="F10" s="56"/>
      <c r="G10" s="56"/>
      <c r="H10" s="56"/>
      <c r="I10" s="56"/>
    </row>
    <row r="11" spans="1:9" ht="12.75">
      <c r="A11" s="3" t="s">
        <v>1</v>
      </c>
      <c r="B11" s="97">
        <v>53501.15</v>
      </c>
      <c r="C11" s="165">
        <v>0</v>
      </c>
      <c r="D11" s="165">
        <v>0</v>
      </c>
      <c r="E11" s="97">
        <v>922438.37</v>
      </c>
      <c r="F11" s="97">
        <v>0</v>
      </c>
      <c r="G11" s="97">
        <v>6254.47</v>
      </c>
      <c r="H11" s="97">
        <v>0</v>
      </c>
      <c r="I11" s="97">
        <v>725652.26</v>
      </c>
    </row>
    <row r="12" spans="1:9" ht="12.75">
      <c r="A12" s="3" t="s">
        <v>2</v>
      </c>
      <c r="B12" s="97">
        <v>367311.12</v>
      </c>
      <c r="C12" s="165">
        <v>0</v>
      </c>
      <c r="D12" s="165">
        <v>0</v>
      </c>
      <c r="E12" s="97">
        <v>1903039.8</v>
      </c>
      <c r="F12" s="97">
        <v>76682.99</v>
      </c>
      <c r="G12" s="97">
        <v>0</v>
      </c>
      <c r="H12" s="165">
        <v>0</v>
      </c>
      <c r="I12" s="97">
        <v>2038180.71</v>
      </c>
    </row>
    <row r="13" spans="1:9" ht="12.75">
      <c r="A13" s="3" t="s">
        <v>3</v>
      </c>
      <c r="B13" s="91">
        <v>1369503.17</v>
      </c>
      <c r="C13" s="165">
        <v>0</v>
      </c>
      <c r="D13" s="97">
        <v>165442.67</v>
      </c>
      <c r="E13" s="97">
        <v>15791564.32</v>
      </c>
      <c r="F13" s="97">
        <v>95866.65</v>
      </c>
      <c r="G13" s="97">
        <v>0</v>
      </c>
      <c r="H13" s="97">
        <v>0</v>
      </c>
      <c r="I13" s="97">
        <v>3012185.24</v>
      </c>
    </row>
    <row r="14" spans="1:9" ht="12.75">
      <c r="A14" s="3" t="s">
        <v>4</v>
      </c>
      <c r="B14" s="97">
        <v>496513.73</v>
      </c>
      <c r="C14" s="165">
        <v>0</v>
      </c>
      <c r="D14" s="165">
        <v>0</v>
      </c>
      <c r="E14" s="97">
        <v>6708037.84</v>
      </c>
      <c r="F14" s="97">
        <v>91263.27</v>
      </c>
      <c r="G14" s="97">
        <v>19316.93</v>
      </c>
      <c r="H14" s="97">
        <v>0</v>
      </c>
      <c r="I14" s="97">
        <v>3510532.04</v>
      </c>
    </row>
    <row r="15" spans="1:9" ht="12.75">
      <c r="A15" s="3" t="s">
        <v>5</v>
      </c>
      <c r="B15" s="91">
        <v>54682.61</v>
      </c>
      <c r="C15" s="165">
        <v>0</v>
      </c>
      <c r="D15" s="165">
        <v>0</v>
      </c>
      <c r="E15" s="145">
        <v>1144007.52</v>
      </c>
      <c r="F15" s="97">
        <v>15847.5</v>
      </c>
      <c r="G15" s="97">
        <v>0</v>
      </c>
      <c r="H15" s="97">
        <v>0</v>
      </c>
      <c r="I15" s="97">
        <v>213080.43</v>
      </c>
    </row>
    <row r="16" spans="1:9" ht="12.75">
      <c r="A16" s="3"/>
      <c r="B16" s="97"/>
      <c r="C16" s="97"/>
      <c r="D16" s="97"/>
      <c r="E16" s="97"/>
      <c r="F16" s="97"/>
      <c r="G16" s="97"/>
      <c r="H16" s="97"/>
      <c r="I16" s="97"/>
    </row>
    <row r="17" spans="1:9" ht="12.75">
      <c r="A17" s="3" t="s">
        <v>6</v>
      </c>
      <c r="B17" s="97">
        <v>30338.77</v>
      </c>
      <c r="C17" s="165">
        <v>0</v>
      </c>
      <c r="D17" s="97">
        <v>0</v>
      </c>
      <c r="E17" s="97">
        <v>606455.92</v>
      </c>
      <c r="F17" s="97">
        <v>0</v>
      </c>
      <c r="G17" s="97">
        <v>0</v>
      </c>
      <c r="H17" s="97">
        <v>0</v>
      </c>
      <c r="I17" s="97">
        <v>0</v>
      </c>
    </row>
    <row r="18" spans="1:9" ht="12.75">
      <c r="A18" s="3" t="s">
        <v>7</v>
      </c>
      <c r="B18" s="97">
        <v>84210.7</v>
      </c>
      <c r="C18" s="165">
        <v>0</v>
      </c>
      <c r="D18" s="165">
        <v>0</v>
      </c>
      <c r="E18" s="97">
        <v>1526570.71</v>
      </c>
      <c r="F18" s="97">
        <v>0</v>
      </c>
      <c r="G18" s="97">
        <v>2290.83</v>
      </c>
      <c r="H18" s="97">
        <v>0</v>
      </c>
      <c r="I18" s="97">
        <v>707759.02</v>
      </c>
    </row>
    <row r="19" spans="1:9" ht="12.75">
      <c r="A19" s="3" t="s">
        <v>8</v>
      </c>
      <c r="B19" s="97">
        <v>96609.66</v>
      </c>
      <c r="C19" s="165">
        <v>0</v>
      </c>
      <c r="D19" s="165">
        <v>0</v>
      </c>
      <c r="E19" s="97">
        <v>1271870.23</v>
      </c>
      <c r="F19" s="97">
        <v>0</v>
      </c>
      <c r="G19" s="97">
        <v>0</v>
      </c>
      <c r="H19" s="165">
        <v>0</v>
      </c>
      <c r="I19" s="97">
        <v>215093.62</v>
      </c>
    </row>
    <row r="20" spans="1:9" ht="12.75">
      <c r="A20" s="3" t="s">
        <v>9</v>
      </c>
      <c r="B20" s="97">
        <v>124968.81</v>
      </c>
      <c r="C20" s="165">
        <v>0</v>
      </c>
      <c r="D20" s="165">
        <v>0</v>
      </c>
      <c r="E20" s="97">
        <v>959004.18</v>
      </c>
      <c r="F20" s="97">
        <v>29056.22</v>
      </c>
      <c r="G20" s="165">
        <v>0</v>
      </c>
      <c r="H20" s="97">
        <v>0</v>
      </c>
      <c r="I20" s="97">
        <v>455183.34</v>
      </c>
    </row>
    <row r="21" spans="1:9" ht="12.75">
      <c r="A21" s="3" t="s">
        <v>10</v>
      </c>
      <c r="B21" s="97">
        <v>32223.85</v>
      </c>
      <c r="C21" s="165">
        <v>0</v>
      </c>
      <c r="D21" s="165">
        <v>0</v>
      </c>
      <c r="E21" s="97">
        <v>178528.57</v>
      </c>
      <c r="F21" s="97">
        <v>0</v>
      </c>
      <c r="G21" s="97">
        <v>0</v>
      </c>
      <c r="H21" s="97">
        <v>0</v>
      </c>
      <c r="I21" s="165">
        <v>0</v>
      </c>
    </row>
    <row r="22" spans="1:9" ht="12.75">
      <c r="A22" s="3"/>
      <c r="B22" s="97"/>
      <c r="C22" s="97"/>
      <c r="D22" s="165"/>
      <c r="E22" s="97"/>
      <c r="F22" s="97"/>
      <c r="G22" s="97"/>
      <c r="H22" s="97"/>
      <c r="I22" s="97"/>
    </row>
    <row r="23" spans="1:9" ht="12.75">
      <c r="A23" s="3" t="s">
        <v>11</v>
      </c>
      <c r="B23" s="97">
        <v>141064.77</v>
      </c>
      <c r="C23" s="165">
        <v>0</v>
      </c>
      <c r="D23" s="165">
        <v>0</v>
      </c>
      <c r="E23" s="97">
        <v>1529480.34</v>
      </c>
      <c r="F23" s="97">
        <v>19642.81</v>
      </c>
      <c r="G23" s="97">
        <v>21745</v>
      </c>
      <c r="H23" s="165">
        <v>0</v>
      </c>
      <c r="I23" s="97">
        <v>425795.92</v>
      </c>
    </row>
    <row r="24" spans="1:9" ht="12.75">
      <c r="A24" s="3" t="s">
        <v>12</v>
      </c>
      <c r="B24" s="97">
        <v>44765.7</v>
      </c>
      <c r="C24" s="165">
        <v>0</v>
      </c>
      <c r="D24" s="165">
        <v>0</v>
      </c>
      <c r="E24" s="97">
        <v>0</v>
      </c>
      <c r="F24" s="165">
        <v>0</v>
      </c>
      <c r="G24" s="97">
        <v>0</v>
      </c>
      <c r="H24" s="165">
        <v>0</v>
      </c>
      <c r="I24" s="97">
        <v>9546.4</v>
      </c>
    </row>
    <row r="25" spans="1:9" ht="12.75">
      <c r="A25" s="3" t="s">
        <v>13</v>
      </c>
      <c r="B25" s="97">
        <v>155205.54</v>
      </c>
      <c r="C25" s="165">
        <v>0</v>
      </c>
      <c r="D25" s="165">
        <v>0</v>
      </c>
      <c r="E25" s="97">
        <v>1100636.02</v>
      </c>
      <c r="F25" s="97">
        <v>8215.18</v>
      </c>
      <c r="G25" s="97">
        <v>0</v>
      </c>
      <c r="H25" s="97">
        <v>0</v>
      </c>
      <c r="I25" s="97">
        <v>1322588.92</v>
      </c>
    </row>
    <row r="26" spans="1:9" ht="12.75">
      <c r="A26" s="3" t="s">
        <v>14</v>
      </c>
      <c r="B26" s="97">
        <v>189794.39</v>
      </c>
      <c r="C26" s="165">
        <v>0</v>
      </c>
      <c r="D26" s="165">
        <v>0</v>
      </c>
      <c r="E26" s="97">
        <v>1135710.4</v>
      </c>
      <c r="F26" s="97">
        <v>91870.57</v>
      </c>
      <c r="G26" s="97">
        <v>0</v>
      </c>
      <c r="H26" s="97">
        <v>0</v>
      </c>
      <c r="I26" s="97">
        <v>1191112.68</v>
      </c>
    </row>
    <row r="27" spans="1:9" ht="12.75">
      <c r="A27" s="3" t="s">
        <v>15</v>
      </c>
      <c r="B27" s="145">
        <v>16881.99</v>
      </c>
      <c r="C27" s="165">
        <v>0</v>
      </c>
      <c r="D27" s="165">
        <v>0</v>
      </c>
      <c r="E27" s="97">
        <v>172057.3</v>
      </c>
      <c r="F27" s="97">
        <v>0</v>
      </c>
      <c r="G27" s="97">
        <v>0</v>
      </c>
      <c r="H27" s="97">
        <v>0</v>
      </c>
      <c r="I27" s="97">
        <v>153255</v>
      </c>
    </row>
    <row r="28" spans="1:9" ht="12.75">
      <c r="A28" s="3"/>
      <c r="B28" s="97"/>
      <c r="C28" s="97"/>
      <c r="D28" s="165"/>
      <c r="E28" s="97"/>
      <c r="F28" s="97"/>
      <c r="G28" s="97"/>
      <c r="H28" s="97"/>
      <c r="I28" s="97"/>
    </row>
    <row r="29" spans="1:9" ht="12.75">
      <c r="A29" s="3" t="s">
        <v>16</v>
      </c>
      <c r="B29" s="97">
        <v>727472.46</v>
      </c>
      <c r="C29" s="165">
        <v>0</v>
      </c>
      <c r="D29" s="97">
        <v>149762</v>
      </c>
      <c r="E29" s="97">
        <v>4976252</v>
      </c>
      <c r="F29" s="145">
        <v>115240.37</v>
      </c>
      <c r="G29" s="97">
        <v>4000</v>
      </c>
      <c r="H29" s="165">
        <v>0</v>
      </c>
      <c r="I29" s="97">
        <f>9163620.85-22228.18</f>
        <v>9141392.67</v>
      </c>
    </row>
    <row r="30" spans="1:9" ht="12.75">
      <c r="A30" s="3" t="s">
        <v>17</v>
      </c>
      <c r="B30" s="97">
        <v>917380.08</v>
      </c>
      <c r="C30" s="97">
        <v>16688.87</v>
      </c>
      <c r="D30" s="97">
        <v>36762.32</v>
      </c>
      <c r="E30" s="97">
        <v>3643556.81</v>
      </c>
      <c r="F30" s="145">
        <v>52272.17</v>
      </c>
      <c r="G30" s="97">
        <v>0</v>
      </c>
      <c r="H30" s="97">
        <v>177006.4</v>
      </c>
      <c r="I30" s="97">
        <v>9995749.74</v>
      </c>
    </row>
    <row r="31" spans="1:9" ht="12.75">
      <c r="A31" s="3" t="s">
        <v>18</v>
      </c>
      <c r="B31" s="97">
        <v>19829.36</v>
      </c>
      <c r="C31" s="165">
        <v>0</v>
      </c>
      <c r="D31" s="165">
        <v>0</v>
      </c>
      <c r="E31" s="97">
        <v>316362.55</v>
      </c>
      <c r="F31" s="97">
        <v>0</v>
      </c>
      <c r="G31" s="97">
        <v>0</v>
      </c>
      <c r="H31" s="165">
        <v>0</v>
      </c>
      <c r="I31" s="97">
        <v>222440.2</v>
      </c>
    </row>
    <row r="32" spans="1:9" ht="12.75">
      <c r="A32" s="3" t="s">
        <v>19</v>
      </c>
      <c r="B32" s="97">
        <v>87499.86</v>
      </c>
      <c r="C32" s="165">
        <v>0</v>
      </c>
      <c r="D32" s="165">
        <v>0</v>
      </c>
      <c r="E32" s="97">
        <v>824212.58</v>
      </c>
      <c r="F32" s="97">
        <v>23456.29</v>
      </c>
      <c r="G32" s="165">
        <v>0</v>
      </c>
      <c r="H32" s="97">
        <v>0</v>
      </c>
      <c r="I32" s="97">
        <v>987062.99</v>
      </c>
    </row>
    <row r="33" spans="1:9" ht="12.75">
      <c r="A33" s="3" t="s">
        <v>20</v>
      </c>
      <c r="B33" s="97">
        <v>35329.49</v>
      </c>
      <c r="C33" s="165">
        <v>0</v>
      </c>
      <c r="D33" s="165">
        <v>0</v>
      </c>
      <c r="E33" s="97">
        <v>193619.11</v>
      </c>
      <c r="F33" s="97">
        <v>0</v>
      </c>
      <c r="G33" s="97">
        <v>0</v>
      </c>
      <c r="H33" s="97">
        <v>0</v>
      </c>
      <c r="I33" s="97">
        <v>50826.98</v>
      </c>
    </row>
    <row r="34" spans="1:9" ht="12.75">
      <c r="A34" s="3"/>
      <c r="B34" s="165"/>
      <c r="C34" s="165"/>
      <c r="D34" s="97"/>
      <c r="E34" s="97"/>
      <c r="F34" s="97"/>
      <c r="G34" s="97"/>
      <c r="H34" s="97"/>
      <c r="I34" s="97"/>
    </row>
    <row r="35" spans="1:9" ht="12.75">
      <c r="A35" s="3" t="s">
        <v>21</v>
      </c>
      <c r="B35" s="97">
        <v>28433</v>
      </c>
      <c r="C35" s="165">
        <v>0</v>
      </c>
      <c r="D35" s="97">
        <v>0</v>
      </c>
      <c r="E35" s="97">
        <v>217198.29</v>
      </c>
      <c r="F35" s="97">
        <v>0</v>
      </c>
      <c r="G35" s="278">
        <v>4000</v>
      </c>
      <c r="H35" s="97">
        <v>0</v>
      </c>
      <c r="I35" s="97">
        <v>38856.59</v>
      </c>
    </row>
    <row r="36" spans="1:9" ht="12.75">
      <c r="A36" s="3" t="s">
        <v>22</v>
      </c>
      <c r="B36" s="97">
        <v>299649.32</v>
      </c>
      <c r="C36" s="165">
        <v>0</v>
      </c>
      <c r="D36" s="165">
        <v>0</v>
      </c>
      <c r="E36" s="97">
        <v>664708.17</v>
      </c>
      <c r="F36" s="97">
        <v>0</v>
      </c>
      <c r="G36" s="176">
        <v>0</v>
      </c>
      <c r="H36" s="97">
        <v>0</v>
      </c>
      <c r="I36" s="97">
        <v>5000</v>
      </c>
    </row>
    <row r="37" spans="1:9" ht="12.75">
      <c r="A37" s="3" t="s">
        <v>23</v>
      </c>
      <c r="B37" s="97">
        <v>80411.78</v>
      </c>
      <c r="C37" s="97">
        <v>11797.27</v>
      </c>
      <c r="D37" s="165">
        <v>0</v>
      </c>
      <c r="E37" s="97">
        <v>1277830</v>
      </c>
      <c r="F37" s="97">
        <v>26831.24</v>
      </c>
      <c r="G37" s="97">
        <v>0</v>
      </c>
      <c r="H37" s="97">
        <v>0</v>
      </c>
      <c r="I37" s="97">
        <v>556623.15</v>
      </c>
    </row>
    <row r="38" spans="1:9" ht="12.75">
      <c r="A38" s="14" t="s">
        <v>24</v>
      </c>
      <c r="B38" s="146">
        <v>49787.51</v>
      </c>
      <c r="C38" s="146">
        <v>0</v>
      </c>
      <c r="D38" s="146">
        <v>0</v>
      </c>
      <c r="E38" s="146">
        <v>387433.98</v>
      </c>
      <c r="F38" s="146">
        <v>0</v>
      </c>
      <c r="G38" s="146">
        <v>0</v>
      </c>
      <c r="H38" s="146">
        <v>0</v>
      </c>
      <c r="I38" s="146">
        <v>352558.04</v>
      </c>
    </row>
    <row r="39" spans="1:9" ht="12.75">
      <c r="A39" s="3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3"/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3"/>
      <c r="B41" s="17"/>
      <c r="C41" s="17"/>
      <c r="D41" s="17"/>
      <c r="E41" s="17"/>
      <c r="F41" s="17"/>
      <c r="G41" s="17"/>
      <c r="H41" s="17"/>
      <c r="I41" s="17"/>
    </row>
    <row r="42" spans="1:9" ht="12.75">
      <c r="A42" s="3"/>
      <c r="B42" s="17"/>
      <c r="C42" s="17"/>
      <c r="D42" s="17"/>
      <c r="E42" s="17"/>
      <c r="F42" s="17"/>
      <c r="G42" s="17"/>
      <c r="H42" s="17"/>
      <c r="I42" s="17"/>
    </row>
    <row r="43" spans="1:9" ht="12.75">
      <c r="A43" s="3"/>
      <c r="B43" s="17"/>
      <c r="C43" s="17"/>
      <c r="D43" s="17"/>
      <c r="E43" s="17"/>
      <c r="F43" s="17"/>
      <c r="G43" s="17"/>
      <c r="H43" s="17"/>
      <c r="I43" s="17"/>
    </row>
    <row r="44" spans="1:9" ht="12.75">
      <c r="A44" s="3"/>
      <c r="B44" s="17"/>
      <c r="C44" s="17"/>
      <c r="D44" s="17"/>
      <c r="E44" s="17"/>
      <c r="F44" s="17"/>
      <c r="G44" s="17"/>
      <c r="H44" s="17"/>
      <c r="I44" s="17"/>
    </row>
    <row r="45" spans="1:9" ht="12.75">
      <c r="A45" s="3"/>
      <c r="B45" s="17"/>
      <c r="C45" s="17"/>
      <c r="D45" s="17"/>
      <c r="E45" s="17"/>
      <c r="F45" s="17"/>
      <c r="G45" s="17"/>
      <c r="H45" s="17"/>
      <c r="I45" s="17"/>
    </row>
    <row r="46" spans="1:9" ht="12.75">
      <c r="A46" s="3"/>
      <c r="B46" s="17"/>
      <c r="C46" s="17"/>
      <c r="D46" s="17"/>
      <c r="E46" s="17"/>
      <c r="F46" s="17"/>
      <c r="G46" s="17"/>
      <c r="H46" s="17"/>
      <c r="I46" s="17"/>
    </row>
    <row r="47" spans="1:9" ht="12.75">
      <c r="A47" s="3"/>
      <c r="B47" s="17"/>
      <c r="C47" s="17"/>
      <c r="D47" s="17"/>
      <c r="E47" s="17"/>
      <c r="F47" s="17"/>
      <c r="G47" s="17"/>
      <c r="H47" s="17"/>
      <c r="I47" s="17"/>
    </row>
    <row r="48" spans="1:9" ht="12.75">
      <c r="A48" s="3"/>
      <c r="B48" s="17"/>
      <c r="C48" s="17"/>
      <c r="D48" s="17"/>
      <c r="E48" s="17"/>
      <c r="F48" s="17"/>
      <c r="G48" s="17"/>
      <c r="H48" s="17"/>
      <c r="I48" s="17"/>
    </row>
    <row r="49" spans="1:9" ht="12.75">
      <c r="A49" s="3"/>
      <c r="B49" s="17"/>
      <c r="C49" s="17"/>
      <c r="D49" s="17"/>
      <c r="E49" s="17"/>
      <c r="F49" s="17"/>
      <c r="G49" s="17"/>
      <c r="H49" s="17"/>
      <c r="I49" s="17"/>
    </row>
    <row r="50" spans="1:9" ht="12.75">
      <c r="A50" s="3"/>
      <c r="B50" s="17"/>
      <c r="C50" s="17"/>
      <c r="D50" s="17"/>
      <c r="E50" s="17"/>
      <c r="F50" s="17"/>
      <c r="G50" s="17"/>
      <c r="H50" s="17"/>
      <c r="I50" s="17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</sheetData>
  <sheetProtection password="C935" sheet="1" objects="1" scenarios="1"/>
  <mergeCells count="5">
    <mergeCell ref="A1:I1"/>
    <mergeCell ref="A3:I3"/>
    <mergeCell ref="D5:D8"/>
    <mergeCell ref="G5:G8"/>
    <mergeCell ref="H5:H8"/>
  </mergeCells>
  <printOptions horizontalCentered="1"/>
  <pageMargins left="0.69" right="0.65" top="0.83" bottom="1.2" header="0.67" footer="0.5"/>
  <pageSetup fitToHeight="1" fitToWidth="1" horizontalDpi="600" verticalDpi="600" orientation="landscape" scale="98" r:id="rId1"/>
  <headerFooter alignWithMargins="0">
    <oddHeader>&amp;R
</oddHeader>
    <oddFooter>&amp;L&amp;"Arial,Italic"&amp;9MSDE-DBS  11 / 2006
&amp;C- 17 -&amp;R&amp;"Arial,Italic"&amp;9Selected Financial Data-Part 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workbookViewId="0" topLeftCell="E4">
      <selection activeCell="D12" sqref="D12"/>
    </sheetView>
  </sheetViews>
  <sheetFormatPr defaultColWidth="9.140625" defaultRowHeight="12.75"/>
  <cols>
    <col min="1" max="1" width="17.57421875" style="28" customWidth="1"/>
    <col min="2" max="2" width="12.00390625" style="28" customWidth="1"/>
    <col min="3" max="3" width="17.7109375" style="28" customWidth="1"/>
    <col min="4" max="4" width="13.7109375" style="28" customWidth="1"/>
    <col min="5" max="5" width="14.8515625" style="28" customWidth="1"/>
    <col min="6" max="6" width="14.57421875" style="28" customWidth="1"/>
    <col min="7" max="7" width="15.57421875" style="28" customWidth="1"/>
    <col min="8" max="8" width="17.57421875" style="28" customWidth="1"/>
    <col min="9" max="9" width="15.57421875" style="28" customWidth="1"/>
    <col min="10" max="10" width="13.7109375" style="28" customWidth="1"/>
    <col min="11" max="11" width="14.7109375" style="28" customWidth="1"/>
    <col min="12" max="12" width="12.57421875" style="28" customWidth="1"/>
    <col min="13" max="16384" width="11.421875" style="28" customWidth="1"/>
  </cols>
  <sheetData>
    <row r="1" spans="1:12" ht="12.75">
      <c r="A1" s="26" t="s">
        <v>119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/>
      <c r="B2" s="26"/>
      <c r="C2" s="26"/>
      <c r="D2" s="26"/>
      <c r="E2" s="26"/>
      <c r="F2" s="26"/>
      <c r="G2" s="26"/>
      <c r="H2" s="26"/>
      <c r="I2" s="26"/>
      <c r="J2" s="166"/>
      <c r="K2" s="166"/>
      <c r="L2" s="26"/>
    </row>
    <row r="3" spans="1:12" ht="12.75">
      <c r="A3" s="59" t="s">
        <v>265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3.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 thickTop="1">
      <c r="A5" s="440" t="s">
        <v>242</v>
      </c>
      <c r="B5" s="440" t="s">
        <v>267</v>
      </c>
      <c r="C5" s="440" t="s">
        <v>241</v>
      </c>
      <c r="D5" s="440" t="s">
        <v>245</v>
      </c>
      <c r="E5" s="440" t="s">
        <v>266</v>
      </c>
      <c r="F5" s="440" t="s">
        <v>268</v>
      </c>
      <c r="G5" s="441" t="s">
        <v>120</v>
      </c>
      <c r="H5" s="441"/>
      <c r="I5" s="441"/>
      <c r="J5" s="441"/>
      <c r="K5" s="441"/>
      <c r="L5" s="441"/>
    </row>
    <row r="6" spans="1:12" ht="12.75">
      <c r="A6" s="399"/>
      <c r="B6" s="399"/>
      <c r="C6" s="399"/>
      <c r="D6" s="399"/>
      <c r="E6" s="399"/>
      <c r="F6" s="399"/>
      <c r="G6" s="442" t="s">
        <v>246</v>
      </c>
      <c r="H6" s="442" t="s">
        <v>269</v>
      </c>
      <c r="I6" s="447" t="s">
        <v>310</v>
      </c>
      <c r="J6" s="442" t="s">
        <v>243</v>
      </c>
      <c r="K6" s="442" t="s">
        <v>240</v>
      </c>
      <c r="L6" s="442" t="s">
        <v>244</v>
      </c>
    </row>
    <row r="7" spans="1:12" ht="12.75">
      <c r="A7" s="399"/>
      <c r="B7" s="399"/>
      <c r="C7" s="399"/>
      <c r="D7" s="399"/>
      <c r="E7" s="399"/>
      <c r="F7" s="399"/>
      <c r="G7" s="399"/>
      <c r="H7" s="399"/>
      <c r="I7" s="443" t="s">
        <v>311</v>
      </c>
      <c r="J7" s="443"/>
      <c r="K7" s="399"/>
      <c r="L7" s="399"/>
    </row>
    <row r="8" spans="1:12" ht="12.75">
      <c r="A8" s="399"/>
      <c r="B8" s="399"/>
      <c r="C8" s="399"/>
      <c r="D8" s="399"/>
      <c r="E8" s="399"/>
      <c r="F8" s="399"/>
      <c r="G8" s="399"/>
      <c r="H8" s="399"/>
      <c r="I8" s="443"/>
      <c r="J8" s="443"/>
      <c r="K8" s="399"/>
      <c r="L8" s="399"/>
    </row>
    <row r="9" spans="1:12" ht="13.5" thickBot="1">
      <c r="A9" s="401"/>
      <c r="B9" s="401"/>
      <c r="C9" s="401"/>
      <c r="D9" s="401"/>
      <c r="E9" s="401"/>
      <c r="F9" s="401"/>
      <c r="G9" s="401"/>
      <c r="H9" s="401"/>
      <c r="I9" s="448"/>
      <c r="J9" s="401"/>
      <c r="K9" s="401"/>
      <c r="L9" s="401"/>
    </row>
    <row r="10" spans="1:12" ht="12.75">
      <c r="A10" s="41" t="s">
        <v>0</v>
      </c>
      <c r="B10" s="68">
        <f>SUM(B12:B39)</f>
        <v>828960.9499999998</v>
      </c>
      <c r="C10" s="66">
        <f>SUM(C12:C39)</f>
        <v>246282084658</v>
      </c>
      <c r="D10" s="69">
        <f>+C10/B10</f>
        <v>297097.3296848302</v>
      </c>
      <c r="E10" s="66">
        <f aca="true" t="shared" si="0" ref="E10:K10">SUM(E12:E39)</f>
        <v>4168844619</v>
      </c>
      <c r="F10" s="66">
        <f t="shared" si="0"/>
        <v>2068892653</v>
      </c>
      <c r="G10" s="66">
        <f t="shared" si="0"/>
        <v>2099951966</v>
      </c>
      <c r="H10" s="66">
        <f t="shared" si="0"/>
        <v>1000522708.5600002</v>
      </c>
      <c r="I10" s="66">
        <f t="shared" si="0"/>
        <v>2114566821.6</v>
      </c>
      <c r="J10" s="272">
        <f t="shared" si="0"/>
        <v>0</v>
      </c>
      <c r="K10" s="66">
        <f t="shared" si="0"/>
        <v>2114566821.6</v>
      </c>
      <c r="L10" s="70">
        <f>K10/B10</f>
        <v>2550.864213326334</v>
      </c>
    </row>
    <row r="11" spans="1:12" ht="12.75">
      <c r="A11" s="27"/>
      <c r="B11" s="29"/>
      <c r="C11" s="29"/>
      <c r="D11" s="36"/>
      <c r="E11" s="29"/>
      <c r="F11" s="23"/>
      <c r="G11" s="29"/>
      <c r="H11" s="29"/>
      <c r="I11" s="29"/>
      <c r="J11" s="29"/>
      <c r="K11" s="29"/>
      <c r="L11" s="24"/>
    </row>
    <row r="12" spans="1:12" ht="12.75">
      <c r="A12" s="27" t="s">
        <v>1</v>
      </c>
      <c r="B12" s="269">
        <v>9408.35</v>
      </c>
      <c r="C12" s="270">
        <v>1782626572</v>
      </c>
      <c r="D12" s="36">
        <f>+C12/B12</f>
        <v>189472.8163811933</v>
      </c>
      <c r="E12" s="91">
        <f>ROUND((+B12*5029),0)</f>
        <v>47314592</v>
      </c>
      <c r="F12" s="270">
        <v>14974955</v>
      </c>
      <c r="G12" s="29">
        <f>+E12-F12</f>
        <v>32339637</v>
      </c>
      <c r="H12" s="38">
        <f>E12*0.24</f>
        <v>11355502.08</v>
      </c>
      <c r="I12" s="169">
        <f>IF(G12&gt;H12,G12,H12)</f>
        <v>32339637</v>
      </c>
      <c r="J12" s="168">
        <v>0</v>
      </c>
      <c r="K12" s="39">
        <f>I12+J12</f>
        <v>32339637</v>
      </c>
      <c r="L12" s="24">
        <f>K12/B12</f>
        <v>3437.3335388245546</v>
      </c>
    </row>
    <row r="13" spans="1:12" ht="12.75">
      <c r="A13" s="27" t="s">
        <v>2</v>
      </c>
      <c r="B13" s="269">
        <v>71901.8</v>
      </c>
      <c r="C13" s="270">
        <v>26538809646</v>
      </c>
      <c r="D13" s="36">
        <f>+C13/B13</f>
        <v>369097.98706012924</v>
      </c>
      <c r="E13" s="91">
        <f>ROUND((+B13*5029),0)</f>
        <v>361594152</v>
      </c>
      <c r="F13" s="270">
        <v>222939270</v>
      </c>
      <c r="G13" s="29">
        <f>+E13-F13</f>
        <v>138654882</v>
      </c>
      <c r="H13" s="38">
        <f>E13*0.24</f>
        <v>86782596.48</v>
      </c>
      <c r="I13" s="169">
        <f>IF(G13&gt;H13,G13,H13)</f>
        <v>138654882</v>
      </c>
      <c r="J13" s="168">
        <v>0</v>
      </c>
      <c r="K13" s="39">
        <f>I13+J13</f>
        <v>138654882</v>
      </c>
      <c r="L13" s="24">
        <f>K13/B13</f>
        <v>1928.392362917201</v>
      </c>
    </row>
    <row r="14" spans="1:12" ht="12.75">
      <c r="A14" s="27" t="s">
        <v>3</v>
      </c>
      <c r="B14" s="269">
        <v>88410.55</v>
      </c>
      <c r="C14" s="270">
        <v>13909013670</v>
      </c>
      <c r="D14" s="36">
        <f>+C14/B14</f>
        <v>157323.00805729633</v>
      </c>
      <c r="E14" s="91">
        <f>ROUND((+B14*5029),0)</f>
        <v>444616656</v>
      </c>
      <c r="F14" s="270">
        <v>116842669</v>
      </c>
      <c r="G14" s="29">
        <f>+E14-F14</f>
        <v>327773987</v>
      </c>
      <c r="H14" s="38">
        <f>E14*0.24</f>
        <v>106707997.44</v>
      </c>
      <c r="I14" s="169">
        <f>IF(G14&gt;H14,G14,H14)</f>
        <v>327773987</v>
      </c>
      <c r="J14" s="168">
        <v>0</v>
      </c>
      <c r="K14" s="39">
        <f>I14+J14</f>
        <v>327773987</v>
      </c>
      <c r="L14" s="24">
        <f>K14/B14</f>
        <v>3707.4080751674996</v>
      </c>
    </row>
    <row r="15" spans="1:12" ht="12.75">
      <c r="A15" s="27" t="s">
        <v>4</v>
      </c>
      <c r="B15" s="269">
        <v>103099.6</v>
      </c>
      <c r="C15" s="270">
        <v>32962513394</v>
      </c>
      <c r="D15" s="36">
        <f>+C15/B15</f>
        <v>319715.240350108</v>
      </c>
      <c r="E15" s="91">
        <f>ROUND((+B15*5029),0)</f>
        <v>518487888</v>
      </c>
      <c r="F15" s="270">
        <v>276901594</v>
      </c>
      <c r="G15" s="29">
        <f>+E15-F15</f>
        <v>241586294</v>
      </c>
      <c r="H15" s="38">
        <f>E15*0.24</f>
        <v>124437093.11999999</v>
      </c>
      <c r="I15" s="169">
        <f>IF(G15&gt;H15,G15,H15)</f>
        <v>241586294</v>
      </c>
      <c r="J15" s="168">
        <v>0</v>
      </c>
      <c r="K15" s="39">
        <f>I15+J15</f>
        <v>241586294</v>
      </c>
      <c r="L15" s="24">
        <f>K15/B15</f>
        <v>2343.2321172924044</v>
      </c>
    </row>
    <row r="16" spans="1:12" ht="12.75">
      <c r="A16" s="27" t="s">
        <v>5</v>
      </c>
      <c r="B16" s="269">
        <v>16745.05</v>
      </c>
      <c r="C16" s="270">
        <v>4392241520</v>
      </c>
      <c r="D16" s="36">
        <f>+C16/B16</f>
        <v>262300.8901137948</v>
      </c>
      <c r="E16" s="91">
        <f>ROUND((+B16*5029),0)</f>
        <v>84210856</v>
      </c>
      <c r="F16" s="270">
        <v>36897025</v>
      </c>
      <c r="G16" s="29">
        <f>+E16-F16</f>
        <v>47313831</v>
      </c>
      <c r="H16" s="38">
        <f>E16*0.24</f>
        <v>20210605.439999998</v>
      </c>
      <c r="I16" s="169">
        <f>IF(G16&gt;H16,G16,H16)</f>
        <v>47313831</v>
      </c>
      <c r="J16" s="168">
        <v>0</v>
      </c>
      <c r="K16" s="39">
        <f>I16+J16</f>
        <v>47313831</v>
      </c>
      <c r="L16" s="24">
        <f>K16/B16</f>
        <v>2825.541339082296</v>
      </c>
    </row>
    <row r="17" spans="1:12" ht="12.75">
      <c r="A17" s="27"/>
      <c r="C17" s="29"/>
      <c r="D17" s="37"/>
      <c r="E17" s="117"/>
      <c r="G17" s="29"/>
      <c r="H17" s="38"/>
      <c r="J17" s="29"/>
      <c r="K17" s="29"/>
      <c r="L17" s="24"/>
    </row>
    <row r="18" spans="1:12" ht="12.75">
      <c r="A18" s="27" t="s">
        <v>6</v>
      </c>
      <c r="B18" s="269">
        <v>5083.8</v>
      </c>
      <c r="C18" s="270">
        <v>905105409</v>
      </c>
      <c r="D18" s="36">
        <f>+C18/B18</f>
        <v>178037.17868523544</v>
      </c>
      <c r="E18" s="91">
        <f>ROUND((+B18*5029),0)</f>
        <v>25566430</v>
      </c>
      <c r="F18" s="270">
        <v>7603338</v>
      </c>
      <c r="G18" s="29">
        <f>+E18-F18</f>
        <v>17963092</v>
      </c>
      <c r="H18" s="38">
        <f>E18*0.24</f>
        <v>6135943.2</v>
      </c>
      <c r="I18" s="169">
        <f>IF(G18&gt;H18,G18,H18)</f>
        <v>17963092</v>
      </c>
      <c r="J18" s="168">
        <v>0</v>
      </c>
      <c r="K18" s="39">
        <f>I18+J18</f>
        <v>17963092</v>
      </c>
      <c r="L18" s="24">
        <f>K18/B18</f>
        <v>3533.398638813486</v>
      </c>
    </row>
    <row r="19" spans="1:12" ht="12.75">
      <c r="A19" s="27" t="s">
        <v>7</v>
      </c>
      <c r="B19" s="269">
        <v>28026.35</v>
      </c>
      <c r="C19" s="270">
        <v>7151088173</v>
      </c>
      <c r="D19" s="36">
        <f>+C19/B19</f>
        <v>255155.8862641764</v>
      </c>
      <c r="E19" s="91">
        <f>ROUND((+B19*5029),0)</f>
        <v>140944514</v>
      </c>
      <c r="F19" s="270">
        <v>60072716</v>
      </c>
      <c r="G19" s="29">
        <f>+E19-F19</f>
        <v>80871798</v>
      </c>
      <c r="H19" s="38">
        <f>E19*0.24</f>
        <v>33826683.36</v>
      </c>
      <c r="I19" s="169">
        <f>IF(G19&gt;H19,G19,H19)</f>
        <v>80871798</v>
      </c>
      <c r="J19" s="168">
        <v>0</v>
      </c>
      <c r="K19" s="39">
        <f>I19+J19</f>
        <v>80871798</v>
      </c>
      <c r="L19" s="24">
        <f>K19/B19</f>
        <v>2885.562979125002</v>
      </c>
    </row>
    <row r="20" spans="1:12" ht="12.75">
      <c r="A20" s="27" t="s">
        <v>8</v>
      </c>
      <c r="B20" s="269">
        <v>15670.85</v>
      </c>
      <c r="C20" s="270">
        <v>3499807125</v>
      </c>
      <c r="D20" s="36">
        <f>+C20/B20</f>
        <v>223332.30967050287</v>
      </c>
      <c r="E20" s="91">
        <f>ROUND((+B20*5029),0)</f>
        <v>78808705</v>
      </c>
      <c r="F20" s="270">
        <v>29400130</v>
      </c>
      <c r="G20" s="29">
        <f>+E20-F20</f>
        <v>49408575</v>
      </c>
      <c r="H20" s="38">
        <f>E20*0.24</f>
        <v>18914089.2</v>
      </c>
      <c r="I20" s="169">
        <f>IF(G20&gt;H20,G20,H20)</f>
        <v>49408575</v>
      </c>
      <c r="J20" s="168">
        <v>0</v>
      </c>
      <c r="K20" s="39">
        <f>I20+J20</f>
        <v>49408575</v>
      </c>
      <c r="L20" s="24">
        <f>K20/B20</f>
        <v>3152.896939221548</v>
      </c>
    </row>
    <row r="21" spans="1:12" ht="12.75">
      <c r="A21" s="27" t="s">
        <v>9</v>
      </c>
      <c r="B21" s="269">
        <v>24425.85</v>
      </c>
      <c r="C21" s="270">
        <v>5843709355</v>
      </c>
      <c r="D21" s="36">
        <f>+C21/B21</f>
        <v>239242.82491704487</v>
      </c>
      <c r="E21" s="91">
        <f>ROUND((+B21*5029),0)</f>
        <v>122837600</v>
      </c>
      <c r="F21" s="270">
        <v>49090080</v>
      </c>
      <c r="G21" s="29">
        <f>+E21-F21</f>
        <v>73747520</v>
      </c>
      <c r="H21" s="38">
        <f>E21*0.24</f>
        <v>29481024</v>
      </c>
      <c r="I21" s="169">
        <f>IF(G21&gt;H21,G21,H21)</f>
        <v>73747520</v>
      </c>
      <c r="J21" s="168">
        <v>0</v>
      </c>
      <c r="K21" s="39">
        <f>I21+J21</f>
        <v>73747520</v>
      </c>
      <c r="L21" s="24">
        <f>K21/B21</f>
        <v>3019.2406814911255</v>
      </c>
    </row>
    <row r="22" spans="1:12" ht="12.75">
      <c r="A22" s="27" t="s">
        <v>10</v>
      </c>
      <c r="B22" s="269">
        <v>4518.5</v>
      </c>
      <c r="C22" s="270">
        <v>1061812773</v>
      </c>
      <c r="D22" s="36">
        <f>+C22/B22</f>
        <v>234992.31448489544</v>
      </c>
      <c r="E22" s="91">
        <f>ROUND((+B22*5029),0)</f>
        <v>22723537</v>
      </c>
      <c r="F22" s="270">
        <v>8919758</v>
      </c>
      <c r="G22" s="29">
        <f>+E22-F22</f>
        <v>13803779</v>
      </c>
      <c r="H22" s="38">
        <f>E22*0.24</f>
        <v>5453648.88</v>
      </c>
      <c r="I22" s="169">
        <f>IF(G22&gt;H22,G22,H22)</f>
        <v>13803779</v>
      </c>
      <c r="J22" s="168">
        <v>0</v>
      </c>
      <c r="K22" s="39">
        <f>I22+J22</f>
        <v>13803779</v>
      </c>
      <c r="L22" s="24">
        <f>K22/B22</f>
        <v>3054.9472169967908</v>
      </c>
    </row>
    <row r="23" spans="1:12" ht="12.75">
      <c r="A23" s="27"/>
      <c r="B23" s="24"/>
      <c r="C23" s="29"/>
      <c r="D23" s="36"/>
      <c r="E23" s="117"/>
      <c r="F23" s="271"/>
      <c r="G23" s="29"/>
      <c r="H23" s="38"/>
      <c r="I23" s="167"/>
      <c r="J23" s="29"/>
      <c r="K23" s="29"/>
      <c r="L23" s="24"/>
    </row>
    <row r="24" spans="1:12" ht="12.75">
      <c r="A24" s="27" t="s">
        <v>11</v>
      </c>
      <c r="B24" s="269">
        <v>37438.3</v>
      </c>
      <c r="C24" s="270">
        <v>9850694660</v>
      </c>
      <c r="D24" s="36">
        <f>+C24/B24</f>
        <v>263118.10792690906</v>
      </c>
      <c r="E24" s="91">
        <f>ROUND((+B24*5029),0)</f>
        <v>188277211</v>
      </c>
      <c r="F24" s="270">
        <v>82750760</v>
      </c>
      <c r="G24" s="29">
        <f>+E24-F24</f>
        <v>105526451</v>
      </c>
      <c r="H24" s="38">
        <f>E24*0.24</f>
        <v>45186530.64</v>
      </c>
      <c r="I24" s="169">
        <f>IF(G24&gt;H24,G24,H24)</f>
        <v>105526451</v>
      </c>
      <c r="J24" s="168">
        <v>0</v>
      </c>
      <c r="K24" s="39">
        <f>I24+J24</f>
        <v>105526451</v>
      </c>
      <c r="L24" s="24">
        <f>K24/B24</f>
        <v>2818.6763554969107</v>
      </c>
    </row>
    <row r="25" spans="1:12" ht="12.75">
      <c r="A25" s="27" t="s">
        <v>12</v>
      </c>
      <c r="B25" s="269">
        <v>4650.5</v>
      </c>
      <c r="C25" s="270">
        <v>1245458209</v>
      </c>
      <c r="D25" s="36">
        <f>+C25/B25</f>
        <v>267811.6780991291</v>
      </c>
      <c r="E25" s="91">
        <f>ROUND((+B25*5029),0)</f>
        <v>23387365</v>
      </c>
      <c r="F25" s="270">
        <v>10462472</v>
      </c>
      <c r="G25" s="29">
        <f>+E25-F25</f>
        <v>12924893</v>
      </c>
      <c r="H25" s="38">
        <f>E25*0.24</f>
        <v>5612967.6</v>
      </c>
      <c r="I25" s="169">
        <f>IF(G25&gt;H25,G25,H25)</f>
        <v>12924893</v>
      </c>
      <c r="J25" s="168">
        <v>0</v>
      </c>
      <c r="K25" s="39">
        <f>I25+J25</f>
        <v>12924893</v>
      </c>
      <c r="L25" s="24">
        <f>K25/B25</f>
        <v>2779.248037845393</v>
      </c>
    </row>
    <row r="26" spans="1:12" ht="12.75">
      <c r="A26" s="27" t="s">
        <v>13</v>
      </c>
      <c r="B26" s="269">
        <v>38463.3</v>
      </c>
      <c r="C26" s="270">
        <v>9732611217</v>
      </c>
      <c r="D26" s="36">
        <f>+C26/B26</f>
        <v>253036.30257934183</v>
      </c>
      <c r="E26" s="91">
        <f>ROUND((+B26*5029),0)</f>
        <v>193431936</v>
      </c>
      <c r="F26" s="270">
        <v>81758801</v>
      </c>
      <c r="G26" s="29">
        <f>+E26-F26</f>
        <v>111673135</v>
      </c>
      <c r="H26" s="38">
        <f>E26*0.24</f>
        <v>46423664.64</v>
      </c>
      <c r="I26" s="169">
        <f>IF(G26&gt;H26,G26,H26)</f>
        <v>111673135</v>
      </c>
      <c r="J26" s="168">
        <v>0</v>
      </c>
      <c r="K26" s="39">
        <f>I26+J26</f>
        <v>111673135</v>
      </c>
      <c r="L26" s="24">
        <f>K26/B26</f>
        <v>2903.368535721064</v>
      </c>
    </row>
    <row r="27" spans="1:12" ht="12.75">
      <c r="A27" s="27" t="s">
        <v>14</v>
      </c>
      <c r="B27" s="269">
        <v>46277.3</v>
      </c>
      <c r="C27" s="270">
        <v>16083987792</v>
      </c>
      <c r="D27" s="36">
        <f>+C27/B27</f>
        <v>347556.74579113297</v>
      </c>
      <c r="E27" s="91">
        <f>ROUND((+B27*5029),0)</f>
        <v>232728542</v>
      </c>
      <c r="F27" s="270">
        <v>135113539</v>
      </c>
      <c r="G27" s="29">
        <f>+E27-F27</f>
        <v>97615003</v>
      </c>
      <c r="H27" s="38">
        <f>E27*0.24</f>
        <v>55854850.08</v>
      </c>
      <c r="I27" s="169">
        <f>IF(G27&gt;H27,G27,H27)</f>
        <v>97615003</v>
      </c>
      <c r="J27" s="168">
        <v>0</v>
      </c>
      <c r="K27" s="39">
        <f>I27+J27</f>
        <v>97615003</v>
      </c>
      <c r="L27" s="24">
        <f>K27/B27</f>
        <v>2109.3495731168414</v>
      </c>
    </row>
    <row r="28" spans="1:12" ht="12.75">
      <c r="A28" s="27" t="s">
        <v>15</v>
      </c>
      <c r="B28" s="269">
        <v>2398</v>
      </c>
      <c r="C28" s="270">
        <v>888583676</v>
      </c>
      <c r="D28" s="36">
        <f>+C28/B28</f>
        <v>370551.9916597164</v>
      </c>
      <c r="E28" s="91">
        <f>ROUND((+B28*5029),0)</f>
        <v>12059542</v>
      </c>
      <c r="F28" s="270">
        <v>7464547</v>
      </c>
      <c r="G28" s="29">
        <f>+E28-F28</f>
        <v>4594995</v>
      </c>
      <c r="H28" s="38">
        <f>E28*0.24</f>
        <v>2894290.08</v>
      </c>
      <c r="I28" s="169">
        <f>IF(G28&gt;H28,G28,H28)</f>
        <v>4594995</v>
      </c>
      <c r="J28" s="168">
        <v>0</v>
      </c>
      <c r="K28" s="39">
        <f>I28+J28</f>
        <v>4594995</v>
      </c>
      <c r="L28" s="24">
        <f>K28/B28</f>
        <v>1916.1780650542119</v>
      </c>
    </row>
    <row r="29" spans="1:12" ht="12.75">
      <c r="A29" s="27"/>
      <c r="C29" s="29"/>
      <c r="D29" s="36"/>
      <c r="E29" s="117"/>
      <c r="F29" s="271"/>
      <c r="G29" s="29"/>
      <c r="H29" s="38"/>
      <c r="J29" s="29"/>
      <c r="K29" s="29"/>
      <c r="L29" s="24"/>
    </row>
    <row r="30" spans="1:12" ht="12.75">
      <c r="A30" s="27" t="s">
        <v>16</v>
      </c>
      <c r="B30" s="269">
        <v>133580.15</v>
      </c>
      <c r="C30" s="270">
        <v>60758296019</v>
      </c>
      <c r="D30" s="36">
        <f>+C30/B30</f>
        <v>454845.2447388329</v>
      </c>
      <c r="E30" s="91">
        <f>ROUND((+B30*5029),0)</f>
        <v>671774574</v>
      </c>
      <c r="F30" s="270">
        <v>510400066</v>
      </c>
      <c r="G30" s="29">
        <f>+E30-F30</f>
        <v>161374508</v>
      </c>
      <c r="H30" s="38">
        <f>E30*0.24</f>
        <v>161225897.76</v>
      </c>
      <c r="I30" s="169">
        <f>IF(G30&gt;H30,G30,H30)</f>
        <v>161374508</v>
      </c>
      <c r="J30" s="168">
        <v>0</v>
      </c>
      <c r="K30" s="39">
        <f>I30+J30</f>
        <v>161374508</v>
      </c>
      <c r="L30" s="24">
        <f>K30/B30</f>
        <v>1208.0725167624082</v>
      </c>
    </row>
    <row r="31" spans="1:12" ht="12.75">
      <c r="A31" s="27" t="s">
        <v>17</v>
      </c>
      <c r="B31" s="269">
        <v>130234.9</v>
      </c>
      <c r="C31" s="270">
        <v>28904719934</v>
      </c>
      <c r="D31" s="36">
        <f>+C31/B31</f>
        <v>221942.9656259574</v>
      </c>
      <c r="E31" s="91">
        <f>ROUND((+B31*5029),0)</f>
        <v>654951312</v>
      </c>
      <c r="F31" s="270">
        <v>242814100</v>
      </c>
      <c r="G31" s="29">
        <f>+E31-F31</f>
        <v>412137212</v>
      </c>
      <c r="H31" s="38">
        <f>E31*0.24</f>
        <v>157188314.88</v>
      </c>
      <c r="I31" s="169">
        <f>IF(G31&gt;H31,G31,H31)</f>
        <v>412137212</v>
      </c>
      <c r="J31" s="168">
        <v>0</v>
      </c>
      <c r="K31" s="39">
        <f>I31+J31</f>
        <v>412137212</v>
      </c>
      <c r="L31" s="24">
        <f>K31/B31</f>
        <v>3164.5681149983607</v>
      </c>
    </row>
    <row r="32" spans="1:12" ht="12.75">
      <c r="A32" s="27" t="s">
        <v>18</v>
      </c>
      <c r="B32" s="269">
        <v>7044.5</v>
      </c>
      <c r="C32" s="270">
        <v>2372559686</v>
      </c>
      <c r="D32" s="36">
        <f>+C32/B32</f>
        <v>336796.03747604514</v>
      </c>
      <c r="E32" s="91">
        <f>ROUND((+B32*5029),0)</f>
        <v>35426791</v>
      </c>
      <c r="F32" s="270">
        <v>19930688</v>
      </c>
      <c r="G32" s="29">
        <f>+E32-F32</f>
        <v>15496103</v>
      </c>
      <c r="H32" s="38">
        <f>E32*0.24</f>
        <v>8502429.84</v>
      </c>
      <c r="I32" s="169">
        <f>IF(G32&gt;H32,G32,H32)</f>
        <v>15496103</v>
      </c>
      <c r="J32" s="168">
        <v>0</v>
      </c>
      <c r="K32" s="39">
        <f>I32+J32</f>
        <v>15496103</v>
      </c>
      <c r="L32" s="24">
        <f>K32/B32</f>
        <v>2199.7449073745474</v>
      </c>
    </row>
    <row r="33" spans="1:12" ht="12.75">
      <c r="A33" s="27" t="s">
        <v>19</v>
      </c>
      <c r="B33" s="269">
        <v>15237.45</v>
      </c>
      <c r="C33" s="270">
        <v>3708783064</v>
      </c>
      <c r="D33" s="36">
        <f>+C33/B33</f>
        <v>243399.19500966367</v>
      </c>
      <c r="E33" s="91">
        <f>ROUND((+B33*5029),0)</f>
        <v>76629136</v>
      </c>
      <c r="F33" s="270">
        <v>31155632</v>
      </c>
      <c r="G33" s="29">
        <f>+E33-F33</f>
        <v>45473504</v>
      </c>
      <c r="H33" s="38">
        <f>E33*0.24</f>
        <v>18390992.64</v>
      </c>
      <c r="I33" s="169">
        <f>IF(G33&gt;H33,G33,H33)</f>
        <v>45473504</v>
      </c>
      <c r="J33" s="168">
        <v>0</v>
      </c>
      <c r="K33" s="39">
        <f>I33+J33</f>
        <v>45473504</v>
      </c>
      <c r="L33" s="24">
        <f>K33/B33</f>
        <v>2984.3250675145773</v>
      </c>
    </row>
    <row r="34" spans="1:12" ht="12.75">
      <c r="A34" s="27" t="s">
        <v>20</v>
      </c>
      <c r="B34" s="269">
        <v>2733.2</v>
      </c>
      <c r="C34" s="270">
        <v>505853766</v>
      </c>
      <c r="D34" s="36">
        <f>+C34/B34</f>
        <v>185077.47914532418</v>
      </c>
      <c r="E34" s="91">
        <f>ROUND((+B34*5029),0)</f>
        <v>13745263</v>
      </c>
      <c r="F34" s="270">
        <v>4249425</v>
      </c>
      <c r="G34" s="29">
        <f>+E34-F34</f>
        <v>9495838</v>
      </c>
      <c r="H34" s="38">
        <f>E34*0.24</f>
        <v>3298863.1199999996</v>
      </c>
      <c r="I34" s="169">
        <f>IF(G34&gt;H34,G34,H34)</f>
        <v>9495838</v>
      </c>
      <c r="J34" s="168">
        <v>0</v>
      </c>
      <c r="K34" s="39">
        <f>I34+J34</f>
        <v>9495838</v>
      </c>
      <c r="L34" s="24">
        <f>K34/B34</f>
        <v>3474.2565490999564</v>
      </c>
    </row>
    <row r="35" spans="1:12" ht="12.75">
      <c r="A35" s="27"/>
      <c r="C35" s="29"/>
      <c r="D35" s="36"/>
      <c r="E35" s="117"/>
      <c r="F35" s="271"/>
      <c r="G35" s="29"/>
      <c r="H35" s="38"/>
      <c r="I35" s="167"/>
      <c r="J35" s="29"/>
      <c r="K35" s="29"/>
      <c r="L35" s="24"/>
    </row>
    <row r="36" spans="1:12" ht="12.75">
      <c r="A36" s="27" t="s">
        <v>21</v>
      </c>
      <c r="B36" s="269">
        <v>4219.4</v>
      </c>
      <c r="C36" s="270">
        <v>2466250444</v>
      </c>
      <c r="D36" s="36">
        <f>+C36/B36</f>
        <v>584502.6411338105</v>
      </c>
      <c r="E36" s="91">
        <f>ROUND((+B36*5029),0)</f>
        <v>21219363</v>
      </c>
      <c r="F36" s="270">
        <v>20717737</v>
      </c>
      <c r="G36" s="29">
        <f>+E36-F36</f>
        <v>501626</v>
      </c>
      <c r="H36" s="38">
        <f>E36*0.24</f>
        <v>5092647.12</v>
      </c>
      <c r="I36" s="169">
        <f>IF(G36&gt;H36,G36,H36)</f>
        <v>5092647.12</v>
      </c>
      <c r="J36" s="168">
        <v>0</v>
      </c>
      <c r="K36" s="39">
        <f>I36+J36</f>
        <v>5092647.12</v>
      </c>
      <c r="L36" s="24">
        <f>K36/B36</f>
        <v>1206.9600227520502</v>
      </c>
    </row>
    <row r="37" spans="1:12" ht="12.75">
      <c r="A37" s="27" t="s">
        <v>22</v>
      </c>
      <c r="B37" s="269">
        <v>19486.65</v>
      </c>
      <c r="C37" s="270">
        <v>4836826397</v>
      </c>
      <c r="D37" s="36">
        <f>+C37/B37</f>
        <v>248212.30929893028</v>
      </c>
      <c r="E37" s="91">
        <f>ROUND((+B37*5029),0)</f>
        <v>97998363</v>
      </c>
      <c r="F37" s="270">
        <v>40631760</v>
      </c>
      <c r="G37" s="29">
        <f>+E37-F37</f>
        <v>57366603</v>
      </c>
      <c r="H37" s="38">
        <f>E37*0.24</f>
        <v>23519607.119999997</v>
      </c>
      <c r="I37" s="169">
        <f>IF(G37&gt;H37,G37,H37)</f>
        <v>57366603</v>
      </c>
      <c r="J37" s="168">
        <v>0</v>
      </c>
      <c r="K37" s="39">
        <f>I37+J37</f>
        <v>57366603</v>
      </c>
      <c r="L37" s="24">
        <f>K37/B37</f>
        <v>2943.8925110267796</v>
      </c>
    </row>
    <row r="38" spans="1:12" ht="12.75">
      <c r="A38" s="27" t="s">
        <v>23</v>
      </c>
      <c r="B38" s="269">
        <v>13486.7</v>
      </c>
      <c r="C38" s="270">
        <v>2766578401</v>
      </c>
      <c r="D38" s="36">
        <f>+C38/B38</f>
        <v>205133.82821594607</v>
      </c>
      <c r="E38" s="91">
        <f>ROUND((+B38*5029),0)</f>
        <v>67824614</v>
      </c>
      <c r="F38" s="270">
        <v>23240642</v>
      </c>
      <c r="G38" s="29">
        <f>+E38-F38</f>
        <v>44583972</v>
      </c>
      <c r="H38" s="38">
        <f>E38*0.24</f>
        <v>16277907.36</v>
      </c>
      <c r="I38" s="169">
        <f>IF(G38&gt;H38,G38,H38)</f>
        <v>44583972</v>
      </c>
      <c r="J38" s="168">
        <v>0</v>
      </c>
      <c r="K38" s="39">
        <f>I38+J38</f>
        <v>44583972</v>
      </c>
      <c r="L38" s="24">
        <f>K38/B38</f>
        <v>3305.7732432692947</v>
      </c>
    </row>
    <row r="39" spans="1:12" ht="12.75">
      <c r="A39" s="27" t="s">
        <v>24</v>
      </c>
      <c r="B39" s="269">
        <v>6419.9</v>
      </c>
      <c r="C39" s="270">
        <v>4114153756</v>
      </c>
      <c r="D39" s="36">
        <f>+C39/B39</f>
        <v>640843.9003722799</v>
      </c>
      <c r="E39" s="91">
        <f>ROUND((+B39*5029),0)</f>
        <v>32285677</v>
      </c>
      <c r="F39" s="270">
        <v>34560949</v>
      </c>
      <c r="G39" s="34">
        <f>+E39-F39</f>
        <v>-2275272</v>
      </c>
      <c r="H39" s="34">
        <f>E39*0.24</f>
        <v>7748562.4799999995</v>
      </c>
      <c r="I39" s="170">
        <f>IF(G39&gt;H39,G39,H39)</f>
        <v>7748562.4799999995</v>
      </c>
      <c r="J39" s="168">
        <v>0</v>
      </c>
      <c r="K39" s="39">
        <f>I39+J39</f>
        <v>7748562.4799999995</v>
      </c>
      <c r="L39" s="24">
        <f>K39/B39</f>
        <v>1206.959996261624</v>
      </c>
    </row>
    <row r="40" spans="1:12" ht="12.75">
      <c r="A40" s="30" t="s">
        <v>130</v>
      </c>
      <c r="B40" s="31"/>
      <c r="C40" s="31"/>
      <c r="D40" s="31"/>
      <c r="E40" s="31"/>
      <c r="F40" s="31"/>
      <c r="G40" s="31"/>
      <c r="H40" s="171"/>
      <c r="J40" s="31"/>
      <c r="K40" s="31"/>
      <c r="L40" s="31"/>
    </row>
    <row r="41" spans="1:12" ht="12.75">
      <c r="A41" s="27" t="s">
        <v>131</v>
      </c>
      <c r="B41" s="29"/>
      <c r="C41" s="27"/>
      <c r="D41" s="27"/>
      <c r="E41" s="27"/>
      <c r="F41" s="27"/>
      <c r="G41" s="27"/>
      <c r="H41" s="27"/>
      <c r="J41" s="27"/>
      <c r="K41" s="27"/>
      <c r="L41" s="27"/>
    </row>
    <row r="42" spans="1:12" ht="12.75">
      <c r="A42" s="27"/>
      <c r="B42" s="29"/>
      <c r="C42" s="29"/>
      <c r="D42" s="29"/>
      <c r="E42" s="29"/>
      <c r="F42" s="29"/>
      <c r="G42" s="29"/>
      <c r="H42" s="29"/>
      <c r="J42" s="29"/>
      <c r="K42" s="29"/>
      <c r="L42" s="29"/>
    </row>
    <row r="43" spans="1:12" ht="12.75">
      <c r="A43" s="27" t="s">
        <v>121</v>
      </c>
      <c r="B43" s="29"/>
      <c r="C43" s="29"/>
      <c r="D43" s="29"/>
      <c r="E43" s="29"/>
      <c r="F43" s="29"/>
      <c r="G43" s="29"/>
      <c r="H43" s="29"/>
      <c r="I43" s="169"/>
      <c r="J43" s="29"/>
      <c r="K43" s="29"/>
      <c r="L43" s="29"/>
    </row>
    <row r="44" spans="1:12" ht="12.75">
      <c r="A44" s="27"/>
      <c r="B44" s="29"/>
      <c r="C44" s="29"/>
      <c r="D44" s="29"/>
      <c r="E44" s="29"/>
      <c r="F44" s="29"/>
      <c r="G44" s="29"/>
      <c r="H44" s="29"/>
      <c r="I44" s="169"/>
      <c r="J44" s="29"/>
      <c r="K44" s="29"/>
      <c r="L44" s="29"/>
    </row>
    <row r="45" spans="1:12" ht="12.75">
      <c r="A45" s="27" t="s">
        <v>270</v>
      </c>
      <c r="B45" s="29"/>
      <c r="C45" s="29"/>
      <c r="D45" s="29"/>
      <c r="E45" s="29"/>
      <c r="F45" s="29"/>
      <c r="G45" s="29"/>
      <c r="H45" s="29"/>
      <c r="I45" s="172"/>
      <c r="J45" s="29"/>
      <c r="K45" s="29"/>
      <c r="L45" s="29"/>
    </row>
    <row r="46" spans="1:12" ht="12.75">
      <c r="A46" s="27" t="s">
        <v>271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.7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2.7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7"/>
      <c r="B51" s="29"/>
      <c r="C51" s="29"/>
      <c r="D51" s="29"/>
      <c r="E51" s="29"/>
      <c r="F51" s="32"/>
      <c r="G51" s="29"/>
      <c r="H51" s="29"/>
      <c r="I51" s="29"/>
      <c r="J51" s="29"/>
      <c r="K51" s="29"/>
      <c r="L51" s="29"/>
    </row>
    <row r="52" spans="1:12" ht="12.75">
      <c r="A52" s="2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2.75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2.75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2.75">
      <c r="A63" s="2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2.75">
      <c r="A64" s="2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2.75">
      <c r="A65" s="2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2.75">
      <c r="A66" s="2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2.75">
      <c r="A67" s="27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2.75">
      <c r="A68" s="27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2.75">
      <c r="A69" s="27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2.75">
      <c r="A70" s="27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2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2.75">
      <c r="A72" s="27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2.75">
      <c r="A73" s="27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2.75">
      <c r="A74" s="27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2:12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2:12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2:12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2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2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2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2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2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2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2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2:12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2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2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2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2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2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2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2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2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2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2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2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2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2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2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2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2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2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2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</sheetData>
  <sheetProtection password="C935" sheet="1" objects="1" scenarios="1"/>
  <mergeCells count="13">
    <mergeCell ref="G5:L5"/>
    <mergeCell ref="J6:J9"/>
    <mergeCell ref="E5:E9"/>
    <mergeCell ref="F5:F9"/>
    <mergeCell ref="G6:G9"/>
    <mergeCell ref="H6:H9"/>
    <mergeCell ref="K6:K9"/>
    <mergeCell ref="L6:L9"/>
    <mergeCell ref="I7:I8"/>
    <mergeCell ref="D5:D9"/>
    <mergeCell ref="C5:C9"/>
    <mergeCell ref="B5:B9"/>
    <mergeCell ref="A5:A9"/>
  </mergeCells>
  <printOptions horizontalCentered="1"/>
  <pageMargins left="0.61" right="0.75" top="0.83" bottom="1" header="0.67" footer="0.5"/>
  <pageSetup fitToHeight="1" fitToWidth="1" horizontalDpi="600" verticalDpi="600" orientation="landscape" scale="69" r:id="rId1"/>
  <headerFooter alignWithMargins="0">
    <oddFooter>&amp;L&amp;"Arial,Italic"&amp;9MSDE-DBS  11 / 2006
&amp;C- 18 -&amp;R&amp;"Arial,Italic"&amp;9Selected Financial Data-Part 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workbookViewId="0" topLeftCell="C1">
      <selection activeCell="C1" sqref="C1"/>
    </sheetView>
  </sheetViews>
  <sheetFormatPr defaultColWidth="9.140625" defaultRowHeight="12.75"/>
  <cols>
    <col min="1" max="1" width="21.57421875" style="28" customWidth="1"/>
    <col min="2" max="2" width="14.7109375" style="28" customWidth="1"/>
    <col min="3" max="3" width="13.57421875" style="28" customWidth="1"/>
    <col min="4" max="4" width="15.28125" style="28" customWidth="1"/>
    <col min="5" max="5" width="17.421875" style="28" customWidth="1"/>
    <col min="6" max="6" width="15.28125" style="28" customWidth="1"/>
    <col min="7" max="7" width="16.7109375" style="28" customWidth="1"/>
    <col min="8" max="8" width="13.7109375" style="28" customWidth="1"/>
    <col min="9" max="9" width="22.57421875" style="28" customWidth="1"/>
    <col min="10" max="10" width="11.421875" style="28" customWidth="1"/>
    <col min="11" max="11" width="13.28125" style="28" customWidth="1"/>
    <col min="12" max="12" width="14.57421875" style="28" customWidth="1"/>
    <col min="13" max="16384" width="11.421875" style="28" customWidth="1"/>
  </cols>
  <sheetData>
    <row r="1" spans="1:13" ht="12.75">
      <c r="A1" s="26" t="s">
        <v>122</v>
      </c>
      <c r="B1" s="26"/>
      <c r="C1" s="26"/>
      <c r="D1" s="26"/>
      <c r="E1" s="26"/>
      <c r="F1" s="26"/>
      <c r="G1" s="26"/>
      <c r="H1" s="26"/>
      <c r="I1" s="26"/>
      <c r="J1" s="27"/>
      <c r="K1" s="27"/>
      <c r="L1" s="27"/>
      <c r="M1" s="27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7"/>
      <c r="K2" s="27"/>
      <c r="L2" s="27"/>
      <c r="M2" s="27"/>
    </row>
    <row r="3" spans="1:13" ht="12.75">
      <c r="A3" s="26" t="s">
        <v>299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7"/>
      <c r="M3" s="27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7"/>
      <c r="K4" s="27"/>
      <c r="L4" s="27"/>
      <c r="M4" s="27"/>
    </row>
    <row r="5" spans="1:13" ht="13.5" thickBot="1">
      <c r="A5" s="60"/>
      <c r="B5" s="60"/>
      <c r="C5" s="60"/>
      <c r="D5" s="60"/>
      <c r="E5" s="60"/>
      <c r="F5" s="60"/>
      <c r="G5" s="60"/>
      <c r="H5" s="60"/>
      <c r="I5" s="60"/>
      <c r="J5" s="27"/>
      <c r="K5" s="27"/>
      <c r="L5" s="27"/>
      <c r="M5" s="27"/>
    </row>
    <row r="6" spans="1:13" ht="13.5" customHeight="1" thickTop="1">
      <c r="A6" s="27" t="s">
        <v>101</v>
      </c>
      <c r="B6" s="444" t="s">
        <v>276</v>
      </c>
      <c r="C6" s="449" t="s">
        <v>313</v>
      </c>
      <c r="D6" s="444" t="s">
        <v>247</v>
      </c>
      <c r="E6" s="444" t="s">
        <v>303</v>
      </c>
      <c r="F6" s="394" t="s">
        <v>301</v>
      </c>
      <c r="G6" s="444" t="s">
        <v>248</v>
      </c>
      <c r="H6" s="444" t="s">
        <v>304</v>
      </c>
      <c r="I6" s="444" t="s">
        <v>249</v>
      </c>
      <c r="J6" s="27"/>
      <c r="K6" s="27"/>
      <c r="L6" s="27"/>
      <c r="M6" s="27"/>
    </row>
    <row r="7" spans="1:13" ht="12.75">
      <c r="A7" s="41" t="s">
        <v>41</v>
      </c>
      <c r="B7" s="445"/>
      <c r="C7" s="400" t="s">
        <v>312</v>
      </c>
      <c r="D7" s="400"/>
      <c r="E7" s="400"/>
      <c r="F7" s="400"/>
      <c r="G7" s="400"/>
      <c r="H7" s="399"/>
      <c r="I7" s="400"/>
      <c r="J7" s="27"/>
      <c r="K7" s="27"/>
      <c r="L7" s="27"/>
      <c r="M7" s="27"/>
    </row>
    <row r="8" spans="1:13" ht="12.75">
      <c r="A8" s="41"/>
      <c r="B8" s="445"/>
      <c r="C8" s="399"/>
      <c r="D8" s="399"/>
      <c r="E8" s="399"/>
      <c r="F8" s="400"/>
      <c r="G8" s="399"/>
      <c r="H8" s="399"/>
      <c r="I8" s="400"/>
      <c r="J8" s="27"/>
      <c r="K8" s="27"/>
      <c r="L8" s="27"/>
      <c r="M8" s="27"/>
    </row>
    <row r="9" spans="1:13" ht="13.5" thickBot="1">
      <c r="A9" s="67" t="s">
        <v>154</v>
      </c>
      <c r="B9" s="446"/>
      <c r="C9" s="64" t="s">
        <v>123</v>
      </c>
      <c r="D9" s="64" t="s">
        <v>124</v>
      </c>
      <c r="E9" s="109" t="s">
        <v>314</v>
      </c>
      <c r="F9" s="401"/>
      <c r="G9" s="109" t="s">
        <v>302</v>
      </c>
      <c r="H9" s="401"/>
      <c r="I9" s="401"/>
      <c r="J9" s="27"/>
      <c r="K9" s="27"/>
      <c r="L9" s="27"/>
      <c r="M9" s="27"/>
    </row>
    <row r="10" spans="1:13" ht="12.75">
      <c r="A10" s="41" t="s">
        <v>0</v>
      </c>
      <c r="B10" s="65">
        <f>SUM(B12:B39)</f>
        <v>264094</v>
      </c>
      <c r="C10" s="66">
        <f>SUM(C12:C39)</f>
        <v>476689670</v>
      </c>
      <c r="D10" s="58">
        <v>297097.3296848302</v>
      </c>
      <c r="E10" s="66">
        <f>SUM(E12:E39)+3</f>
        <v>613158181.7005246</v>
      </c>
      <c r="F10" s="66">
        <f>SUM(F12:F39)</f>
        <v>476689649.6049565</v>
      </c>
      <c r="G10" s="66">
        <f>SUM(G12:G39)</f>
        <v>314615182.20000005</v>
      </c>
      <c r="H10" s="66">
        <f>SUM(H12:H39)</f>
        <v>10829130.354894016</v>
      </c>
      <c r="I10" s="66">
        <f>SUM(I12:I39)</f>
        <v>487518779.95985043</v>
      </c>
      <c r="J10" s="27"/>
      <c r="K10" s="27"/>
      <c r="L10" s="27"/>
      <c r="M10" s="27"/>
    </row>
    <row r="11" spans="1:13" ht="12.75">
      <c r="A11" s="27"/>
      <c r="B11" s="29"/>
      <c r="C11" s="29"/>
      <c r="D11" s="29"/>
      <c r="E11" s="29"/>
      <c r="F11" s="29"/>
      <c r="G11" s="29"/>
      <c r="H11" s="29"/>
      <c r="I11" s="29"/>
      <c r="J11" s="27"/>
      <c r="K11" s="27"/>
      <c r="L11" s="27"/>
      <c r="M11" s="27"/>
    </row>
    <row r="12" spans="1:13" ht="12.75">
      <c r="A12" s="27" t="s">
        <v>1</v>
      </c>
      <c r="B12" s="167">
        <v>4543</v>
      </c>
      <c r="C12" s="29">
        <f>+B12*1805</f>
        <v>8200115</v>
      </c>
      <c r="D12" s="29">
        <f>table9!D12</f>
        <v>189472.8163811933</v>
      </c>
      <c r="E12" s="29">
        <f>C12/(D12/297097)</f>
        <v>12857937.157875147</v>
      </c>
      <c r="F12" s="29">
        <f>E12*0.7774334-9</f>
        <v>9996180.801633213</v>
      </c>
      <c r="G12" s="29">
        <f>C12*66%</f>
        <v>5412075.9</v>
      </c>
      <c r="H12" s="17">
        <f>IF(F12&gt;G12,0,(G12-F12))</f>
        <v>0</v>
      </c>
      <c r="I12" s="29">
        <f>MAX(F12,G12)</f>
        <v>9996180.801633213</v>
      </c>
      <c r="J12" s="35"/>
      <c r="K12" s="39"/>
      <c r="L12" s="29"/>
      <c r="M12" s="27"/>
    </row>
    <row r="13" spans="1:13" ht="12.75">
      <c r="A13" s="27" t="s">
        <v>2</v>
      </c>
      <c r="B13" s="167">
        <v>12953</v>
      </c>
      <c r="C13" s="29">
        <f>+B13*1805</f>
        <v>23380165</v>
      </c>
      <c r="D13" s="29">
        <f>table9!D13</f>
        <v>369097.98706012924</v>
      </c>
      <c r="E13" s="29">
        <f>C13/(D13/297097)-1</f>
        <v>18819329.163058862</v>
      </c>
      <c r="F13" s="29">
        <f>E13*0.7774334</f>
        <v>14630775.056956006</v>
      </c>
      <c r="G13" s="29">
        <f>C13*66%</f>
        <v>15430908.9</v>
      </c>
      <c r="H13" s="17">
        <f>IF(F13&gt;G13,0,(G13-F13))</f>
        <v>800133.8430439942</v>
      </c>
      <c r="I13" s="29">
        <f>MAX(F13,G13)</f>
        <v>15430908.9</v>
      </c>
      <c r="J13" s="27"/>
      <c r="K13" s="39"/>
      <c r="L13" s="29"/>
      <c r="M13" s="27"/>
    </row>
    <row r="14" spans="1:13" ht="12.75">
      <c r="A14" s="27" t="s">
        <v>3</v>
      </c>
      <c r="B14" s="167">
        <v>64569</v>
      </c>
      <c r="C14" s="29">
        <f>+B14*1805</f>
        <v>116547045</v>
      </c>
      <c r="D14" s="29">
        <f>table9!D14</f>
        <v>157323.00805729633</v>
      </c>
      <c r="E14" s="29">
        <f>C14/(D14/297097)+22</f>
        <v>220093559.8489232</v>
      </c>
      <c r="F14" s="29">
        <f>E14*0.7774334</f>
        <v>171108084.55145186</v>
      </c>
      <c r="G14" s="29">
        <f>C14*66%</f>
        <v>76921049.7</v>
      </c>
      <c r="H14" s="17">
        <f>IF(F14&gt;G14,0,(G14-F14))</f>
        <v>0</v>
      </c>
      <c r="I14" s="29">
        <f>MAX(F14,G14)</f>
        <v>171108084.55145186</v>
      </c>
      <c r="J14" s="27"/>
      <c r="K14" s="39"/>
      <c r="L14" s="29"/>
      <c r="M14" s="27"/>
    </row>
    <row r="15" spans="1:13" ht="12.75">
      <c r="A15" s="27" t="s">
        <v>4</v>
      </c>
      <c r="B15" s="29">
        <v>31397</v>
      </c>
      <c r="C15" s="29">
        <f>+B15*1805</f>
        <v>56671585</v>
      </c>
      <c r="D15" s="29">
        <f>table9!D15</f>
        <v>319715.240350108</v>
      </c>
      <c r="E15" s="29">
        <f>C15/(D15/297097)+41</f>
        <v>52662397.25898687</v>
      </c>
      <c r="F15" s="29">
        <f>E15*0.7774334-1</f>
        <v>40941505.55320484</v>
      </c>
      <c r="G15" s="29">
        <f>C15*66%</f>
        <v>37403246.1</v>
      </c>
      <c r="H15" s="17">
        <f>IF(F15&gt;G15,0,(G15-F15))</f>
        <v>0</v>
      </c>
      <c r="I15" s="29">
        <f>MAX(F15,G15)</f>
        <v>40941505.55320484</v>
      </c>
      <c r="J15" s="27"/>
      <c r="K15" s="39"/>
      <c r="L15" s="29"/>
      <c r="M15" s="27"/>
    </row>
    <row r="16" spans="1:13" ht="12.75">
      <c r="A16" s="27" t="s">
        <v>5</v>
      </c>
      <c r="B16" s="29">
        <v>2261</v>
      </c>
      <c r="C16" s="29">
        <f>+B16*1805</f>
        <v>4081105</v>
      </c>
      <c r="D16" s="29">
        <f>table9!D16</f>
        <v>262300.8901137948</v>
      </c>
      <c r="E16" s="29">
        <f>C16/(D16/297097)-2</f>
        <v>4622491.090507562</v>
      </c>
      <c r="F16" s="29">
        <f>E16*0.7774334</f>
        <v>3593678.964963002</v>
      </c>
      <c r="G16" s="29">
        <f>C16*66%</f>
        <v>2693529.3000000003</v>
      </c>
      <c r="H16" s="17">
        <f>IF(F16&gt;G16,0,(G16-F16))</f>
        <v>0</v>
      </c>
      <c r="I16" s="29">
        <f>MAX(F16,G16)</f>
        <v>3593678.964963002</v>
      </c>
      <c r="J16" s="27"/>
      <c r="K16" s="39"/>
      <c r="L16" s="29"/>
      <c r="M16" s="27"/>
    </row>
    <row r="17" spans="1:13" ht="12.75">
      <c r="A17" s="27"/>
      <c r="B17" s="29"/>
      <c r="C17" s="29"/>
      <c r="E17" s="29"/>
      <c r="F17" s="29"/>
      <c r="G17" s="29"/>
      <c r="H17" s="65"/>
      <c r="I17" s="29"/>
      <c r="J17" s="27"/>
      <c r="K17" s="39"/>
      <c r="L17" s="29"/>
      <c r="M17" s="27"/>
    </row>
    <row r="18" spans="1:13" ht="12.75">
      <c r="A18" s="27" t="s">
        <v>6</v>
      </c>
      <c r="B18" s="29">
        <v>2222</v>
      </c>
      <c r="C18" s="29">
        <f>+B18*1805</f>
        <v>4010710</v>
      </c>
      <c r="D18" s="29">
        <f>table9!D18</f>
        <v>178037.17868523544</v>
      </c>
      <c r="E18" s="29">
        <f>C18/(D18/297097)+6</f>
        <v>6692821.049471554</v>
      </c>
      <c r="F18" s="29">
        <f>E18*0.7774334</f>
        <v>5203222.624082239</v>
      </c>
      <c r="G18" s="29">
        <f>C18*66%</f>
        <v>2647068.6</v>
      </c>
      <c r="H18" s="17">
        <f>IF(F18&gt;G18,0,(G18-F18))</f>
        <v>0</v>
      </c>
      <c r="I18" s="29">
        <f>MAX(F18,G18)</f>
        <v>5203222.624082239</v>
      </c>
      <c r="J18" s="27"/>
      <c r="K18" s="39"/>
      <c r="L18" s="29"/>
      <c r="M18" s="27"/>
    </row>
    <row r="19" spans="1:13" ht="12.75">
      <c r="A19" s="27" t="s">
        <v>7</v>
      </c>
      <c r="B19" s="29">
        <v>2696</v>
      </c>
      <c r="C19" s="29">
        <f>+B19*1805</f>
        <v>4866280</v>
      </c>
      <c r="D19" s="29">
        <f>table9!D19</f>
        <v>255155.8862641764</v>
      </c>
      <c r="E19" s="29">
        <f>C19/(D19/297097)-2</f>
        <v>5666170.198994975</v>
      </c>
      <c r="F19" s="29">
        <f>E19*0.7774334</f>
        <v>4405069.96278334</v>
      </c>
      <c r="G19" s="29">
        <f>C19*66%</f>
        <v>3211744.8000000003</v>
      </c>
      <c r="H19" s="17">
        <f>IF(F19&gt;G19,0,(G19-F19))</f>
        <v>0</v>
      </c>
      <c r="I19" s="29">
        <f>MAX(F19,G19)</f>
        <v>4405069.96278334</v>
      </c>
      <c r="J19" s="27"/>
      <c r="K19" s="39"/>
      <c r="L19" s="29"/>
      <c r="M19" s="27"/>
    </row>
    <row r="20" spans="1:13" ht="12.75">
      <c r="A20" s="27" t="s">
        <v>8</v>
      </c>
      <c r="B20" s="29">
        <v>3944</v>
      </c>
      <c r="C20" s="29">
        <f>+B20*1805</f>
        <v>7118920</v>
      </c>
      <c r="D20" s="29">
        <f>table9!D20</f>
        <v>223332.30967050287</v>
      </c>
      <c r="E20" s="29">
        <f>C20/(D20/297097)+13</f>
        <v>9470249.430906104</v>
      </c>
      <c r="F20" s="29">
        <f>E20*0.7774334</f>
        <v>7362488.213917398</v>
      </c>
      <c r="G20" s="29">
        <f>C20*66%</f>
        <v>4698487.2</v>
      </c>
      <c r="H20" s="17">
        <f>IF(F20&gt;G20,0,(G20-F20))</f>
        <v>0</v>
      </c>
      <c r="I20" s="29">
        <f>MAX(F20,G20)</f>
        <v>7362488.213917398</v>
      </c>
      <c r="J20" s="27"/>
      <c r="K20" s="39"/>
      <c r="L20" s="29"/>
      <c r="M20" s="27"/>
    </row>
    <row r="21" spans="1:13" ht="12.75">
      <c r="A21" s="27" t="s">
        <v>9</v>
      </c>
      <c r="B21" s="29">
        <v>5258</v>
      </c>
      <c r="C21" s="29">
        <f>+B21*1805</f>
        <v>9490690</v>
      </c>
      <c r="D21" s="29">
        <f>table9!D21</f>
        <v>239242.82491704487</v>
      </c>
      <c r="E21" s="29">
        <f>C21/(D21/297097)-9</f>
        <v>11785738.505312597</v>
      </c>
      <c r="F21" s="29">
        <f>E21*0.7774334</f>
        <v>9162626.757696092</v>
      </c>
      <c r="G21" s="29">
        <f>C21*66%</f>
        <v>6263855.4</v>
      </c>
      <c r="H21" s="17">
        <f>IF(F21&gt;G21,0,(G21-F21))</f>
        <v>0</v>
      </c>
      <c r="I21" s="29">
        <f>MAX(F21,G21)</f>
        <v>9162626.757696092</v>
      </c>
      <c r="J21" s="27"/>
      <c r="K21" s="39"/>
      <c r="L21" s="29"/>
      <c r="M21" s="27"/>
    </row>
    <row r="22" spans="1:13" ht="12.75">
      <c r="A22" s="27" t="s">
        <v>10</v>
      </c>
      <c r="B22" s="29">
        <v>2208</v>
      </c>
      <c r="C22" s="29">
        <f>+B22*1805</f>
        <v>3985440</v>
      </c>
      <c r="D22" s="29">
        <f>table9!D22</f>
        <v>234992.31448489544</v>
      </c>
      <c r="E22" s="29">
        <f>C22/(D22/297097)+7</f>
        <v>5038734.629350226</v>
      </c>
      <c r="F22" s="29">
        <f>E22*0.7774334</f>
        <v>3917280.5945934867</v>
      </c>
      <c r="G22" s="29">
        <f>C22*66%</f>
        <v>2630390.4</v>
      </c>
      <c r="H22" s="17">
        <f>IF(F22&gt;G22,0,(G22-F22))</f>
        <v>0</v>
      </c>
      <c r="I22" s="29">
        <f>MAX(F22,G22)</f>
        <v>3917280.5945934867</v>
      </c>
      <c r="J22" s="27"/>
      <c r="K22" s="39"/>
      <c r="L22" s="29"/>
      <c r="M22" s="27"/>
    </row>
    <row r="23" spans="1:13" ht="12.75">
      <c r="A23" s="27"/>
      <c r="B23" s="29"/>
      <c r="C23" s="29"/>
      <c r="D23" s="29"/>
      <c r="E23" s="29"/>
      <c r="F23" s="29"/>
      <c r="G23" s="29"/>
      <c r="H23" s="65"/>
      <c r="I23" s="29"/>
      <c r="J23" s="27"/>
      <c r="K23" s="39"/>
      <c r="L23" s="29"/>
      <c r="M23" s="27"/>
    </row>
    <row r="24" spans="1:13" ht="12.75">
      <c r="A24" s="27" t="s">
        <v>11</v>
      </c>
      <c r="B24" s="29">
        <v>5192</v>
      </c>
      <c r="C24" s="29">
        <f>+B24*1805</f>
        <v>9371560</v>
      </c>
      <c r="D24" s="29">
        <f>table9!D24</f>
        <v>263118.10792690906</v>
      </c>
      <c r="E24" s="29">
        <f>C24/(D24/297097)+5</f>
        <v>10581801.833585598</v>
      </c>
      <c r="F24" s="29">
        <f>E24*0.7774334</f>
        <v>8226646.177610686</v>
      </c>
      <c r="G24" s="29">
        <f>C24*66%</f>
        <v>6185229.600000001</v>
      </c>
      <c r="H24" s="17">
        <f>IF(F24&gt;G24,0,(G24-F24))</f>
        <v>0</v>
      </c>
      <c r="I24" s="29">
        <f>MAX(F24,G24)</f>
        <v>8226646.177610686</v>
      </c>
      <c r="J24" s="27"/>
      <c r="K24" s="39"/>
      <c r="L24" s="29"/>
      <c r="M24" s="27"/>
    </row>
    <row r="25" spans="1:13" ht="12.75">
      <c r="A25" s="27" t="s">
        <v>12</v>
      </c>
      <c r="B25" s="29">
        <v>2121</v>
      </c>
      <c r="C25" s="29">
        <f>+B25*1805</f>
        <v>3828405</v>
      </c>
      <c r="D25" s="29">
        <f>table9!D25</f>
        <v>267811.6780991291</v>
      </c>
      <c r="E25" s="29">
        <f>C25/(D25/297097)-5</f>
        <v>4247037.729271852</v>
      </c>
      <c r="F25" s="29">
        <f>E25*0.7774334</f>
        <v>3301788.981796096</v>
      </c>
      <c r="G25" s="29">
        <f>C25*66%</f>
        <v>2526747.3000000003</v>
      </c>
      <c r="H25" s="17">
        <f>IF(F25&gt;G25,0,(G25-F25))</f>
        <v>0</v>
      </c>
      <c r="I25" s="29">
        <f>MAX(F25,G25)</f>
        <v>3301788.981796096</v>
      </c>
      <c r="J25" s="27"/>
      <c r="K25" s="39"/>
      <c r="L25" s="29"/>
      <c r="M25" s="27"/>
    </row>
    <row r="26" spans="1:13" ht="12.75">
      <c r="A26" s="27" t="s">
        <v>13</v>
      </c>
      <c r="B26" s="29">
        <v>6563</v>
      </c>
      <c r="C26" s="29">
        <f>+B26*1805</f>
        <v>11846215</v>
      </c>
      <c r="D26" s="29">
        <f>table9!D26</f>
        <v>253036.30257934183</v>
      </c>
      <c r="E26" s="29">
        <f>C26/(D26/297097)+17</f>
        <v>13908989.356847636</v>
      </c>
      <c r="F26" s="29">
        <f>E26*0.7774334</f>
        <v>10813312.886257872</v>
      </c>
      <c r="G26" s="29">
        <f>C26*66%</f>
        <v>7818501.9</v>
      </c>
      <c r="H26" s="17">
        <f>IF(F26&gt;G26,0,(G26-F26))</f>
        <v>0</v>
      </c>
      <c r="I26" s="29">
        <f>MAX(F26,G26)</f>
        <v>10813312.886257872</v>
      </c>
      <c r="J26" s="27"/>
      <c r="K26" s="39"/>
      <c r="L26" s="29"/>
      <c r="M26" s="27"/>
    </row>
    <row r="27" spans="1:13" ht="12.75">
      <c r="A27" s="27" t="s">
        <v>14</v>
      </c>
      <c r="B27" s="29">
        <v>4950</v>
      </c>
      <c r="C27" s="29">
        <f>+B27*1805</f>
        <v>8934750</v>
      </c>
      <c r="D27" s="29">
        <f>table9!D27</f>
        <v>347556.74579113297</v>
      </c>
      <c r="E27" s="29">
        <f>C27/(D27/297097)-6</f>
        <v>7637559.528206538</v>
      </c>
      <c r="F27" s="29">
        <f>E27*0.7774334</f>
        <v>5937693.871716006</v>
      </c>
      <c r="G27" s="29">
        <f>C27*66%</f>
        <v>5896935</v>
      </c>
      <c r="H27" s="17">
        <f>IF(F27&gt;G27,0,(G27-F27))</f>
        <v>0</v>
      </c>
      <c r="I27" s="29">
        <f>MAX(F27,G27)</f>
        <v>5937693.871716006</v>
      </c>
      <c r="J27" s="27"/>
      <c r="K27" s="39"/>
      <c r="L27" s="29"/>
      <c r="M27" s="27"/>
    </row>
    <row r="28" spans="1:13" ht="12.75">
      <c r="A28" s="27" t="s">
        <v>15</v>
      </c>
      <c r="B28" s="29">
        <v>991</v>
      </c>
      <c r="C28" s="29">
        <f>+B28*1805</f>
        <v>1788755</v>
      </c>
      <c r="D28" s="29">
        <f>table9!D28</f>
        <v>370551.9916597164</v>
      </c>
      <c r="E28" s="29">
        <f>C28/(D28/297097)</f>
        <v>1434167.825828403</v>
      </c>
      <c r="F28" s="29">
        <f>E28*0.7774334</f>
        <v>1114969.9690043833</v>
      </c>
      <c r="G28" s="29">
        <f>C28*66%</f>
        <v>1180578.3</v>
      </c>
      <c r="H28" s="17">
        <f>IF(F28&gt;G28,0,(G28-F28))</f>
        <v>65608.33099561674</v>
      </c>
      <c r="I28" s="29">
        <f>MAX(F28,G28)</f>
        <v>1180578.3</v>
      </c>
      <c r="J28" s="27"/>
      <c r="K28" s="39"/>
      <c r="L28" s="29"/>
      <c r="M28" s="27"/>
    </row>
    <row r="29" spans="1:13" ht="12.75">
      <c r="A29" s="27"/>
      <c r="B29" s="29" t="s">
        <v>186</v>
      </c>
      <c r="C29" s="29"/>
      <c r="D29" s="29"/>
      <c r="E29" s="29"/>
      <c r="F29" s="29"/>
      <c r="G29" s="29"/>
      <c r="H29" s="65"/>
      <c r="I29" s="29"/>
      <c r="J29" s="27"/>
      <c r="K29" s="39"/>
      <c r="L29" s="29"/>
      <c r="M29" s="27"/>
    </row>
    <row r="30" spans="1:13" ht="12.75">
      <c r="A30" s="27" t="s">
        <v>16</v>
      </c>
      <c r="B30" s="29">
        <v>29797</v>
      </c>
      <c r="C30" s="29">
        <f>+B30*1805</f>
        <v>53783585</v>
      </c>
      <c r="D30" s="29">
        <f>table9!D30</f>
        <v>454845.2447388329</v>
      </c>
      <c r="E30" s="29">
        <f>C30/(D30/297097)+20</f>
        <v>35130521.940104775</v>
      </c>
      <c r="F30" s="29">
        <f>E30*0.7774334</f>
        <v>27311641.115670253</v>
      </c>
      <c r="G30" s="29">
        <f>C30*66%</f>
        <v>35497166.1</v>
      </c>
      <c r="H30" s="17">
        <f>IF(F30&gt;G30,0,(G30-F30))</f>
        <v>8185524.984329749</v>
      </c>
      <c r="I30" s="29">
        <f>MAX(F30,G30)</f>
        <v>35497166.1</v>
      </c>
      <c r="J30" s="27"/>
      <c r="K30" s="39"/>
      <c r="L30" s="29"/>
      <c r="M30" s="27"/>
    </row>
    <row r="31" spans="1:13" ht="12.75">
      <c r="A31" s="27" t="s">
        <v>17</v>
      </c>
      <c r="B31" s="29">
        <v>60320</v>
      </c>
      <c r="C31" s="29">
        <f>+B31*1805</f>
        <v>108877600</v>
      </c>
      <c r="D31" s="29">
        <f>table9!D31</f>
        <v>221942.9656259574</v>
      </c>
      <c r="E31" s="29">
        <f>C31/(D31/297097)-13</f>
        <v>145745576.34981096</v>
      </c>
      <c r="F31" s="29">
        <f>E31*0.7774334</f>
        <v>113307478.95659313</v>
      </c>
      <c r="G31" s="29">
        <f>C31*66%</f>
        <v>71859216</v>
      </c>
      <c r="H31" s="17">
        <f>IF(F31&gt;G31,0,(G31-F31))</f>
        <v>0</v>
      </c>
      <c r="I31" s="29">
        <f>MAX(F31,G31)</f>
        <v>113307478.95659313</v>
      </c>
      <c r="J31" s="27"/>
      <c r="K31" s="39"/>
      <c r="L31" s="29"/>
      <c r="M31" s="27"/>
    </row>
    <row r="32" spans="1:13" ht="12.75">
      <c r="A32" s="27" t="s">
        <v>18</v>
      </c>
      <c r="B32" s="29">
        <v>1112</v>
      </c>
      <c r="C32" s="29">
        <f>+B32*1805</f>
        <v>2007160</v>
      </c>
      <c r="D32" s="29">
        <f>table9!D32</f>
        <v>336796.03747604514</v>
      </c>
      <c r="E32" s="29">
        <f>C32/(D32/297097)</f>
        <v>1770570.7554900013</v>
      </c>
      <c r="F32" s="29">
        <f>E32*0.7774334</f>
        <v>1376500.8423811605</v>
      </c>
      <c r="G32" s="29">
        <f>C32*66%</f>
        <v>1324725.6</v>
      </c>
      <c r="H32" s="17">
        <f>IF(F32&gt;G32,0,(G32-F32))</f>
        <v>0</v>
      </c>
      <c r="I32" s="29">
        <f>MAX(F32,G32)</f>
        <v>1376500.8423811605</v>
      </c>
      <c r="J32" s="27"/>
      <c r="K32" s="39"/>
      <c r="L32" s="29"/>
      <c r="M32" s="27"/>
    </row>
    <row r="33" spans="1:13" ht="12.75">
      <c r="A33" s="27" t="s">
        <v>19</v>
      </c>
      <c r="B33" s="29">
        <v>3419</v>
      </c>
      <c r="C33" s="29">
        <f>+B33*1805</f>
        <v>6171295</v>
      </c>
      <c r="D33" s="29">
        <f>table9!D33</f>
        <v>243399.19500966367</v>
      </c>
      <c r="E33" s="29">
        <f>C33/(D33/297097)+6</f>
        <v>7532788.639409328</v>
      </c>
      <c r="F33" s="29">
        <f>E33*0.7774334+1</f>
        <v>5856242.4834173685</v>
      </c>
      <c r="G33" s="29">
        <f>C33*66%</f>
        <v>4073054.7</v>
      </c>
      <c r="H33" s="17">
        <f>IF(F33&gt;G33,0,(G33-F33))</f>
        <v>0</v>
      </c>
      <c r="I33" s="29">
        <f>MAX(F33,G33)</f>
        <v>5856242.4834173685</v>
      </c>
      <c r="J33" s="27"/>
      <c r="K33" s="39"/>
      <c r="L33" s="29"/>
      <c r="M33" s="27"/>
    </row>
    <row r="34" spans="1:13" ht="12.75">
      <c r="A34" s="27" t="s">
        <v>20</v>
      </c>
      <c r="B34" s="29">
        <v>1630</v>
      </c>
      <c r="C34" s="29">
        <f>+B34*1805</f>
        <v>2942150</v>
      </c>
      <c r="D34" s="29">
        <f>table9!D34</f>
        <v>185077.47914532418</v>
      </c>
      <c r="E34" s="29">
        <f>C34/(D34/297097)</f>
        <v>4722908.171143002</v>
      </c>
      <c r="F34" s="29">
        <f>E34*0.7774334+10</f>
        <v>3671756.557379486</v>
      </c>
      <c r="G34" s="29">
        <f>C34*66%</f>
        <v>1941819</v>
      </c>
      <c r="H34" s="17">
        <f>IF(F34&gt;G34,0,(G34-F34))</f>
        <v>0</v>
      </c>
      <c r="I34" s="29">
        <f>MAX(F34,G34)</f>
        <v>3671756.557379486</v>
      </c>
      <c r="J34" s="27"/>
      <c r="K34" s="39"/>
      <c r="L34" s="29"/>
      <c r="M34" s="27"/>
    </row>
    <row r="35" spans="1:13" ht="12.75">
      <c r="A35" s="27"/>
      <c r="B35" s="29"/>
      <c r="C35" s="29"/>
      <c r="D35" s="29"/>
      <c r="E35" s="29"/>
      <c r="F35" s="29"/>
      <c r="G35" s="29"/>
      <c r="H35" s="65"/>
      <c r="I35" s="29"/>
      <c r="J35" s="27"/>
      <c r="K35" s="39"/>
      <c r="L35" s="29"/>
      <c r="M35" s="27"/>
    </row>
    <row r="36" spans="1:13" ht="12.75">
      <c r="A36" s="27" t="s">
        <v>21</v>
      </c>
      <c r="B36" s="167">
        <v>1226</v>
      </c>
      <c r="C36" s="29">
        <f>+B36*1805</f>
        <v>2212930</v>
      </c>
      <c r="D36" s="29">
        <f>table9!D36</f>
        <v>584502.6411338105</v>
      </c>
      <c r="E36" s="29">
        <f>C36/(D36/297097)-1</f>
        <v>1124809.7672100125</v>
      </c>
      <c r="F36" s="29">
        <f>E36*0.7774334</f>
        <v>874464.6816752886</v>
      </c>
      <c r="G36" s="29">
        <f>C36*66%</f>
        <v>1460533.8</v>
      </c>
      <c r="H36" s="17">
        <f>IF(F36&gt;G36,0,(G36-F36))</f>
        <v>586069.1183247115</v>
      </c>
      <c r="I36" s="29">
        <f>MAX(F36,G36)</f>
        <v>1460533.8</v>
      </c>
      <c r="J36" s="27"/>
      <c r="K36" s="39"/>
      <c r="L36" s="29"/>
      <c r="M36" s="27"/>
    </row>
    <row r="37" spans="1:13" ht="12.75">
      <c r="A37" s="27" t="s">
        <v>22</v>
      </c>
      <c r="B37" s="29">
        <v>6517</v>
      </c>
      <c r="C37" s="29">
        <f>+B37*1805</f>
        <v>11763185</v>
      </c>
      <c r="D37" s="29">
        <f>table9!D37</f>
        <v>248212.30929893028</v>
      </c>
      <c r="E37" s="29">
        <f>C37/(D37/297097)+17</f>
        <v>14079926.992441546</v>
      </c>
      <c r="F37" s="29">
        <f>E37*0.7774334</f>
        <v>10946205.513485607</v>
      </c>
      <c r="G37" s="29">
        <f>C37*66%</f>
        <v>7763702.100000001</v>
      </c>
      <c r="H37" s="17">
        <f>IF(F37&gt;G37,0,(G37-F37))</f>
        <v>0</v>
      </c>
      <c r="I37" s="29">
        <f>MAX(F37,G37)</f>
        <v>10946205.513485607</v>
      </c>
      <c r="J37" s="27"/>
      <c r="K37" s="39"/>
      <c r="L37" s="29"/>
      <c r="M37" s="27"/>
    </row>
    <row r="38" spans="1:13" ht="12.75">
      <c r="A38" s="27" t="s">
        <v>23</v>
      </c>
      <c r="B38" s="29">
        <v>6001</v>
      </c>
      <c r="C38" s="29">
        <f>+B38*1805</f>
        <v>10831805</v>
      </c>
      <c r="D38" s="29">
        <f>table9!D38</f>
        <v>205133.82821594607</v>
      </c>
      <c r="E38" s="29">
        <f>C38/(D38/297097)-14</f>
        <v>15687777.71174675</v>
      </c>
      <c r="F38" s="29">
        <f>E38*0.7774334+1</f>
        <v>12196203.364887496</v>
      </c>
      <c r="G38" s="29">
        <f>C38*66%</f>
        <v>7148991.300000001</v>
      </c>
      <c r="H38" s="17">
        <f>IF(F38&gt;G38,0,(G38-F38))</f>
        <v>0</v>
      </c>
      <c r="I38" s="29">
        <f>MAX(F38,G38)</f>
        <v>12196203.364887496</v>
      </c>
      <c r="J38" s="27"/>
      <c r="K38" s="39"/>
      <c r="L38" s="29"/>
      <c r="M38" s="27"/>
    </row>
    <row r="39" spans="1:13" ht="12.75">
      <c r="A39" s="40" t="s">
        <v>24</v>
      </c>
      <c r="B39" s="34">
        <v>2204</v>
      </c>
      <c r="C39" s="34">
        <f>+B39*1805</f>
        <v>3978220</v>
      </c>
      <c r="D39" s="34">
        <f>table9!D39</f>
        <v>640843.9003722799</v>
      </c>
      <c r="E39" s="34">
        <f>C39/(D39/297097)</f>
        <v>1844313.7660409955</v>
      </c>
      <c r="F39" s="34">
        <f>E39*0.7774334</f>
        <v>1433831.1218000557</v>
      </c>
      <c r="G39" s="34">
        <f>C39*66%</f>
        <v>2625625.2</v>
      </c>
      <c r="H39" s="16">
        <f>IF(F39&gt;G39,0,(G39-F39))</f>
        <v>1191794.0781999445</v>
      </c>
      <c r="I39" s="34">
        <f>MAX(F39,G39)</f>
        <v>2625625.2</v>
      </c>
      <c r="J39" s="27"/>
      <c r="K39" s="39"/>
      <c r="L39" s="29"/>
      <c r="M39" s="27"/>
    </row>
    <row r="40" spans="1:13" ht="12.75">
      <c r="A40" s="42"/>
      <c r="B40" s="42"/>
      <c r="C40" s="42"/>
      <c r="D40" s="42"/>
      <c r="E40" s="42"/>
      <c r="F40" s="42"/>
      <c r="G40" s="42"/>
      <c r="H40" s="42"/>
      <c r="I40" s="42"/>
      <c r="J40" s="27"/>
      <c r="K40" s="27"/>
      <c r="L40" s="29"/>
      <c r="M40" s="27"/>
    </row>
    <row r="41" spans="1:13" ht="12.75">
      <c r="A41" s="27" t="s">
        <v>121</v>
      </c>
      <c r="B41" s="29"/>
      <c r="C41" s="29"/>
      <c r="D41" s="29"/>
      <c r="E41" s="29"/>
      <c r="F41" s="29"/>
      <c r="G41" s="29"/>
      <c r="H41" s="29"/>
      <c r="I41" s="29"/>
      <c r="J41" s="27"/>
      <c r="K41" s="27"/>
      <c r="L41" s="29"/>
      <c r="M41" s="27"/>
    </row>
    <row r="42" spans="1:13" ht="12.75">
      <c r="A42" s="27" t="s">
        <v>300</v>
      </c>
      <c r="B42" s="29"/>
      <c r="C42" s="29"/>
      <c r="D42" s="29"/>
      <c r="E42" s="29"/>
      <c r="F42" s="29"/>
      <c r="G42" s="29"/>
      <c r="H42" s="29"/>
      <c r="I42" s="29"/>
      <c r="J42" s="27"/>
      <c r="K42" s="27"/>
      <c r="L42" s="29"/>
      <c r="M42" s="27"/>
    </row>
    <row r="43" spans="1:13" ht="12.75">
      <c r="A43" s="27"/>
      <c r="B43" s="29"/>
      <c r="C43" s="29"/>
      <c r="D43" s="29"/>
      <c r="E43" s="29"/>
      <c r="F43" s="29"/>
      <c r="G43" s="29"/>
      <c r="H43" s="29"/>
      <c r="I43" s="29"/>
      <c r="J43" s="27"/>
      <c r="K43" s="27"/>
      <c r="L43" s="29"/>
      <c r="M43" s="27"/>
    </row>
    <row r="44" spans="1:13" ht="12.75">
      <c r="A44" s="27"/>
      <c r="B44" s="29"/>
      <c r="C44" s="29"/>
      <c r="D44" s="29"/>
      <c r="E44" s="29"/>
      <c r="F44" s="29"/>
      <c r="G44" s="29"/>
      <c r="H44" s="29"/>
      <c r="I44" s="29"/>
      <c r="J44" s="27"/>
      <c r="K44" s="27"/>
      <c r="L44" s="27"/>
      <c r="M44" s="27"/>
    </row>
    <row r="45" spans="1:13" ht="12.75">
      <c r="A45" s="27"/>
      <c r="B45" s="29"/>
      <c r="C45" s="29"/>
      <c r="D45" s="29"/>
      <c r="E45" s="29"/>
      <c r="F45" s="29"/>
      <c r="G45" s="29"/>
      <c r="H45" s="29"/>
      <c r="I45" s="29"/>
      <c r="J45" s="27"/>
      <c r="K45" s="27"/>
      <c r="L45" s="27"/>
      <c r="M45" s="27"/>
    </row>
    <row r="46" spans="1:13" ht="12.75">
      <c r="A46" s="27"/>
      <c r="B46" s="29"/>
      <c r="C46" s="29"/>
      <c r="D46" s="29"/>
      <c r="E46" s="29"/>
      <c r="F46" s="29"/>
      <c r="G46" s="29"/>
      <c r="H46" s="29"/>
      <c r="I46" s="29"/>
      <c r="J46" s="27"/>
      <c r="K46" s="27"/>
      <c r="L46" s="27"/>
      <c r="M46" s="27"/>
    </row>
    <row r="47" spans="1:13" ht="12.75">
      <c r="A47" s="27"/>
      <c r="B47" s="29"/>
      <c r="C47" s="29"/>
      <c r="D47" s="29"/>
      <c r="E47" s="29"/>
      <c r="F47" s="29"/>
      <c r="G47" s="29"/>
      <c r="H47" s="29"/>
      <c r="I47" s="29"/>
      <c r="J47" s="27"/>
      <c r="K47" s="27"/>
      <c r="L47" s="27"/>
      <c r="M47" s="27"/>
    </row>
    <row r="48" spans="1:13" ht="12.75">
      <c r="A48" s="27"/>
      <c r="B48" s="29"/>
      <c r="C48" s="29"/>
      <c r="D48" s="29"/>
      <c r="E48" s="29"/>
      <c r="F48" s="29"/>
      <c r="G48" s="29"/>
      <c r="H48" s="29"/>
      <c r="I48" s="29"/>
      <c r="J48" s="27"/>
      <c r="K48" s="27"/>
      <c r="L48" s="27"/>
      <c r="M48" s="27"/>
    </row>
    <row r="49" spans="1:13" ht="12.75">
      <c r="A49" s="27"/>
      <c r="B49" s="29"/>
      <c r="C49" s="29"/>
      <c r="D49" s="29"/>
      <c r="E49" s="29"/>
      <c r="F49" s="29"/>
      <c r="G49" s="29"/>
      <c r="H49" s="29"/>
      <c r="I49" s="29"/>
      <c r="J49" s="27"/>
      <c r="K49" s="27"/>
      <c r="L49" s="27"/>
      <c r="M49" s="27"/>
    </row>
    <row r="50" spans="1:13" ht="12.75">
      <c r="A50" s="27"/>
      <c r="B50" s="29"/>
      <c r="C50" s="29"/>
      <c r="D50" s="29"/>
      <c r="E50" s="29"/>
      <c r="F50" s="29"/>
      <c r="G50" s="29"/>
      <c r="H50" s="29"/>
      <c r="I50" s="29"/>
      <c r="J50" s="27"/>
      <c r="K50" s="27"/>
      <c r="L50" s="27"/>
      <c r="M50" s="27"/>
    </row>
    <row r="51" spans="1:13" ht="12.75">
      <c r="A51" s="27"/>
      <c r="B51" s="29"/>
      <c r="C51" s="29"/>
      <c r="D51" s="29"/>
      <c r="E51" s="29"/>
      <c r="F51" s="29"/>
      <c r="G51" s="29"/>
      <c r="H51" s="29"/>
      <c r="I51" s="29"/>
      <c r="J51" s="27"/>
      <c r="K51" s="27"/>
      <c r="L51" s="27"/>
      <c r="M51" s="27"/>
    </row>
    <row r="52" spans="1:13" ht="12.75">
      <c r="A52" s="27"/>
      <c r="B52" s="29"/>
      <c r="C52" s="29"/>
      <c r="D52" s="29"/>
      <c r="E52" s="29"/>
      <c r="F52" s="29"/>
      <c r="G52" s="29"/>
      <c r="H52" s="29"/>
      <c r="I52" s="29"/>
      <c r="J52" s="27"/>
      <c r="K52" s="27"/>
      <c r="L52" s="27"/>
      <c r="M52" s="27"/>
    </row>
    <row r="53" spans="1:13" ht="12.75">
      <c r="A53" s="27"/>
      <c r="B53" s="29"/>
      <c r="C53" s="29"/>
      <c r="D53" s="29"/>
      <c r="E53" s="29"/>
      <c r="F53" s="29"/>
      <c r="G53" s="29"/>
      <c r="H53" s="29"/>
      <c r="I53" s="29"/>
      <c r="J53" s="27"/>
      <c r="K53" s="27"/>
      <c r="L53" s="27"/>
      <c r="M53" s="27"/>
    </row>
    <row r="54" spans="1:13" ht="12.75">
      <c r="A54" s="27"/>
      <c r="B54" s="29"/>
      <c r="C54" s="29"/>
      <c r="D54" s="29"/>
      <c r="E54" s="29"/>
      <c r="F54" s="29"/>
      <c r="G54" s="29"/>
      <c r="H54" s="29"/>
      <c r="I54" s="29"/>
      <c r="J54" s="27"/>
      <c r="K54" s="27"/>
      <c r="L54" s="27"/>
      <c r="M54" s="27"/>
    </row>
    <row r="55" spans="1:13" ht="12.75">
      <c r="A55" s="27"/>
      <c r="B55" s="29"/>
      <c r="C55" s="29"/>
      <c r="D55" s="29"/>
      <c r="E55" s="29"/>
      <c r="F55" s="29"/>
      <c r="G55" s="29"/>
      <c r="H55" s="29"/>
      <c r="I55" s="29"/>
      <c r="J55" s="27"/>
      <c r="K55" s="27"/>
      <c r="L55" s="27"/>
      <c r="M55" s="27"/>
    </row>
    <row r="56" spans="1:13" ht="12.75">
      <c r="A56" s="27"/>
      <c r="B56" s="29"/>
      <c r="C56" s="29"/>
      <c r="D56" s="29"/>
      <c r="E56" s="29"/>
      <c r="F56" s="29"/>
      <c r="G56" s="29"/>
      <c r="H56" s="29"/>
      <c r="I56" s="29"/>
      <c r="J56" s="27"/>
      <c r="K56" s="27"/>
      <c r="L56" s="27"/>
      <c r="M56" s="27"/>
    </row>
    <row r="57" spans="1:13" ht="12.75">
      <c r="A57" s="27"/>
      <c r="B57" s="29"/>
      <c r="C57" s="29"/>
      <c r="D57" s="29"/>
      <c r="E57" s="29"/>
      <c r="F57" s="29"/>
      <c r="G57" s="29"/>
      <c r="H57" s="29"/>
      <c r="I57" s="29"/>
      <c r="J57" s="27"/>
      <c r="K57" s="27"/>
      <c r="L57" s="27"/>
      <c r="M57" s="27"/>
    </row>
    <row r="58" spans="1:13" ht="12.75">
      <c r="A58" s="27"/>
      <c r="B58" s="29"/>
      <c r="C58" s="29"/>
      <c r="D58" s="29"/>
      <c r="E58" s="29"/>
      <c r="F58" s="29"/>
      <c r="G58" s="29"/>
      <c r="H58" s="29"/>
      <c r="I58" s="29"/>
      <c r="J58" s="27"/>
      <c r="K58" s="27"/>
      <c r="L58" s="27"/>
      <c r="M58" s="27"/>
    </row>
    <row r="59" spans="1:13" ht="12.75">
      <c r="A59" s="27"/>
      <c r="B59" s="29"/>
      <c r="C59" s="29"/>
      <c r="D59" s="29"/>
      <c r="E59" s="29"/>
      <c r="F59" s="29"/>
      <c r="G59" s="29"/>
      <c r="H59" s="29"/>
      <c r="I59" s="29"/>
      <c r="J59" s="27"/>
      <c r="K59" s="27"/>
      <c r="L59" s="27"/>
      <c r="M59" s="27"/>
    </row>
    <row r="60" spans="1:13" ht="12.75">
      <c r="A60" s="27"/>
      <c r="B60" s="29"/>
      <c r="C60" s="29"/>
      <c r="D60" s="29"/>
      <c r="E60" s="29"/>
      <c r="F60" s="29"/>
      <c r="G60" s="29"/>
      <c r="H60" s="29"/>
      <c r="I60" s="29"/>
      <c r="J60" s="27"/>
      <c r="K60" s="27"/>
      <c r="L60" s="27"/>
      <c r="M60" s="27"/>
    </row>
    <row r="61" spans="1:13" ht="12.75">
      <c r="A61" s="27"/>
      <c r="B61" s="29"/>
      <c r="C61" s="29"/>
      <c r="D61" s="29"/>
      <c r="E61" s="29"/>
      <c r="F61" s="29"/>
      <c r="G61" s="29"/>
      <c r="H61" s="29"/>
      <c r="I61" s="29"/>
      <c r="J61" s="27"/>
      <c r="K61" s="27"/>
      <c r="L61" s="27"/>
      <c r="M61" s="27"/>
    </row>
    <row r="62" spans="1:13" ht="12.75">
      <c r="A62" s="27"/>
      <c r="B62" s="29"/>
      <c r="C62" s="29"/>
      <c r="D62" s="29"/>
      <c r="E62" s="29"/>
      <c r="F62" s="29"/>
      <c r="G62" s="29"/>
      <c r="H62" s="29"/>
      <c r="I62" s="29"/>
      <c r="J62" s="27"/>
      <c r="K62" s="27"/>
      <c r="L62" s="27"/>
      <c r="M62" s="27"/>
    </row>
    <row r="63" spans="1:13" ht="12.75">
      <c r="A63" s="27"/>
      <c r="B63" s="29"/>
      <c r="C63" s="29"/>
      <c r="D63" s="29"/>
      <c r="E63" s="29"/>
      <c r="F63" s="29"/>
      <c r="G63" s="29"/>
      <c r="H63" s="29"/>
      <c r="I63" s="29"/>
      <c r="J63" s="27"/>
      <c r="K63" s="27"/>
      <c r="L63" s="27"/>
      <c r="M63" s="27"/>
    </row>
    <row r="64" spans="1:13" ht="12.75">
      <c r="A64" s="27"/>
      <c r="B64" s="29"/>
      <c r="C64" s="29"/>
      <c r="D64" s="29"/>
      <c r="E64" s="29"/>
      <c r="F64" s="29"/>
      <c r="G64" s="29"/>
      <c r="H64" s="29"/>
      <c r="I64" s="29"/>
      <c r="J64" s="27"/>
      <c r="K64" s="27"/>
      <c r="L64" s="27"/>
      <c r="M64" s="27"/>
    </row>
    <row r="65" spans="1:13" ht="12.75">
      <c r="A65" s="27"/>
      <c r="B65" s="29"/>
      <c r="C65" s="29"/>
      <c r="D65" s="29"/>
      <c r="E65" s="29"/>
      <c r="F65" s="29"/>
      <c r="G65" s="29"/>
      <c r="H65" s="29"/>
      <c r="I65" s="29"/>
      <c r="J65" s="27"/>
      <c r="K65" s="27"/>
      <c r="L65" s="27"/>
      <c r="M65" s="27"/>
    </row>
    <row r="66" spans="1:13" ht="12.75">
      <c r="A66" s="27"/>
      <c r="B66" s="29"/>
      <c r="C66" s="29"/>
      <c r="D66" s="29"/>
      <c r="E66" s="29"/>
      <c r="F66" s="29"/>
      <c r="G66" s="29"/>
      <c r="H66" s="29"/>
      <c r="I66" s="29"/>
      <c r="J66" s="27"/>
      <c r="K66" s="27"/>
      <c r="L66" s="27"/>
      <c r="M66" s="27"/>
    </row>
    <row r="67" spans="1:13" ht="12.75">
      <c r="A67" s="27"/>
      <c r="B67" s="29"/>
      <c r="C67" s="29"/>
      <c r="D67" s="29"/>
      <c r="E67" s="29"/>
      <c r="F67" s="29"/>
      <c r="G67" s="29"/>
      <c r="H67" s="29"/>
      <c r="I67" s="29"/>
      <c r="J67" s="27"/>
      <c r="K67" s="27"/>
      <c r="L67" s="27"/>
      <c r="M67" s="27"/>
    </row>
    <row r="68" spans="1:13" ht="12.75">
      <c r="A68" s="27"/>
      <c r="B68" s="29"/>
      <c r="C68" s="29"/>
      <c r="D68" s="29"/>
      <c r="E68" s="29"/>
      <c r="F68" s="29"/>
      <c r="G68" s="29"/>
      <c r="H68" s="29"/>
      <c r="I68" s="29"/>
      <c r="J68" s="27"/>
      <c r="K68" s="27"/>
      <c r="L68" s="27"/>
      <c r="M68" s="27"/>
    </row>
    <row r="69" spans="1:13" ht="12.75">
      <c r="A69" s="27"/>
      <c r="B69" s="29"/>
      <c r="C69" s="29"/>
      <c r="D69" s="29"/>
      <c r="E69" s="29"/>
      <c r="F69" s="29"/>
      <c r="G69" s="29"/>
      <c r="H69" s="29"/>
      <c r="I69" s="29"/>
      <c r="J69" s="27"/>
      <c r="K69" s="27"/>
      <c r="L69" s="27"/>
      <c r="M69" s="27"/>
    </row>
    <row r="70" spans="1:13" ht="12.75">
      <c r="A70" s="27"/>
      <c r="B70" s="29"/>
      <c r="C70" s="29"/>
      <c r="D70" s="29"/>
      <c r="E70" s="29"/>
      <c r="F70" s="29"/>
      <c r="G70" s="29"/>
      <c r="H70" s="29"/>
      <c r="I70" s="29"/>
      <c r="J70" s="27"/>
      <c r="K70" s="27"/>
      <c r="L70" s="27"/>
      <c r="M70" s="27"/>
    </row>
    <row r="71" spans="2:9" ht="12.75">
      <c r="B71" s="33"/>
      <c r="C71" s="33"/>
      <c r="D71" s="33"/>
      <c r="E71" s="33"/>
      <c r="F71" s="33"/>
      <c r="G71" s="33"/>
      <c r="H71" s="33"/>
      <c r="I71" s="33"/>
    </row>
    <row r="72" spans="2:9" ht="12.75">
      <c r="B72" s="33"/>
      <c r="C72" s="33"/>
      <c r="D72" s="33"/>
      <c r="E72" s="33"/>
      <c r="F72" s="33"/>
      <c r="G72" s="33"/>
      <c r="H72" s="33"/>
      <c r="I72" s="33"/>
    </row>
    <row r="73" spans="2:9" ht="12.75">
      <c r="B73" s="33"/>
      <c r="C73" s="33"/>
      <c r="D73" s="33"/>
      <c r="E73" s="33"/>
      <c r="F73" s="33"/>
      <c r="G73" s="33"/>
      <c r="H73" s="33"/>
      <c r="I73" s="33"/>
    </row>
    <row r="74" spans="2:9" ht="12.75">
      <c r="B74" s="33"/>
      <c r="C74" s="33"/>
      <c r="D74" s="33"/>
      <c r="E74" s="33"/>
      <c r="F74" s="33"/>
      <c r="G74" s="33"/>
      <c r="H74" s="33"/>
      <c r="I74" s="33"/>
    </row>
    <row r="75" spans="2:9" ht="12.75">
      <c r="B75" s="33"/>
      <c r="C75" s="33"/>
      <c r="D75" s="33"/>
      <c r="E75" s="33"/>
      <c r="F75" s="33"/>
      <c r="G75" s="33"/>
      <c r="H75" s="33"/>
      <c r="I75" s="33"/>
    </row>
    <row r="76" spans="2:9" ht="12.75">
      <c r="B76" s="33"/>
      <c r="C76" s="33"/>
      <c r="D76" s="33"/>
      <c r="E76" s="33"/>
      <c r="F76" s="33"/>
      <c r="G76" s="33"/>
      <c r="H76" s="33"/>
      <c r="I76" s="33"/>
    </row>
    <row r="77" spans="2:9" ht="12.75">
      <c r="B77" s="33"/>
      <c r="C77" s="33"/>
      <c r="D77" s="33"/>
      <c r="E77" s="33"/>
      <c r="F77" s="33"/>
      <c r="G77" s="33"/>
      <c r="H77" s="33"/>
      <c r="I77" s="33"/>
    </row>
    <row r="78" spans="2:9" ht="12.75">
      <c r="B78" s="33"/>
      <c r="C78" s="33"/>
      <c r="D78" s="33"/>
      <c r="E78" s="33"/>
      <c r="F78" s="33"/>
      <c r="G78" s="33"/>
      <c r="H78" s="33"/>
      <c r="I78" s="33"/>
    </row>
    <row r="79" spans="2:9" ht="12.75">
      <c r="B79" s="33"/>
      <c r="C79" s="33"/>
      <c r="D79" s="33"/>
      <c r="E79" s="33"/>
      <c r="F79" s="33"/>
      <c r="G79" s="33"/>
      <c r="H79" s="33"/>
      <c r="I79" s="33"/>
    </row>
    <row r="80" spans="2:9" ht="12.75">
      <c r="B80" s="33"/>
      <c r="C80" s="33"/>
      <c r="D80" s="33"/>
      <c r="E80" s="33"/>
      <c r="F80" s="33"/>
      <c r="G80" s="33"/>
      <c r="H80" s="33"/>
      <c r="I80" s="33"/>
    </row>
    <row r="81" spans="2:9" ht="12.75">
      <c r="B81" s="33"/>
      <c r="C81" s="33"/>
      <c r="D81" s="33"/>
      <c r="E81" s="33"/>
      <c r="F81" s="33"/>
      <c r="G81" s="33"/>
      <c r="H81" s="33"/>
      <c r="I81" s="33"/>
    </row>
    <row r="82" spans="2:9" ht="12.75">
      <c r="B82" s="33"/>
      <c r="C82" s="33"/>
      <c r="D82" s="33"/>
      <c r="E82" s="33"/>
      <c r="F82" s="33"/>
      <c r="G82" s="33"/>
      <c r="H82" s="33"/>
      <c r="I82" s="33"/>
    </row>
    <row r="83" spans="2:9" ht="12.75">
      <c r="B83" s="33"/>
      <c r="C83" s="33"/>
      <c r="D83" s="33"/>
      <c r="E83" s="33"/>
      <c r="F83" s="33"/>
      <c r="G83" s="33"/>
      <c r="H83" s="33"/>
      <c r="I83" s="33"/>
    </row>
    <row r="84" spans="2:9" ht="12.75">
      <c r="B84" s="33"/>
      <c r="C84" s="33"/>
      <c r="D84" s="33"/>
      <c r="E84" s="33"/>
      <c r="F84" s="33"/>
      <c r="G84" s="33"/>
      <c r="H84" s="33"/>
      <c r="I84" s="33"/>
    </row>
    <row r="85" spans="2:9" ht="12.75">
      <c r="B85" s="33"/>
      <c r="C85" s="33"/>
      <c r="D85" s="33"/>
      <c r="E85" s="33"/>
      <c r="F85" s="33"/>
      <c r="G85" s="33"/>
      <c r="H85" s="33"/>
      <c r="I85" s="33"/>
    </row>
    <row r="86" spans="2:9" ht="12.75">
      <c r="B86" s="33"/>
      <c r="C86" s="33"/>
      <c r="D86" s="33"/>
      <c r="E86" s="33"/>
      <c r="F86" s="33"/>
      <c r="G86" s="33"/>
      <c r="H86" s="33"/>
      <c r="I86" s="33"/>
    </row>
    <row r="87" spans="2:9" ht="12.75"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2:9" ht="12.75">
      <c r="B89" s="33"/>
      <c r="C89" s="33"/>
      <c r="D89" s="33"/>
      <c r="E89" s="33"/>
      <c r="F89" s="33"/>
      <c r="G89" s="33"/>
      <c r="H89" s="33"/>
      <c r="I89" s="33"/>
    </row>
    <row r="90" spans="2:9" ht="12.75">
      <c r="B90" s="33"/>
      <c r="C90" s="33"/>
      <c r="D90" s="33"/>
      <c r="E90" s="33"/>
      <c r="F90" s="33"/>
      <c r="G90" s="33"/>
      <c r="H90" s="33"/>
      <c r="I90" s="33"/>
    </row>
    <row r="91" spans="2:9" ht="12.75">
      <c r="B91" s="33"/>
      <c r="C91" s="33"/>
      <c r="D91" s="33"/>
      <c r="E91" s="33"/>
      <c r="F91" s="33"/>
      <c r="G91" s="33"/>
      <c r="H91" s="33"/>
      <c r="I91" s="33"/>
    </row>
    <row r="92" spans="2:9" ht="12.75">
      <c r="B92" s="33"/>
      <c r="C92" s="33"/>
      <c r="D92" s="33"/>
      <c r="E92" s="33"/>
      <c r="F92" s="33"/>
      <c r="G92" s="33"/>
      <c r="H92" s="33"/>
      <c r="I92" s="33"/>
    </row>
    <row r="93" spans="2:9" ht="12.75">
      <c r="B93" s="33"/>
      <c r="C93" s="33"/>
      <c r="D93" s="33"/>
      <c r="E93" s="33"/>
      <c r="F93" s="33"/>
      <c r="G93" s="33"/>
      <c r="H93" s="33"/>
      <c r="I93" s="33"/>
    </row>
    <row r="94" spans="2:9" ht="12.75">
      <c r="B94" s="33"/>
      <c r="C94" s="33"/>
      <c r="D94" s="33"/>
      <c r="E94" s="33"/>
      <c r="F94" s="33"/>
      <c r="G94" s="33"/>
      <c r="H94" s="33"/>
      <c r="I94" s="33"/>
    </row>
    <row r="95" spans="2:9" ht="12.75">
      <c r="B95" s="33"/>
      <c r="C95" s="33"/>
      <c r="D95" s="33"/>
      <c r="E95" s="33"/>
      <c r="F95" s="33"/>
      <c r="G95" s="33"/>
      <c r="H95" s="33"/>
      <c r="I95" s="33"/>
    </row>
    <row r="96" spans="2:9" ht="12.75">
      <c r="B96" s="33"/>
      <c r="C96" s="33"/>
      <c r="D96" s="33"/>
      <c r="E96" s="33"/>
      <c r="F96" s="33"/>
      <c r="G96" s="33"/>
      <c r="H96" s="33"/>
      <c r="I96" s="33"/>
    </row>
    <row r="97" spans="2:9" ht="12.75">
      <c r="B97" s="33"/>
      <c r="C97" s="33"/>
      <c r="D97" s="33"/>
      <c r="E97" s="33"/>
      <c r="F97" s="33"/>
      <c r="G97" s="33"/>
      <c r="H97" s="33"/>
      <c r="I97" s="33"/>
    </row>
    <row r="98" spans="2:9" ht="12.75">
      <c r="B98" s="33"/>
      <c r="C98" s="33"/>
      <c r="D98" s="33"/>
      <c r="E98" s="33"/>
      <c r="F98" s="33"/>
      <c r="G98" s="33"/>
      <c r="H98" s="33"/>
      <c r="I98" s="33"/>
    </row>
    <row r="99" spans="2:9" ht="12.75">
      <c r="B99" s="33"/>
      <c r="C99" s="33"/>
      <c r="D99" s="33"/>
      <c r="E99" s="33"/>
      <c r="F99" s="33"/>
      <c r="G99" s="33"/>
      <c r="H99" s="33"/>
      <c r="I99" s="33"/>
    </row>
    <row r="100" spans="2:9" ht="12.75">
      <c r="B100" s="33"/>
      <c r="C100" s="33"/>
      <c r="D100" s="33"/>
      <c r="E100" s="33"/>
      <c r="F100" s="33"/>
      <c r="G100" s="33"/>
      <c r="H100" s="33"/>
      <c r="I100" s="33"/>
    </row>
    <row r="101" spans="2:9" ht="12.75">
      <c r="B101" s="33"/>
      <c r="C101" s="33"/>
      <c r="D101" s="33"/>
      <c r="E101" s="33"/>
      <c r="F101" s="33"/>
      <c r="G101" s="33"/>
      <c r="H101" s="33"/>
      <c r="I101" s="33"/>
    </row>
    <row r="102" spans="2:9" ht="12.75">
      <c r="B102" s="33"/>
      <c r="C102" s="33"/>
      <c r="D102" s="33"/>
      <c r="E102" s="33"/>
      <c r="F102" s="33"/>
      <c r="G102" s="33"/>
      <c r="H102" s="33"/>
      <c r="I102" s="33"/>
    </row>
    <row r="103" spans="2:9" ht="12.75">
      <c r="B103" s="33"/>
      <c r="C103" s="33"/>
      <c r="D103" s="33"/>
      <c r="E103" s="33"/>
      <c r="F103" s="33"/>
      <c r="G103" s="33"/>
      <c r="H103" s="33"/>
      <c r="I103" s="33"/>
    </row>
    <row r="104" spans="2:9" ht="12.75">
      <c r="B104" s="33"/>
      <c r="C104" s="33"/>
      <c r="D104" s="33"/>
      <c r="E104" s="33"/>
      <c r="F104" s="33"/>
      <c r="G104" s="33"/>
      <c r="H104" s="33"/>
      <c r="I104" s="33"/>
    </row>
    <row r="105" spans="2:9" ht="12.75">
      <c r="B105" s="33"/>
      <c r="C105" s="33"/>
      <c r="D105" s="33"/>
      <c r="E105" s="33"/>
      <c r="F105" s="33"/>
      <c r="G105" s="33"/>
      <c r="H105" s="33"/>
      <c r="I105" s="33"/>
    </row>
  </sheetData>
  <sheetProtection password="C935" sheet="1" objects="1" scenarios="1"/>
  <mergeCells count="8">
    <mergeCell ref="F6:F9"/>
    <mergeCell ref="B6:B9"/>
    <mergeCell ref="I6:I9"/>
    <mergeCell ref="D6:D8"/>
    <mergeCell ref="E6:E8"/>
    <mergeCell ref="G6:G8"/>
    <mergeCell ref="H6:H9"/>
    <mergeCell ref="C7:C8"/>
  </mergeCells>
  <printOptions horizontalCentered="1"/>
  <pageMargins left="0.7" right="0.75" top="0.83" bottom="0.84" header="0.67" footer="0.5"/>
  <pageSetup fitToHeight="1" fitToWidth="1" horizontalDpi="600" verticalDpi="600" orientation="landscape" scale="82" r:id="rId1"/>
  <headerFooter alignWithMargins="0">
    <oddFooter>&amp;L&amp;"Arial,Italic"&amp;9MSDE-DBS 11 / 2006
&amp;C- 19 -&amp;R&amp;"Arial,Italic"&amp;9Selected Financial Data-Part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5"/>
  <sheetViews>
    <sheetView workbookViewId="0" topLeftCell="A5">
      <selection activeCell="G9" sqref="G9"/>
    </sheetView>
  </sheetViews>
  <sheetFormatPr defaultColWidth="9.140625" defaultRowHeight="12.75"/>
  <cols>
    <col min="1" max="1" width="14.140625" style="199" customWidth="1"/>
    <col min="2" max="2" width="14.8515625" style="199" customWidth="1"/>
    <col min="3" max="3" width="17.7109375" style="199" bestFit="1" customWidth="1"/>
    <col min="4" max="4" width="15.28125" style="199" customWidth="1"/>
    <col min="5" max="5" width="17.7109375" style="199" bestFit="1" customWidth="1"/>
    <col min="6" max="6" width="14.8515625" style="199" bestFit="1" customWidth="1"/>
    <col min="7" max="7" width="13.28125" style="199" customWidth="1"/>
    <col min="8" max="8" width="2.7109375" style="199" customWidth="1"/>
    <col min="9" max="12" width="9.140625" style="199" customWidth="1"/>
    <col min="14" max="14" width="16.00390625" style="79" bestFit="1" customWidth="1"/>
    <col min="15" max="15" width="15.00390625" style="80" bestFit="1" customWidth="1"/>
    <col min="16" max="16" width="14.00390625" style="80" bestFit="1" customWidth="1"/>
    <col min="17" max="17" width="16.00390625" style="80" bestFit="1" customWidth="1"/>
  </cols>
  <sheetData>
    <row r="1" spans="1:12" ht="12.75">
      <c r="A1" s="371" t="s">
        <v>111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2.75">
      <c r="A2" s="27"/>
      <c r="B2" s="27"/>
      <c r="C2" s="197"/>
      <c r="D2" s="198"/>
      <c r="E2" s="27"/>
      <c r="F2" s="27"/>
      <c r="G2" s="27"/>
      <c r="H2" s="27"/>
      <c r="I2" s="27"/>
      <c r="J2" s="27"/>
      <c r="K2" s="27"/>
      <c r="L2" s="27"/>
    </row>
    <row r="3" spans="1:17" s="43" customFormat="1" ht="12.75">
      <c r="A3" s="376" t="s">
        <v>297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N3" s="121"/>
      <c r="O3" s="196"/>
      <c r="P3" s="196"/>
      <c r="Q3" s="196"/>
    </row>
    <row r="4" spans="1:12" ht="12.75">
      <c r="A4" s="372" t="s">
        <v>170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ht="13.5" thickBot="1">
      <c r="I5" s="200"/>
    </row>
    <row r="6" spans="1:59" ht="15" customHeight="1" thickTop="1">
      <c r="A6" s="201" t="s">
        <v>101</v>
      </c>
      <c r="B6" s="202" t="s">
        <v>53</v>
      </c>
      <c r="C6" s="374" t="s">
        <v>105</v>
      </c>
      <c r="D6" s="374"/>
      <c r="E6" s="375"/>
      <c r="F6" s="375"/>
      <c r="G6" s="201"/>
      <c r="H6" s="201"/>
      <c r="I6" s="374" t="s">
        <v>107</v>
      </c>
      <c r="J6" s="374"/>
      <c r="K6" s="374"/>
      <c r="L6" s="374"/>
      <c r="M6" s="21"/>
      <c r="N6" s="154"/>
      <c r="O6" s="124"/>
      <c r="P6" s="124"/>
      <c r="Q6" s="124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12" ht="12.75">
      <c r="A7" s="203" t="s">
        <v>41</v>
      </c>
      <c r="B7" s="204" t="s">
        <v>108</v>
      </c>
      <c r="C7" s="373" t="s">
        <v>101</v>
      </c>
      <c r="D7" s="373"/>
      <c r="E7" s="205"/>
      <c r="F7" s="205"/>
      <c r="G7" s="204" t="s">
        <v>103</v>
      </c>
      <c r="H7" s="204"/>
      <c r="I7" s="206"/>
      <c r="J7" s="206"/>
      <c r="K7" s="206"/>
      <c r="L7" s="206" t="s">
        <v>103</v>
      </c>
    </row>
    <row r="8" spans="1:12" ht="13.5" thickBot="1">
      <c r="A8" s="207" t="s">
        <v>154</v>
      </c>
      <c r="B8" s="208" t="s">
        <v>109</v>
      </c>
      <c r="C8" s="209" t="s">
        <v>102</v>
      </c>
      <c r="D8" s="209" t="s">
        <v>187</v>
      </c>
      <c r="E8" s="209" t="s">
        <v>54</v>
      </c>
      <c r="F8" s="209" t="s">
        <v>66</v>
      </c>
      <c r="G8" s="209" t="s">
        <v>106</v>
      </c>
      <c r="H8" s="209"/>
      <c r="I8" s="208" t="s">
        <v>101</v>
      </c>
      <c r="J8" s="208" t="s">
        <v>54</v>
      </c>
      <c r="K8" s="210" t="s">
        <v>66</v>
      </c>
      <c r="L8" s="209" t="s">
        <v>106</v>
      </c>
    </row>
    <row r="9" spans="1:17" ht="12.75">
      <c r="A9" s="211" t="s">
        <v>0</v>
      </c>
      <c r="B9" s="212">
        <f aca="true" t="shared" si="0" ref="B9:G9">SUM(B11:B38)</f>
        <v>8689650315.240002</v>
      </c>
      <c r="C9" s="213">
        <f t="shared" si="0"/>
        <v>4369876179.82</v>
      </c>
      <c r="D9" s="212">
        <f t="shared" si="0"/>
        <v>72025253.59999998</v>
      </c>
      <c r="E9" s="213">
        <f t="shared" si="0"/>
        <v>3586692424.23</v>
      </c>
      <c r="F9" s="213">
        <f t="shared" si="0"/>
        <v>648726085.3400002</v>
      </c>
      <c r="G9" s="212">
        <f t="shared" si="0"/>
        <v>12330372.25</v>
      </c>
      <c r="H9" s="212"/>
      <c r="I9" s="214">
        <f>IF(B9&lt;&gt;0,((+C9+D9)/B9),(IF(C9&lt;&gt;0,1,0)))</f>
        <v>0.5111714824277503</v>
      </c>
      <c r="J9" s="214">
        <f>IF($B9&lt;&gt;0,(E9/$B9),(IF(E9&lt;&gt;0,1,0)))</f>
        <v>0.41275451762881876</v>
      </c>
      <c r="K9" s="214">
        <f>IF($B9&lt;&gt;0,(F9/$B9),(IF(F9&lt;&gt;0,1,0)))</f>
        <v>0.07465502774055907</v>
      </c>
      <c r="L9" s="214">
        <f>IF($B9&lt;&gt;0,(G9/$B9),(IF(G9&lt;&gt;0,1,0)))</f>
        <v>0.0014189722028716</v>
      </c>
      <c r="M9" s="80"/>
      <c r="N9" s="125"/>
      <c r="O9" s="125"/>
      <c r="P9" s="125"/>
      <c r="Q9" s="125"/>
    </row>
    <row r="10" spans="1:14" ht="12.75">
      <c r="A10" s="211"/>
      <c r="B10" s="215"/>
      <c r="C10" s="216"/>
      <c r="D10" s="217"/>
      <c r="E10" s="218"/>
      <c r="F10" s="218"/>
      <c r="G10" s="218"/>
      <c r="H10" s="218"/>
      <c r="I10" s="219"/>
      <c r="J10" s="219"/>
      <c r="K10" s="219"/>
      <c r="L10" s="219"/>
      <c r="M10" s="80"/>
      <c r="N10" s="122"/>
    </row>
    <row r="11" spans="1:17" ht="12.75">
      <c r="A11" s="220" t="s">
        <v>1</v>
      </c>
      <c r="B11" s="221">
        <f aca="true" t="shared" si="1" ref="B11:B38">SUM(C11:G11)</f>
        <v>94572808.77000001</v>
      </c>
      <c r="C11" s="164">
        <v>25778411.43</v>
      </c>
      <c r="D11" s="164">
        <v>398104.45</v>
      </c>
      <c r="E11" s="222">
        <f>state1!C12+'table 6'!G12</f>
        <v>55657046.96</v>
      </c>
      <c r="F11" s="223">
        <f>fed1!B12-'table 6'!I12</f>
        <v>12209097.46</v>
      </c>
      <c r="G11" s="164">
        <v>530148.47</v>
      </c>
      <c r="H11" s="221"/>
      <c r="I11" s="224">
        <f>IF(B11&lt;&gt;0,((+C11+D11)/B11*100),(IF(C11&lt;&gt;0,1,0)))</f>
        <v>27.678691391794217</v>
      </c>
      <c r="J11" s="224">
        <f>IF($B11&lt;&gt;0,(E11/$B11*100),(IF(E11&lt;&gt;0,1,0)))</f>
        <v>58.85100345846479</v>
      </c>
      <c r="K11" s="224">
        <f aca="true" t="shared" si="2" ref="K11:L26">IF($B11&lt;&gt;0,(F11/$B11*100),(IF(F11&lt;&gt;0,1,0)))</f>
        <v>12.909733377690397</v>
      </c>
      <c r="L11" s="224">
        <f t="shared" si="2"/>
        <v>0.5605717720505848</v>
      </c>
      <c r="M11" s="127"/>
      <c r="N11" s="126"/>
      <c r="Q11" s="127"/>
    </row>
    <row r="12" spans="1:17" ht="12.75">
      <c r="A12" s="220" t="s">
        <v>2</v>
      </c>
      <c r="B12" s="221">
        <f t="shared" si="1"/>
        <v>690120185.86</v>
      </c>
      <c r="C12" s="164">
        <v>414260500</v>
      </c>
      <c r="D12" s="278">
        <v>3923433.53</v>
      </c>
      <c r="E12" s="222">
        <f>state1!C13+'table 6'!G13</f>
        <v>228396801.41000003</v>
      </c>
      <c r="F12" s="223">
        <f>fed1!B13-'table 6'!I13</f>
        <v>43475302.919999994</v>
      </c>
      <c r="G12" s="164">
        <v>64148</v>
      </c>
      <c r="H12" s="225"/>
      <c r="I12" s="224">
        <f>IF(B12&lt;&gt;0,((+C12+D12)/B12*100),(IF(C12&lt;&gt;0,1,0)))</f>
        <v>60.595812453866415</v>
      </c>
      <c r="J12" s="224">
        <f>IF($B12&lt;&gt;0,(E12/$B12*100),(IF(E12&lt;&gt;0,1,0)))</f>
        <v>33.095221106361514</v>
      </c>
      <c r="K12" s="224">
        <f t="shared" si="2"/>
        <v>6.29967124723686</v>
      </c>
      <c r="L12" s="224">
        <f t="shared" si="2"/>
        <v>0.00929519253520477</v>
      </c>
      <c r="M12" s="80"/>
      <c r="N12" s="126"/>
      <c r="Q12" s="127"/>
    </row>
    <row r="13" spans="1:17" ht="12.75">
      <c r="A13" s="220" t="s">
        <v>3</v>
      </c>
      <c r="B13" s="221">
        <f t="shared" si="1"/>
        <v>1009395844.19</v>
      </c>
      <c r="C13" s="164">
        <v>202685137.09</v>
      </c>
      <c r="D13" s="164">
        <v>11672842.99</v>
      </c>
      <c r="E13" s="222">
        <f>state1!C14+'table 6'!G14</f>
        <v>647566411.0699999</v>
      </c>
      <c r="F13" s="223">
        <f>fed1!B14-'table 6'!I14</f>
        <v>147471453.04000002</v>
      </c>
      <c r="G13" s="222">
        <v>0</v>
      </c>
      <c r="H13" s="225"/>
      <c r="I13" s="224">
        <f>IF(B13&lt;&gt;0,((+C13+D13)/B13*100),(IF(C13&lt;&gt;0,1,0)))</f>
        <v>21.236265367430132</v>
      </c>
      <c r="J13" s="224">
        <f>IF($B13&lt;&gt;0,(E13/$B13*100),(IF(E13&lt;&gt;0,1,0)))</f>
        <v>64.15386142090233</v>
      </c>
      <c r="K13" s="224">
        <f t="shared" si="2"/>
        <v>14.609873211667518</v>
      </c>
      <c r="L13" s="224">
        <f t="shared" si="2"/>
        <v>0</v>
      </c>
      <c r="M13" s="80"/>
      <c r="N13" s="126"/>
      <c r="Q13" s="127"/>
    </row>
    <row r="14" spans="1:17" ht="12.75">
      <c r="A14" s="220" t="s">
        <v>4</v>
      </c>
      <c r="B14" s="221">
        <f t="shared" si="1"/>
        <v>1053427026.52</v>
      </c>
      <c r="C14" s="164">
        <v>570512546.79</v>
      </c>
      <c r="D14" s="164">
        <v>3758212.83</v>
      </c>
      <c r="E14" s="222">
        <f>state1!C15+'table 6'!G15</f>
        <v>395863501.39</v>
      </c>
      <c r="F14" s="223">
        <f>fed1!B15-'table 6'!I15</f>
        <v>75161577.50999999</v>
      </c>
      <c r="G14" s="94">
        <v>8131188</v>
      </c>
      <c r="H14" s="225"/>
      <c r="I14" s="224">
        <f>IF(B14&lt;&gt;0,((+C14+D14)/B14*100),(IF(C14&lt;&gt;0,1,0)))</f>
        <v>54.51452688821793</v>
      </c>
      <c r="J14" s="224">
        <f>IF($B14&lt;&gt;0,(E14/$B14*100),(IF(E14&lt;&gt;0,1,0)))</f>
        <v>37.57863538946181</v>
      </c>
      <c r="K14" s="224">
        <f t="shared" si="2"/>
        <v>7.134958152563879</v>
      </c>
      <c r="L14" s="224">
        <f t="shared" si="2"/>
        <v>0.7718795697563797</v>
      </c>
      <c r="M14" s="80"/>
      <c r="N14" s="126"/>
      <c r="Q14" s="127"/>
    </row>
    <row r="15" spans="1:17" ht="12.75">
      <c r="A15" s="220" t="s">
        <v>5</v>
      </c>
      <c r="B15" s="221">
        <f t="shared" si="1"/>
        <v>159272194.71</v>
      </c>
      <c r="C15" s="164">
        <v>80912612</v>
      </c>
      <c r="D15" s="164">
        <v>2493617.79</v>
      </c>
      <c r="E15" s="222">
        <f>state1!C16+'table 6'!G16</f>
        <v>67629728.88000001</v>
      </c>
      <c r="F15" s="223">
        <f>fed1!B16-'table 6'!I16</f>
        <v>8236236.040000001</v>
      </c>
      <c r="G15" s="226">
        <v>0</v>
      </c>
      <c r="H15" s="225"/>
      <c r="I15" s="224">
        <f>IF(B15&lt;&gt;0,((+C15+D15)/B15*100),(IF(C15&lt;&gt;0,1,0)))</f>
        <v>52.367100197159075</v>
      </c>
      <c r="J15" s="224">
        <f>IF($B15&lt;&gt;0,(E15/$B15*100),(IF(E15&lt;&gt;0,1,0)))</f>
        <v>42.46172974707797</v>
      </c>
      <c r="K15" s="224">
        <f t="shared" si="2"/>
        <v>5.171170055762962</v>
      </c>
      <c r="L15" s="224">
        <f t="shared" si="2"/>
        <v>0</v>
      </c>
      <c r="M15" s="80"/>
      <c r="N15" s="126"/>
      <c r="Q15" s="127"/>
    </row>
    <row r="16" spans="1:14" ht="12.75">
      <c r="A16" s="220"/>
      <c r="B16" s="221"/>
      <c r="C16" s="164"/>
      <c r="D16" s="222"/>
      <c r="E16" s="227"/>
      <c r="F16" s="223"/>
      <c r="G16" s="226"/>
      <c r="H16" s="225"/>
      <c r="I16" s="224"/>
      <c r="J16" s="224"/>
      <c r="K16" s="224"/>
      <c r="L16" s="224"/>
      <c r="M16" s="80"/>
      <c r="N16" s="126"/>
    </row>
    <row r="17" spans="1:17" ht="12.75">
      <c r="A17" s="220" t="s">
        <v>6</v>
      </c>
      <c r="B17" s="221">
        <f t="shared" si="1"/>
        <v>47577038.49</v>
      </c>
      <c r="C17" s="278">
        <v>10977114</v>
      </c>
      <c r="D17" s="164">
        <v>487227.34</v>
      </c>
      <c r="E17" s="222">
        <f>state1!C18+'table 6'!G18</f>
        <v>31087966.2</v>
      </c>
      <c r="F17" s="223">
        <f>fed1!B18-'table 6'!I18</f>
        <v>5024730.95</v>
      </c>
      <c r="G17" s="226">
        <v>0</v>
      </c>
      <c r="H17" s="225"/>
      <c r="I17" s="224">
        <f>IF(B17&lt;&gt;0,((+C17+D17)/B17*100),(IF(C17&lt;&gt;0,1,0)))</f>
        <v>24.09637443576829</v>
      </c>
      <c r="J17" s="224">
        <f>IF($B17&lt;&gt;0,(E17/$B17*100),(IF(E17&lt;&gt;0,1,0)))</f>
        <v>65.34237352023126</v>
      </c>
      <c r="K17" s="224">
        <f t="shared" si="2"/>
        <v>10.561252044000438</v>
      </c>
      <c r="L17" s="224">
        <f t="shared" si="2"/>
        <v>0</v>
      </c>
      <c r="M17" s="80"/>
      <c r="N17" s="126"/>
      <c r="Q17" s="127"/>
    </row>
    <row r="18" spans="1:17" ht="12.75">
      <c r="A18" s="220" t="s">
        <v>7</v>
      </c>
      <c r="B18" s="221">
        <f t="shared" si="1"/>
        <v>254735017.98</v>
      </c>
      <c r="C18" s="278">
        <v>126686908</v>
      </c>
      <c r="D18" s="164">
        <v>1604494</v>
      </c>
      <c r="E18" s="222">
        <f>state1!C19+'table 6'!G19</f>
        <v>112889101.31</v>
      </c>
      <c r="F18" s="223">
        <f>fed1!B19-'table 6'!I19</f>
        <v>13045697.67</v>
      </c>
      <c r="G18" s="94">
        <v>508817</v>
      </c>
      <c r="H18" s="225"/>
      <c r="I18" s="224">
        <f>IF(B18&lt;&gt;0,((+C18+D18)/B18*100),(IF(C18&lt;&gt;0,1,0)))</f>
        <v>50.36268786966406</v>
      </c>
      <c r="J18" s="224">
        <f>IF($B18&lt;&gt;0,(E18/$B18*100),(IF(E18&lt;&gt;0,1,0)))</f>
        <v>44.316286863576515</v>
      </c>
      <c r="K18" s="224">
        <f t="shared" si="2"/>
        <v>5.121281625686915</v>
      </c>
      <c r="L18" s="224">
        <f t="shared" si="2"/>
        <v>0.19974364107252374</v>
      </c>
      <c r="M18" s="80"/>
      <c r="N18" s="126"/>
      <c r="Q18" s="127"/>
    </row>
    <row r="19" spans="1:17" ht="12.75">
      <c r="A19" s="220" t="s">
        <v>8</v>
      </c>
      <c r="B19" s="221">
        <f t="shared" si="1"/>
        <v>143975961.39</v>
      </c>
      <c r="C19" s="278">
        <v>58708711</v>
      </c>
      <c r="D19" s="164">
        <v>904212.83</v>
      </c>
      <c r="E19" s="222">
        <f>state1!C20+'table 6'!G20</f>
        <v>74184742.53999999</v>
      </c>
      <c r="F19" s="223">
        <f>fed1!B20-'table 6'!I20</f>
        <v>10175706.27</v>
      </c>
      <c r="G19" s="94">
        <v>2588.75</v>
      </c>
      <c r="H19" s="225"/>
      <c r="I19" s="224">
        <f>IF(B19&lt;&gt;0,((+C19+D19)/B19*100),(IF(C19&lt;&gt;0,1,0)))</f>
        <v>41.40477566843355</v>
      </c>
      <c r="J19" s="224">
        <f>IF($B19&lt;&gt;0,(E19/$B19*100),(IF(E19&lt;&gt;0,1,0)))</f>
        <v>51.52578376542279</v>
      </c>
      <c r="K19" s="224">
        <f t="shared" si="2"/>
        <v>7.067642522932141</v>
      </c>
      <c r="L19" s="224">
        <f t="shared" si="2"/>
        <v>0.0017980432115244792</v>
      </c>
      <c r="M19" s="80"/>
      <c r="N19" s="126"/>
      <c r="Q19" s="127"/>
    </row>
    <row r="20" spans="1:17" ht="12.75">
      <c r="A20" s="220" t="s">
        <v>9</v>
      </c>
      <c r="B20" s="221">
        <f t="shared" si="1"/>
        <v>227332900.32</v>
      </c>
      <c r="C20" s="278">
        <v>101794000</v>
      </c>
      <c r="D20" s="164">
        <v>2774727.2</v>
      </c>
      <c r="E20" s="222">
        <f>state1!C21+'table 6'!G21</f>
        <v>108379802.43</v>
      </c>
      <c r="F20" s="223">
        <f>fed1!B21-'table 6'!I21</f>
        <v>14384370.690000003</v>
      </c>
      <c r="G20" s="94">
        <v>0</v>
      </c>
      <c r="H20" s="225"/>
      <c r="I20" s="224">
        <f>IF(B20&lt;&gt;0,((+C20+D20)/B20*100),(IF(C20&lt;&gt;0,1,0)))</f>
        <v>45.99806145648351</v>
      </c>
      <c r="J20" s="224">
        <f>IF($B20&lt;&gt;0,(E20/$B20*100),(IF(E20&lt;&gt;0,1,0)))</f>
        <v>47.67449070391555</v>
      </c>
      <c r="K20" s="224">
        <f t="shared" si="2"/>
        <v>6.327447839600943</v>
      </c>
      <c r="L20" s="224">
        <f t="shared" si="2"/>
        <v>0</v>
      </c>
      <c r="M20" s="80"/>
      <c r="N20" s="126"/>
      <c r="Q20" s="127"/>
    </row>
    <row r="21" spans="1:17" ht="12.75">
      <c r="A21" s="220" t="s">
        <v>10</v>
      </c>
      <c r="B21" s="221">
        <f t="shared" si="1"/>
        <v>45745415.370000005</v>
      </c>
      <c r="C21" s="278">
        <v>15220189</v>
      </c>
      <c r="D21" s="164">
        <v>705342.61</v>
      </c>
      <c r="E21" s="222">
        <f>state1!C22+'table 6'!G22</f>
        <v>23721366.45</v>
      </c>
      <c r="F21" s="223">
        <f>fed1!B22-'table 6'!I22</f>
        <v>6098517.3100000005</v>
      </c>
      <c r="G21" s="226">
        <v>0</v>
      </c>
      <c r="H21" s="225"/>
      <c r="I21" s="224">
        <f>IF(B21&lt;&gt;0,((+C21+D21)/B21*100),(IF(C21&lt;&gt;0,1,0)))</f>
        <v>34.81339382578656</v>
      </c>
      <c r="J21" s="224">
        <f>IF($B21&lt;&gt;0,(E21/$B21*100),(IF(E21&lt;&gt;0,1,0)))</f>
        <v>51.855177744339706</v>
      </c>
      <c r="K21" s="224">
        <f t="shared" si="2"/>
        <v>13.331428429873714</v>
      </c>
      <c r="L21" s="224">
        <f t="shared" si="2"/>
        <v>0</v>
      </c>
      <c r="M21" s="80"/>
      <c r="N21" s="126"/>
      <c r="Q21" s="127"/>
    </row>
    <row r="22" spans="1:14" ht="12.75">
      <c r="A22" s="220"/>
      <c r="B22" s="221"/>
      <c r="C22" s="164"/>
      <c r="D22" s="222"/>
      <c r="E22" s="227"/>
      <c r="F22" s="223"/>
      <c r="G22" s="226"/>
      <c r="H22" s="225"/>
      <c r="I22" s="224"/>
      <c r="J22" s="224"/>
      <c r="K22" s="224"/>
      <c r="L22" s="224"/>
      <c r="M22" s="80"/>
      <c r="N22" s="126"/>
    </row>
    <row r="23" spans="1:17" ht="12.75">
      <c r="A23" s="220" t="s">
        <v>11</v>
      </c>
      <c r="B23" s="221">
        <f t="shared" si="1"/>
        <v>343496095.69</v>
      </c>
      <c r="C23" s="164">
        <v>175505760.75</v>
      </c>
      <c r="D23" s="164">
        <v>3418961.17</v>
      </c>
      <c r="E23" s="222">
        <f>state1!C24+'table 6'!G24</f>
        <v>147654563.45000005</v>
      </c>
      <c r="F23" s="223">
        <f>fed1!B24-'table 6'!I24</f>
        <v>16916810.320000004</v>
      </c>
      <c r="G23" s="226">
        <v>0</v>
      </c>
      <c r="H23" s="225"/>
      <c r="I23" s="224">
        <f>IF(B23&lt;&gt;0,((+C23+D23)/B23*100),(IF(C23&lt;&gt;0,1,0)))</f>
        <v>52.08930295425449</v>
      </c>
      <c r="J23" s="224">
        <f aca="true" t="shared" si="3" ref="J23:L27">IF($B23&lt;&gt;0,(E23/$B23*100),(IF(E23&lt;&gt;0,1,0)))</f>
        <v>42.98580545825361</v>
      </c>
      <c r="K23" s="224">
        <f t="shared" si="2"/>
        <v>4.92489158749192</v>
      </c>
      <c r="L23" s="224">
        <f t="shared" si="2"/>
        <v>0</v>
      </c>
      <c r="M23" s="80"/>
      <c r="N23" s="126"/>
      <c r="Q23" s="127"/>
    </row>
    <row r="24" spans="1:17" ht="12.75">
      <c r="A24" s="220" t="s">
        <v>12</v>
      </c>
      <c r="B24" s="221">
        <f t="shared" si="1"/>
        <v>46219798.40999999</v>
      </c>
      <c r="C24" s="164">
        <v>18375339</v>
      </c>
      <c r="D24" s="164">
        <v>297808.81</v>
      </c>
      <c r="E24" s="222">
        <f>state1!C25+'table 6'!G25</f>
        <v>22468913.259999998</v>
      </c>
      <c r="F24" s="223">
        <f>fed1!B25-'table 6'!I25</f>
        <v>5040398.08</v>
      </c>
      <c r="G24" s="94">
        <v>37339.26</v>
      </c>
      <c r="H24" s="225"/>
      <c r="I24" s="224">
        <f>IF(B24&lt;&gt;0,((+C24+D24)/B24*100),(IF(C24&lt;&gt;0,1,0)))</f>
        <v>40.40075563367218</v>
      </c>
      <c r="J24" s="224">
        <f t="shared" si="3"/>
        <v>48.613178838829995</v>
      </c>
      <c r="K24" s="224">
        <f t="shared" si="2"/>
        <v>10.905279238321977</v>
      </c>
      <c r="L24" s="224">
        <f t="shared" si="2"/>
        <v>0.08078628917585538</v>
      </c>
      <c r="M24" s="80"/>
      <c r="N24" s="126"/>
      <c r="Q24" s="127"/>
    </row>
    <row r="25" spans="1:17" ht="12.75">
      <c r="A25" s="220" t="s">
        <v>13</v>
      </c>
      <c r="B25" s="221">
        <f t="shared" si="1"/>
        <v>339154687.56</v>
      </c>
      <c r="C25" s="164">
        <v>154047408</v>
      </c>
      <c r="D25" s="164">
        <v>2153185.36</v>
      </c>
      <c r="E25" s="222">
        <f>state1!C26+'table 6'!G26</f>
        <v>160970936.75999996</v>
      </c>
      <c r="F25" s="223">
        <f>fed1!B26-'table 6'!I26</f>
        <v>21412102.84</v>
      </c>
      <c r="G25" s="94">
        <v>571054.6</v>
      </c>
      <c r="H25" s="225"/>
      <c r="I25" s="224">
        <f>IF(B25&lt;&gt;0,((+C25+D25)/B25*100),(IF(C25&lt;&gt;0,1,0)))</f>
        <v>46.05585565800753</v>
      </c>
      <c r="J25" s="224">
        <f t="shared" si="3"/>
        <v>47.46239479043689</v>
      </c>
      <c r="K25" s="224">
        <f t="shared" si="2"/>
        <v>6.313373698015592</v>
      </c>
      <c r="L25" s="224">
        <f t="shared" si="2"/>
        <v>0.1683758535399793</v>
      </c>
      <c r="M25" s="80"/>
      <c r="N25" s="126"/>
      <c r="Q25" s="127"/>
    </row>
    <row r="26" spans="1:17" ht="12.75">
      <c r="A26" s="220" t="s">
        <v>14</v>
      </c>
      <c r="B26" s="221">
        <f t="shared" si="1"/>
        <v>510031686.38</v>
      </c>
      <c r="C26" s="164">
        <v>334589915</v>
      </c>
      <c r="D26" s="164">
        <v>6327095.609999999</v>
      </c>
      <c r="E26" s="222">
        <f>state1!C27+'table 6'!G27</f>
        <v>150467338.87999997</v>
      </c>
      <c r="F26" s="223">
        <f>fed1!B27-'table 6'!I27</f>
        <v>18544975.09</v>
      </c>
      <c r="G26" s="94">
        <v>102361.8</v>
      </c>
      <c r="H26" s="225"/>
      <c r="I26" s="224">
        <f>IF(B26&lt;&gt;0,((+C26+D26)/B26*100),(IF(C26&lt;&gt;0,1,0)))</f>
        <v>66.84231974481663</v>
      </c>
      <c r="J26" s="224">
        <f t="shared" si="3"/>
        <v>29.50156684341647</v>
      </c>
      <c r="K26" s="224">
        <f t="shared" si="2"/>
        <v>3.6360437175236666</v>
      </c>
      <c r="L26" s="224">
        <f t="shared" si="2"/>
        <v>0.020069694243219072</v>
      </c>
      <c r="M26" s="80"/>
      <c r="N26" s="126"/>
      <c r="Q26" s="127"/>
    </row>
    <row r="27" spans="1:17" ht="12.75">
      <c r="A27" s="220" t="s">
        <v>15</v>
      </c>
      <c r="B27" s="221">
        <f t="shared" si="1"/>
        <v>26788188.700000003</v>
      </c>
      <c r="C27" s="164">
        <v>13741730.040000001</v>
      </c>
      <c r="D27" s="164">
        <v>256841</v>
      </c>
      <c r="E27" s="222">
        <f>state1!C28+'table 6'!G28</f>
        <v>9842566.17</v>
      </c>
      <c r="F27" s="223">
        <f>fed1!B28-'table 6'!I28</f>
        <v>2947051.49</v>
      </c>
      <c r="G27" s="94">
        <v>0</v>
      </c>
      <c r="H27" s="225"/>
      <c r="I27" s="224">
        <f>IF(B27&lt;&gt;0,((+C27+D27)/B27*100),(IF(C27&lt;&gt;0,1,0)))</f>
        <v>52.256504524324185</v>
      </c>
      <c r="J27" s="224">
        <f t="shared" si="3"/>
        <v>36.742186193424864</v>
      </c>
      <c r="K27" s="224">
        <f t="shared" si="3"/>
        <v>11.00130928225095</v>
      </c>
      <c r="L27" s="224">
        <f t="shared" si="3"/>
        <v>0</v>
      </c>
      <c r="M27" s="80"/>
      <c r="N27" s="126"/>
      <c r="Q27" s="127"/>
    </row>
    <row r="28" spans="1:14" ht="12.75">
      <c r="A28" s="220"/>
      <c r="B28" s="221"/>
      <c r="C28" s="222"/>
      <c r="D28" s="222"/>
      <c r="E28" s="227"/>
      <c r="F28" s="223"/>
      <c r="G28" s="226"/>
      <c r="H28" s="225"/>
      <c r="I28" s="224"/>
      <c r="J28" s="224"/>
      <c r="K28" s="224"/>
      <c r="L28" s="224"/>
      <c r="M28" s="80"/>
      <c r="N28" s="126"/>
    </row>
    <row r="29" spans="1:17" ht="12.75">
      <c r="A29" s="220" t="s">
        <v>16</v>
      </c>
      <c r="B29" s="221">
        <f t="shared" si="1"/>
        <v>1668037742.85</v>
      </c>
      <c r="C29" s="164">
        <v>1210596320.69</v>
      </c>
      <c r="D29" s="164">
        <v>13761862.28</v>
      </c>
      <c r="E29" s="222">
        <f>state1!C30+'table 6'!G30</f>
        <v>358041178.54999995</v>
      </c>
      <c r="F29" s="223">
        <f>fed1!B30-'table 6'!I30</f>
        <v>84598930.8</v>
      </c>
      <c r="G29" s="94">
        <v>1039450.53</v>
      </c>
      <c r="H29" s="225"/>
      <c r="I29" s="224">
        <f>IF(B29&lt;&gt;0,((+C29+D29)/B29*100),(IF(C29&lt;&gt;0,1,0)))</f>
        <v>73.4011078717001</v>
      </c>
      <c r="J29" s="224">
        <f aca="true" t="shared" si="4" ref="J29:L33">IF($B29&lt;&gt;0,(E29/$B29*100),(IF(E29&lt;&gt;0,1,0)))</f>
        <v>21.46481277685317</v>
      </c>
      <c r="K29" s="224">
        <f t="shared" si="4"/>
        <v>5.071763583445945</v>
      </c>
      <c r="L29" s="224">
        <f t="shared" si="4"/>
        <v>0.06231576800078881</v>
      </c>
      <c r="M29" s="80"/>
      <c r="N29" s="126"/>
      <c r="Q29" s="127"/>
    </row>
    <row r="30" spans="1:17" ht="12.75">
      <c r="A30" s="220" t="s">
        <v>17</v>
      </c>
      <c r="B30" s="221">
        <f t="shared" si="1"/>
        <v>1352691239.01</v>
      </c>
      <c r="C30" s="164">
        <v>548083712.6899999</v>
      </c>
      <c r="D30" s="164">
        <v>11800313.44</v>
      </c>
      <c r="E30" s="222">
        <f>state1!C31+'table 6'!G31</f>
        <v>690033806.3499999</v>
      </c>
      <c r="F30" s="223">
        <f>fed1!B31-'table 6'!I31</f>
        <v>102773406.53000002</v>
      </c>
      <c r="G30" s="94">
        <v>0</v>
      </c>
      <c r="H30" s="225"/>
      <c r="I30" s="224">
        <f>IF(B30&lt;&gt;0,((+C30+D30)/B30*100),(IF(C30&lt;&gt;0,1,0)))</f>
        <v>41.39037867501565</v>
      </c>
      <c r="J30" s="224">
        <f t="shared" si="4"/>
        <v>51.01192248831433</v>
      </c>
      <c r="K30" s="224">
        <f t="shared" si="4"/>
        <v>7.597698836670018</v>
      </c>
      <c r="L30" s="224">
        <f t="shared" si="4"/>
        <v>0</v>
      </c>
      <c r="M30" s="80"/>
      <c r="N30" s="126"/>
      <c r="Q30" s="127"/>
    </row>
    <row r="31" spans="1:17" ht="12.75">
      <c r="A31" s="220" t="s">
        <v>18</v>
      </c>
      <c r="B31" s="221">
        <f t="shared" si="1"/>
        <v>66787614.96</v>
      </c>
      <c r="C31" s="164">
        <v>36587413</v>
      </c>
      <c r="D31" s="278">
        <v>456663.07</v>
      </c>
      <c r="E31" s="222">
        <f>state1!C32+'table 6'!G32</f>
        <v>24992228.93</v>
      </c>
      <c r="F31" s="223">
        <f>fed1!B32-'table 6'!I32</f>
        <v>4735390.99</v>
      </c>
      <c r="G31" s="94">
        <v>15918.97</v>
      </c>
      <c r="H31" s="225"/>
      <c r="I31" s="224">
        <f>IF(B31&lt;&gt;0,((+C31+D31)/B31*100),(IF(C31&lt;&gt;0,1,0)))</f>
        <v>55.46548726464658</v>
      </c>
      <c r="J31" s="224">
        <f t="shared" si="4"/>
        <v>37.420454293761175</v>
      </c>
      <c r="K31" s="224">
        <f t="shared" si="4"/>
        <v>7.090223229016472</v>
      </c>
      <c r="L31" s="224">
        <f t="shared" si="4"/>
        <v>0.023835212575765857</v>
      </c>
      <c r="M31" s="80"/>
      <c r="N31" s="126"/>
      <c r="Q31" s="127"/>
    </row>
    <row r="32" spans="1:17" ht="12.75">
      <c r="A32" s="220" t="s">
        <v>19</v>
      </c>
      <c r="B32" s="221">
        <f t="shared" si="1"/>
        <v>141977591.98000002</v>
      </c>
      <c r="C32" s="164">
        <v>58900000</v>
      </c>
      <c r="D32" s="278">
        <v>747730.6</v>
      </c>
      <c r="E32" s="222">
        <f>state1!C33+'table 6'!G33</f>
        <v>68420391.76</v>
      </c>
      <c r="F32" s="223">
        <f>fed1!B33-'table 6'!I33</f>
        <v>13832065.21</v>
      </c>
      <c r="G32" s="94">
        <v>77404.41</v>
      </c>
      <c r="H32" s="225"/>
      <c r="I32" s="224">
        <f>IF(B32&lt;&gt;0,((+C32+D32)/B32*100),(IF(C32&lt;&gt;0,1,0)))</f>
        <v>42.01207371400017</v>
      </c>
      <c r="J32" s="224">
        <f t="shared" si="4"/>
        <v>48.190979157921056</v>
      </c>
      <c r="K32" s="224">
        <f t="shared" si="4"/>
        <v>9.742428376971265</v>
      </c>
      <c r="L32" s="224">
        <f t="shared" si="4"/>
        <v>0.05451875110750135</v>
      </c>
      <c r="M32" s="80"/>
      <c r="N32" s="126"/>
      <c r="Q32" s="127"/>
    </row>
    <row r="33" spans="1:17" ht="12.75">
      <c r="A33" s="220" t="s">
        <v>20</v>
      </c>
      <c r="B33" s="221">
        <f t="shared" si="1"/>
        <v>30885771.17</v>
      </c>
      <c r="C33" s="164">
        <v>8499357</v>
      </c>
      <c r="D33" s="164">
        <v>312929.31</v>
      </c>
      <c r="E33" s="222">
        <f>state1!C34+'table 6'!G34</f>
        <v>17572488.54</v>
      </c>
      <c r="F33" s="223">
        <f>fed1!B34-'table 6'!I34</f>
        <v>4500996.32</v>
      </c>
      <c r="G33" s="226">
        <v>0</v>
      </c>
      <c r="H33" s="225"/>
      <c r="I33" s="224">
        <f>IF(B33&lt;&gt;0,((+C33+D33)/B33*100),(IF(C33&lt;&gt;0,1,0)))</f>
        <v>28.531864273343967</v>
      </c>
      <c r="J33" s="224">
        <f t="shared" si="4"/>
        <v>56.8950940006592</v>
      </c>
      <c r="K33" s="224">
        <f t="shared" si="4"/>
        <v>14.573041725996832</v>
      </c>
      <c r="L33" s="224">
        <f t="shared" si="4"/>
        <v>0</v>
      </c>
      <c r="M33" s="80"/>
      <c r="N33" s="126"/>
      <c r="Q33" s="127"/>
    </row>
    <row r="34" spans="1:14" ht="12.75">
      <c r="A34" s="220"/>
      <c r="B34" s="221"/>
      <c r="C34" s="196"/>
      <c r="D34" s="222"/>
      <c r="E34" s="222"/>
      <c r="F34" s="223"/>
      <c r="G34" s="226"/>
      <c r="H34" s="225"/>
      <c r="I34" s="224"/>
      <c r="J34" s="224"/>
      <c r="K34" s="224"/>
      <c r="L34" s="224"/>
      <c r="M34" s="80"/>
      <c r="N34" s="126"/>
    </row>
    <row r="35" spans="1:17" ht="12.75">
      <c r="A35" s="220" t="s">
        <v>21</v>
      </c>
      <c r="B35" s="221">
        <f t="shared" si="1"/>
        <v>41075062.919999994</v>
      </c>
      <c r="C35" s="164">
        <v>26361279.5</v>
      </c>
      <c r="D35" s="164">
        <v>488307.65</v>
      </c>
      <c r="E35" s="222">
        <f>state1!C36+'table 6'!G36</f>
        <v>11131252.419999998</v>
      </c>
      <c r="F35" s="223">
        <f>fed1!B36-'table 6'!I36</f>
        <v>3078642.3499999996</v>
      </c>
      <c r="G35" s="94">
        <v>15581</v>
      </c>
      <c r="H35" s="225"/>
      <c r="I35" s="224">
        <f>IF(B35&lt;&gt;0,((+C35+D35)/B35*100),(IF(C35&lt;&gt;0,1,0)))</f>
        <v>65.36712360561371</v>
      </c>
      <c r="J35" s="224">
        <f aca="true" t="shared" si="5" ref="J35:L38">IF($B35&lt;&gt;0,(E35/$B35*100),(IF(E35&lt;&gt;0,1,0)))</f>
        <v>27.099781786530247</v>
      </c>
      <c r="K35" s="224">
        <f t="shared" si="5"/>
        <v>7.49516161666296</v>
      </c>
      <c r="L35" s="224">
        <f t="shared" si="5"/>
        <v>0.03793299119309055</v>
      </c>
      <c r="M35" s="80"/>
      <c r="N35" s="126"/>
      <c r="Q35" s="127"/>
    </row>
    <row r="36" spans="1:17" ht="12.75">
      <c r="A36" s="220" t="s">
        <v>22</v>
      </c>
      <c r="B36" s="221">
        <f t="shared" si="1"/>
        <v>183325679.72999996</v>
      </c>
      <c r="C36" s="164">
        <v>78816610</v>
      </c>
      <c r="D36" s="164">
        <v>967445.16</v>
      </c>
      <c r="E36" s="222">
        <f>state1!C37+'table 6'!G37</f>
        <v>88877450.30999999</v>
      </c>
      <c r="F36" s="223">
        <f>fed1!B37-'table 6'!I37</f>
        <v>14251701.41</v>
      </c>
      <c r="G36" s="94">
        <v>412472.85</v>
      </c>
      <c r="H36" s="225"/>
      <c r="I36" s="224">
        <f>IF(B36&lt;&gt;0,((+C36+D36)/B36*100),(IF(C36&lt;&gt;0,1,0)))</f>
        <v>43.52039238447394</v>
      </c>
      <c r="J36" s="224">
        <f t="shared" si="5"/>
        <v>48.480633177467396</v>
      </c>
      <c r="K36" s="224">
        <f t="shared" si="5"/>
        <v>7.773979854317053</v>
      </c>
      <c r="L36" s="224">
        <f t="shared" si="5"/>
        <v>0.22499458374161518</v>
      </c>
      <c r="M36" s="80"/>
      <c r="N36" s="126"/>
      <c r="Q36" s="127"/>
    </row>
    <row r="37" spans="1:17" ht="12.75">
      <c r="A37" s="220" t="s">
        <v>23</v>
      </c>
      <c r="B37" s="221">
        <f t="shared" si="1"/>
        <v>135505659.68</v>
      </c>
      <c r="C37" s="164">
        <v>46131073</v>
      </c>
      <c r="D37" s="164">
        <v>1935285.83</v>
      </c>
      <c r="E37" s="222">
        <f>state1!C38+'table 6'!G38</f>
        <v>73174887.38</v>
      </c>
      <c r="F37" s="223">
        <f>fed1!B38-'table 6'!I38</f>
        <v>13442514.860000001</v>
      </c>
      <c r="G37" s="94">
        <v>821898.61</v>
      </c>
      <c r="H37" s="225"/>
      <c r="I37" s="224">
        <f>IF(B37&lt;&gt;0,((+C37+D37)/B37*100),(IF(C37&lt;&gt;0,1,0)))</f>
        <v>35.47184593138759</v>
      </c>
      <c r="J37" s="224">
        <f t="shared" si="5"/>
        <v>54.00135134783618</v>
      </c>
      <c r="K37" s="224">
        <f t="shared" si="5"/>
        <v>9.92026081548537</v>
      </c>
      <c r="L37" s="224">
        <f t="shared" si="5"/>
        <v>0.6065419052908447</v>
      </c>
      <c r="M37" s="80"/>
      <c r="N37" s="126"/>
      <c r="Q37" s="127"/>
    </row>
    <row r="38" spans="1:17" ht="12.75">
      <c r="A38" s="228" t="s">
        <v>24</v>
      </c>
      <c r="B38" s="229">
        <f t="shared" si="1"/>
        <v>77519102.60000001</v>
      </c>
      <c r="C38" s="277">
        <v>52104131.84</v>
      </c>
      <c r="D38" s="277">
        <v>378608.74</v>
      </c>
      <c r="E38" s="310">
        <f>state1!C39+'table 6'!G39</f>
        <v>17667952.830000002</v>
      </c>
      <c r="F38" s="230">
        <f>fed1!B39-'table 6'!I39</f>
        <v>7368409.1899999995</v>
      </c>
      <c r="G38" s="98">
        <v>0</v>
      </c>
      <c r="H38" s="229"/>
      <c r="I38" s="231">
        <f>IF(B38&lt;&gt;0,((+C38+D38)/B38*100),(IF(C38&lt;&gt;0,1,0)))</f>
        <v>67.70297748519086</v>
      </c>
      <c r="J38" s="231">
        <f t="shared" si="5"/>
        <v>22.791740664448817</v>
      </c>
      <c r="K38" s="231">
        <f t="shared" si="5"/>
        <v>9.505281850360326</v>
      </c>
      <c r="L38" s="231">
        <f t="shared" si="5"/>
        <v>0</v>
      </c>
      <c r="M38" s="80"/>
      <c r="N38" s="126"/>
      <c r="Q38" s="127"/>
    </row>
    <row r="39" spans="1:11" ht="12.75">
      <c r="A39" s="232" t="s">
        <v>177</v>
      </c>
      <c r="D39" s="233"/>
      <c r="I39" s="234"/>
      <c r="J39" s="234"/>
      <c r="K39" s="234"/>
    </row>
    <row r="40" spans="1:4" ht="12.75">
      <c r="A40" s="72" t="s">
        <v>264</v>
      </c>
      <c r="D40" s="233"/>
    </row>
    <row r="41" spans="1:4" ht="12.75">
      <c r="A41" s="235"/>
      <c r="D41" s="233"/>
    </row>
    <row r="42" spans="1:4" ht="12.75">
      <c r="A42" s="235"/>
      <c r="D42" s="233"/>
    </row>
    <row r="43" ht="12.75">
      <c r="D43" s="233"/>
    </row>
    <row r="44" ht="12.75">
      <c r="D44" s="233"/>
    </row>
    <row r="45" ht="12.75">
      <c r="D45" s="233"/>
    </row>
  </sheetData>
  <sheetProtection password="C935" sheet="1" objects="1" scenarios="1"/>
  <mergeCells count="6">
    <mergeCell ref="C7:D7"/>
    <mergeCell ref="C6:F6"/>
    <mergeCell ref="I6:L6"/>
    <mergeCell ref="A1:L1"/>
    <mergeCell ref="A3:L3"/>
    <mergeCell ref="A4:L4"/>
  </mergeCells>
  <printOptions/>
  <pageMargins left="0.69" right="0.24" top="1" bottom="1" header="0.5" footer="0.5"/>
  <pageSetup fitToHeight="1" fitToWidth="1" horizontalDpi="600" verticalDpi="600" orientation="landscape" scale="89" r:id="rId1"/>
  <headerFooter alignWithMargins="0">
    <oddFooter>&amp;L&amp;"Arial,Italic"&amp;9MSDE-DBS  11 / 2006&amp;C- 2 -&amp;R&amp;"Arial,Italic"&amp;9Selected Financial Data-Part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6"/>
  <sheetViews>
    <sheetView workbookViewId="0" topLeftCell="B1">
      <selection activeCell="L11" sqref="L11"/>
    </sheetView>
  </sheetViews>
  <sheetFormatPr defaultColWidth="9.140625" defaultRowHeight="12.75"/>
  <cols>
    <col min="1" max="1" width="14.140625" style="199" customWidth="1"/>
    <col min="2" max="3" width="17.7109375" style="199" bestFit="1" customWidth="1"/>
    <col min="4" max="4" width="15.00390625" style="199" bestFit="1" customWidth="1"/>
    <col min="5" max="5" width="17.7109375" style="199" bestFit="1" customWidth="1"/>
    <col min="6" max="7" width="16.00390625" style="199" bestFit="1" customWidth="1"/>
    <col min="8" max="8" width="2.7109375" style="199" customWidth="1"/>
    <col min="9" max="12" width="9.140625" style="199" customWidth="1"/>
    <col min="15" max="15" width="16.00390625" style="0" bestFit="1" customWidth="1"/>
    <col min="16" max="16" width="14.8515625" style="0" customWidth="1"/>
    <col min="17" max="17" width="15.00390625" style="0" bestFit="1" customWidth="1"/>
  </cols>
  <sheetData>
    <row r="1" spans="1:12" ht="12.75">
      <c r="A1" s="371" t="s">
        <v>127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3" spans="1:12" ht="12.75">
      <c r="A3" s="371" t="s">
        <v>297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2" ht="12.75">
      <c r="A4" s="371" t="s">
        <v>155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3.5" thickBot="1">
      <c r="A5" s="27"/>
      <c r="B5" s="27"/>
      <c r="C5" s="27"/>
      <c r="D5" s="27"/>
      <c r="E5" s="27"/>
      <c r="F5" s="27"/>
      <c r="G5" s="27"/>
      <c r="H5" s="27"/>
      <c r="I5" s="60"/>
      <c r="J5" s="27"/>
      <c r="K5" s="27"/>
      <c r="L5" s="27"/>
    </row>
    <row r="6" spans="1:59" ht="15" customHeight="1" thickTop="1">
      <c r="A6" s="237" t="s">
        <v>101</v>
      </c>
      <c r="B6" s="238" t="s">
        <v>53</v>
      </c>
      <c r="C6" s="369" t="s">
        <v>105</v>
      </c>
      <c r="D6" s="369"/>
      <c r="E6" s="370"/>
      <c r="F6" s="370"/>
      <c r="G6" s="237"/>
      <c r="H6" s="237"/>
      <c r="I6" s="369" t="s">
        <v>107</v>
      </c>
      <c r="J6" s="369"/>
      <c r="K6" s="369"/>
      <c r="L6" s="369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12" ht="12.75">
      <c r="A7" s="41" t="s">
        <v>41</v>
      </c>
      <c r="B7" s="239" t="s">
        <v>108</v>
      </c>
      <c r="C7" s="368" t="s">
        <v>101</v>
      </c>
      <c r="D7" s="368"/>
      <c r="E7" s="240"/>
      <c r="F7" s="240"/>
      <c r="G7" s="239" t="s">
        <v>103</v>
      </c>
      <c r="H7" s="239"/>
      <c r="I7" s="241"/>
      <c r="J7" s="241"/>
      <c r="K7" s="241"/>
      <c r="L7" s="241" t="s">
        <v>103</v>
      </c>
    </row>
    <row r="8" spans="1:17" ht="13.5" thickBot="1">
      <c r="A8" s="67" t="s">
        <v>154</v>
      </c>
      <c r="B8" s="242" t="s">
        <v>109</v>
      </c>
      <c r="C8" s="64" t="s">
        <v>102</v>
      </c>
      <c r="D8" s="64" t="s">
        <v>104</v>
      </c>
      <c r="E8" s="64" t="s">
        <v>54</v>
      </c>
      <c r="F8" s="64" t="s">
        <v>66</v>
      </c>
      <c r="G8" s="64" t="s">
        <v>106</v>
      </c>
      <c r="H8" s="64"/>
      <c r="I8" s="242" t="s">
        <v>101</v>
      </c>
      <c r="J8" s="242" t="s">
        <v>54</v>
      </c>
      <c r="K8" s="243" t="s">
        <v>66</v>
      </c>
      <c r="L8" s="64" t="s">
        <v>106</v>
      </c>
      <c r="O8" s="3"/>
      <c r="P8" s="3"/>
      <c r="Q8" s="3"/>
    </row>
    <row r="9" spans="1:17" ht="12.75">
      <c r="A9" s="41" t="s">
        <v>0</v>
      </c>
      <c r="B9" s="257">
        <f aca="true" t="shared" si="0" ref="B9:G9">SUM(B11:B38)</f>
        <v>8286469683.799998</v>
      </c>
      <c r="C9" s="257">
        <f t="shared" si="0"/>
        <v>4369876179.82</v>
      </c>
      <c r="D9" s="257">
        <f t="shared" si="0"/>
        <v>72023772.15999998</v>
      </c>
      <c r="E9" s="257">
        <f t="shared" si="0"/>
        <v>3183513274.23</v>
      </c>
      <c r="F9" s="257">
        <f t="shared" si="0"/>
        <v>648726085.3400002</v>
      </c>
      <c r="G9" s="257">
        <f t="shared" si="0"/>
        <v>12330372.25</v>
      </c>
      <c r="H9" s="244"/>
      <c r="I9" s="245">
        <f>IF(B9&lt;&gt;0,((+C9+D9)/B9),(IF(C9&lt;&gt;0,1,0)))</f>
        <v>0.5360425031981821</v>
      </c>
      <c r="J9" s="245">
        <f>IF($B9&lt;&gt;0,(E9/$B9),(IF(E9&lt;&gt;0,1,0)))</f>
        <v>0.3841820939083082</v>
      </c>
      <c r="K9" s="245">
        <f>IF($B9&lt;&gt;0,(F9/$B9),(IF(F9&lt;&gt;0,1,0)))</f>
        <v>0.07828739017874596</v>
      </c>
      <c r="L9" s="245">
        <f>IF($B9&lt;&gt;0,(G9/$B9),(IF(G9&lt;&gt;0,1,0)))</f>
        <v>0.001488012714763901</v>
      </c>
      <c r="O9" s="123"/>
      <c r="P9" s="123"/>
      <c r="Q9" s="22"/>
    </row>
    <row r="10" spans="1:17" ht="12.75">
      <c r="A10" s="41"/>
      <c r="B10" s="246"/>
      <c r="C10" s="247"/>
      <c r="D10" s="65"/>
      <c r="E10" s="244"/>
      <c r="F10" s="263"/>
      <c r="G10" s="241"/>
      <c r="H10" s="241"/>
      <c r="I10" s="248"/>
      <c r="J10" s="248"/>
      <c r="K10" s="248"/>
      <c r="L10" s="248"/>
      <c r="O10" s="3"/>
      <c r="P10" s="56"/>
      <c r="Q10" s="3"/>
    </row>
    <row r="11" spans="1:17" ht="12.75">
      <c r="A11" s="27" t="s">
        <v>1</v>
      </c>
      <c r="B11" s="258">
        <f aca="true" t="shared" si="1" ref="B11:B38">SUM(C11:G11)</f>
        <v>90366594.77000001</v>
      </c>
      <c r="C11" s="164">
        <v>25778411.43</v>
      </c>
      <c r="D11" s="164">
        <v>398104.45</v>
      </c>
      <c r="E11" s="226">
        <f>state1!C12-state1!K12+'table 6'!G12</f>
        <v>51450832.96</v>
      </c>
      <c r="F11" s="223">
        <f>fed1!B12-fed2!K12</f>
        <v>12209097.46</v>
      </c>
      <c r="G11" s="164">
        <v>530148.47</v>
      </c>
      <c r="H11" s="259"/>
      <c r="I11" s="256">
        <f aca="true" t="shared" si="2" ref="I11:I38">IF(B11&lt;&gt;0,((+C11+D11)/B11*100),(IF(C11&lt;&gt;0,1,0)))</f>
        <v>28.96702697122112</v>
      </c>
      <c r="J11" s="256">
        <f>IF($B11&lt;&gt;0,(E11/$B11*100),(IF(E11&lt;&gt;0,1,0)))</f>
        <v>56.935677493383544</v>
      </c>
      <c r="K11" s="256">
        <f aca="true" t="shared" si="3" ref="K11:L15">IF($B11&lt;&gt;0,(F11/$B11*100),(IF(F11&lt;&gt;0,1,0)))</f>
        <v>13.510631324633234</v>
      </c>
      <c r="L11" s="256">
        <f t="shared" si="3"/>
        <v>0.5866642107620936</v>
      </c>
      <c r="M11" s="20"/>
      <c r="O11" s="22"/>
      <c r="P11" s="89"/>
      <c r="Q11" s="22"/>
    </row>
    <row r="12" spans="1:17" ht="12.75">
      <c r="A12" s="199" t="s">
        <v>2</v>
      </c>
      <c r="B12" s="226">
        <f t="shared" si="1"/>
        <v>657930968.86</v>
      </c>
      <c r="C12" s="164">
        <v>414260500</v>
      </c>
      <c r="D12" s="145">
        <v>3923433.53</v>
      </c>
      <c r="E12" s="226">
        <f>state1!C13-state1!K13+'table 6'!G13</f>
        <v>196207584.41000003</v>
      </c>
      <c r="F12" s="223">
        <f>fed1!B13-fed2!K13</f>
        <v>43475302.919999994</v>
      </c>
      <c r="G12" s="164">
        <v>64148</v>
      </c>
      <c r="H12" s="233"/>
      <c r="I12" s="256">
        <f t="shared" si="2"/>
        <v>63.56045745263963</v>
      </c>
      <c r="J12" s="256">
        <f>IF($B12&lt;&gt;0,(E12/$B12*100),(IF(E12&lt;&gt;0,1,0)))</f>
        <v>29.82191045817007</v>
      </c>
      <c r="K12" s="256">
        <f t="shared" si="3"/>
        <v>6.607882130146549</v>
      </c>
      <c r="L12" s="256">
        <f t="shared" si="3"/>
        <v>0.009749959043750369</v>
      </c>
      <c r="O12" s="22"/>
      <c r="P12" s="89"/>
      <c r="Q12" s="22"/>
    </row>
    <row r="13" spans="1:17" ht="12.75">
      <c r="A13" s="199" t="s">
        <v>3</v>
      </c>
      <c r="B13" s="226">
        <f t="shared" si="1"/>
        <v>963056389.19</v>
      </c>
      <c r="C13" s="164">
        <v>202685137.09</v>
      </c>
      <c r="D13" s="164">
        <v>11672842.99</v>
      </c>
      <c r="E13" s="226">
        <f>state1!C14-state1!K14+'table 6'!G14</f>
        <v>601226956.0699999</v>
      </c>
      <c r="F13" s="223">
        <f>fed1!B14-fed2!K14</f>
        <v>147471453.04000002</v>
      </c>
      <c r="G13" s="222">
        <v>0</v>
      </c>
      <c r="H13" s="233"/>
      <c r="I13" s="256">
        <f>IF(B13&lt;&gt;0,((+C13+D13)/B13*100),(IF(C13&lt;&gt;0,1,0)))</f>
        <v>22.258092307584455</v>
      </c>
      <c r="J13" s="256">
        <f>IF($B13&lt;&gt;0,(E13/$B13*100),(IF(E13&lt;&gt;0,1,0)))</f>
        <v>62.42905013855681</v>
      </c>
      <c r="K13" s="256">
        <f t="shared" si="3"/>
        <v>15.312857553858727</v>
      </c>
      <c r="L13" s="256">
        <f t="shared" si="3"/>
        <v>0</v>
      </c>
      <c r="O13" s="22"/>
      <c r="P13" s="89"/>
      <c r="Q13" s="22"/>
    </row>
    <row r="14" spans="1:17" ht="12.75">
      <c r="A14" s="199" t="s">
        <v>4</v>
      </c>
      <c r="B14" s="226">
        <f t="shared" si="1"/>
        <v>1003950505.52</v>
      </c>
      <c r="C14" s="94">
        <v>570512546.79</v>
      </c>
      <c r="D14" s="94">
        <v>3758212.83</v>
      </c>
      <c r="E14" s="226">
        <f>state1!C15-state1!K15+'table 6'!G15</f>
        <v>346386980.39</v>
      </c>
      <c r="F14" s="223">
        <f>fed1!B15-fed2!K15</f>
        <v>75161577.50999999</v>
      </c>
      <c r="G14" s="94">
        <v>8131188</v>
      </c>
      <c r="H14" s="233"/>
      <c r="I14" s="256">
        <f t="shared" si="2"/>
        <v>57.20110269007278</v>
      </c>
      <c r="J14" s="256">
        <f>IF($B14&lt;&gt;0,(E14/$B14*100),(IF(E14&lt;&gt;0,1,0)))</f>
        <v>34.50239613262484</v>
      </c>
      <c r="K14" s="256">
        <f t="shared" si="3"/>
        <v>7.48658196761102</v>
      </c>
      <c r="L14" s="256">
        <f t="shared" si="3"/>
        <v>0.8099192096913602</v>
      </c>
      <c r="O14" s="22"/>
      <c r="P14" s="89"/>
      <c r="Q14" s="22"/>
    </row>
    <row r="15" spans="1:17" ht="12.75">
      <c r="A15" s="199" t="s">
        <v>5</v>
      </c>
      <c r="B15" s="226">
        <f t="shared" si="1"/>
        <v>151603119.71</v>
      </c>
      <c r="C15" s="94">
        <v>80912612</v>
      </c>
      <c r="D15" s="94">
        <v>2493617.79</v>
      </c>
      <c r="E15" s="226">
        <f>state1!C16-state1!K16+'table 6'!G16</f>
        <v>59960653.88</v>
      </c>
      <c r="F15" s="223">
        <f>fed1!B16-fed2!K16</f>
        <v>8236236.040000001</v>
      </c>
      <c r="G15" s="226">
        <v>0</v>
      </c>
      <c r="H15" s="233"/>
      <c r="I15" s="256">
        <f t="shared" si="2"/>
        <v>55.01616981863361</v>
      </c>
      <c r="J15" s="256">
        <f>IF($B15&lt;&gt;0,(E15/$B15*100),(IF(E15&lt;&gt;0,1,0)))</f>
        <v>39.55106860247869</v>
      </c>
      <c r="K15" s="256">
        <f t="shared" si="3"/>
        <v>5.432761578887697</v>
      </c>
      <c r="L15" s="256">
        <f t="shared" si="3"/>
        <v>0</v>
      </c>
      <c r="O15" s="22"/>
      <c r="P15" s="89"/>
      <c r="Q15" s="22"/>
    </row>
    <row r="16" spans="2:17" ht="12.75">
      <c r="B16" s="226"/>
      <c r="C16" s="94"/>
      <c r="D16" s="226"/>
      <c r="E16" s="226"/>
      <c r="F16" s="223"/>
      <c r="G16" s="226"/>
      <c r="H16" s="233"/>
      <c r="I16" s="256"/>
      <c r="J16" s="256"/>
      <c r="K16" s="256"/>
      <c r="L16" s="256"/>
      <c r="O16" s="22"/>
      <c r="P16" s="50"/>
      <c r="Q16" s="3"/>
    </row>
    <row r="17" spans="1:17" ht="12.75">
      <c r="A17" s="199" t="s">
        <v>6</v>
      </c>
      <c r="B17" s="226">
        <f t="shared" si="1"/>
        <v>45225342.49</v>
      </c>
      <c r="C17" s="145">
        <v>10977114</v>
      </c>
      <c r="D17" s="94">
        <v>487227.34</v>
      </c>
      <c r="E17" s="226">
        <f>state1!C18-state1!K18+'table 6'!G18</f>
        <v>28736270.2</v>
      </c>
      <c r="F17" s="223">
        <f>fed1!B18-fed2!K18</f>
        <v>5024730.95</v>
      </c>
      <c r="G17" s="226">
        <v>0</v>
      </c>
      <c r="H17" s="233"/>
      <c r="I17" s="256">
        <f t="shared" si="2"/>
        <v>25.34937428618686</v>
      </c>
      <c r="J17" s="256">
        <f>IF($B17&lt;&gt;0,(E17/$B17*100),(IF(E17&lt;&gt;0,1,0)))</f>
        <v>63.54019365658539</v>
      </c>
      <c r="K17" s="256">
        <f aca="true" t="shared" si="4" ref="K17:L21">IF($B17&lt;&gt;0,(F17/$B17*100),(IF(F17&lt;&gt;0,1,0)))</f>
        <v>11.110432057227744</v>
      </c>
      <c r="L17" s="256">
        <f t="shared" si="4"/>
        <v>0</v>
      </c>
      <c r="O17" s="22"/>
      <c r="P17" s="89"/>
      <c r="Q17" s="22"/>
    </row>
    <row r="18" spans="1:17" ht="12.75">
      <c r="A18" s="199" t="s">
        <v>7</v>
      </c>
      <c r="B18" s="226">
        <f t="shared" si="1"/>
        <v>243152186.98</v>
      </c>
      <c r="C18" s="145">
        <v>126686908</v>
      </c>
      <c r="D18" s="94">
        <v>1604494</v>
      </c>
      <c r="E18" s="226">
        <f>state1!C19-state1!K19+'table 6'!G19</f>
        <v>101306270.31</v>
      </c>
      <c r="F18" s="223">
        <f>fed1!B19-fed2!K19</f>
        <v>13045697.67</v>
      </c>
      <c r="G18" s="94">
        <v>508817</v>
      </c>
      <c r="H18" s="233"/>
      <c r="I18" s="256">
        <f t="shared" si="2"/>
        <v>52.761771791323575</v>
      </c>
      <c r="J18" s="256">
        <f>IF($B18&lt;&gt;0,(E18/$B18*100),(IF(E18&lt;&gt;0,1,0)))</f>
        <v>41.66372985094012</v>
      </c>
      <c r="K18" s="256">
        <f t="shared" si="4"/>
        <v>5.365239701123087</v>
      </c>
      <c r="L18" s="256">
        <f t="shared" si="4"/>
        <v>0.20925865661321472</v>
      </c>
      <c r="O18" s="22"/>
      <c r="P18" s="89"/>
      <c r="Q18" s="22"/>
    </row>
    <row r="19" spans="1:17" ht="12.75">
      <c r="A19" s="199" t="s">
        <v>8</v>
      </c>
      <c r="B19" s="226">
        <f t="shared" si="1"/>
        <v>137149757.39</v>
      </c>
      <c r="C19" s="145">
        <v>58708711</v>
      </c>
      <c r="D19" s="94">
        <v>904212.83</v>
      </c>
      <c r="E19" s="226">
        <f>state1!C20-state1!K20+'table 6'!G20</f>
        <v>67358538.53999999</v>
      </c>
      <c r="F19" s="223">
        <f>fed1!B20-fed2!K20</f>
        <v>10175706.27</v>
      </c>
      <c r="G19" s="94">
        <v>2588.75</v>
      </c>
      <c r="H19" s="233"/>
      <c r="I19" s="256">
        <f>IF(B19&lt;&gt;0,((+C19+D19)/B19*100),(IF(C19&lt;&gt;0,1,0)))</f>
        <v>43.46557001955482</v>
      </c>
      <c r="J19" s="256">
        <f>IF($B19&lt;&gt;0,(E19/$B19*100),(IF(E19&lt;&gt;0,1,0)))</f>
        <v>49.11312992589465</v>
      </c>
      <c r="K19" s="256">
        <f t="shared" si="4"/>
        <v>7.419412519312223</v>
      </c>
      <c r="L19" s="256">
        <f t="shared" si="4"/>
        <v>0.00188753523831516</v>
      </c>
      <c r="O19" s="22"/>
      <c r="P19" s="89"/>
      <c r="Q19" s="22"/>
    </row>
    <row r="20" spans="1:17" ht="12.75">
      <c r="A20" s="199" t="s">
        <v>9</v>
      </c>
      <c r="B20" s="226">
        <f t="shared" si="1"/>
        <v>217151222.32</v>
      </c>
      <c r="C20" s="145">
        <v>101794000</v>
      </c>
      <c r="D20" s="94">
        <v>2774727.2</v>
      </c>
      <c r="E20" s="226">
        <f>state1!C21-state1!K21+'table 6'!G21</f>
        <v>98198124.43</v>
      </c>
      <c r="F20" s="223">
        <f>fed1!B21-fed2!K21</f>
        <v>14384370.690000003</v>
      </c>
      <c r="G20" s="94">
        <v>0</v>
      </c>
      <c r="H20" s="233"/>
      <c r="I20" s="256">
        <f t="shared" si="2"/>
        <v>48.15479557646913</v>
      </c>
      <c r="J20" s="256">
        <f>IF($B20&lt;&gt;0,(E20/$B20*100),(IF(E20&lt;&gt;0,1,0)))</f>
        <v>45.2210783715012</v>
      </c>
      <c r="K20" s="256">
        <f t="shared" si="4"/>
        <v>6.624126052029677</v>
      </c>
      <c r="L20" s="256">
        <f t="shared" si="4"/>
        <v>0</v>
      </c>
      <c r="O20" s="22"/>
      <c r="P20" s="89"/>
      <c r="Q20" s="22"/>
    </row>
    <row r="21" spans="1:17" ht="12.75">
      <c r="A21" s="199" t="s">
        <v>10</v>
      </c>
      <c r="B21" s="226">
        <f t="shared" si="1"/>
        <v>43620134.370000005</v>
      </c>
      <c r="C21" s="145">
        <v>15220189</v>
      </c>
      <c r="D21" s="94">
        <v>705342.61</v>
      </c>
      <c r="E21" s="226">
        <f>state1!C22-state1!K22+'table 6'!G22</f>
        <v>21596085.45</v>
      </c>
      <c r="F21" s="223">
        <f>fed1!B22-fed2!K22</f>
        <v>6098517.3100000005</v>
      </c>
      <c r="G21" s="226">
        <v>0</v>
      </c>
      <c r="H21" s="233"/>
      <c r="I21" s="256">
        <f t="shared" si="2"/>
        <v>36.50958861087983</v>
      </c>
      <c r="J21" s="256">
        <f>IF($B21&lt;&gt;0,(E21/$B21*100),(IF(E21&lt;&gt;0,1,0)))</f>
        <v>49.50944274223242</v>
      </c>
      <c r="K21" s="256">
        <f t="shared" si="4"/>
        <v>13.980968646887732</v>
      </c>
      <c r="L21" s="256">
        <f t="shared" si="4"/>
        <v>0</v>
      </c>
      <c r="O21" s="129"/>
      <c r="P21" s="89"/>
      <c r="Q21" s="22"/>
    </row>
    <row r="22" spans="2:17" ht="12.75">
      <c r="B22" s="226"/>
      <c r="C22" s="94"/>
      <c r="D22" s="226"/>
      <c r="E22" s="226"/>
      <c r="F22" s="223"/>
      <c r="G22" s="226"/>
      <c r="H22" s="233"/>
      <c r="I22" s="256"/>
      <c r="J22" s="256"/>
      <c r="K22" s="256"/>
      <c r="L22" s="256"/>
      <c r="O22" s="22"/>
      <c r="P22" s="50"/>
      <c r="Q22" s="3"/>
    </row>
    <row r="23" spans="1:17" ht="12.75">
      <c r="A23" s="199" t="s">
        <v>11</v>
      </c>
      <c r="B23" s="226">
        <f t="shared" si="1"/>
        <v>327984802.69</v>
      </c>
      <c r="C23" s="94">
        <v>175505760.75</v>
      </c>
      <c r="D23" s="94">
        <v>3418961.17</v>
      </c>
      <c r="E23" s="226">
        <f>state1!C24-state1!K24+'table 6'!G24</f>
        <v>132143270.45000005</v>
      </c>
      <c r="F23" s="223">
        <f>fed1!B24-fed2!K24</f>
        <v>16916810.320000004</v>
      </c>
      <c r="G23" s="226">
        <v>0</v>
      </c>
      <c r="H23" s="233"/>
      <c r="I23" s="256">
        <f t="shared" si="2"/>
        <v>54.55274770432382</v>
      </c>
      <c r="J23" s="256">
        <f>IF($B23&lt;&gt;0,(E23/$B23*100),(IF(E23&lt;&gt;0,1,0)))</f>
        <v>40.2894491958816</v>
      </c>
      <c r="K23" s="256">
        <f aca="true" t="shared" si="5" ref="K23:L27">IF($B23&lt;&gt;0,(F23/$B23*100),(IF(F23&lt;&gt;0,1,0)))</f>
        <v>5.157803099794594</v>
      </c>
      <c r="L23" s="256">
        <f t="shared" si="5"/>
        <v>0</v>
      </c>
      <c r="O23" s="22"/>
      <c r="P23" s="89"/>
      <c r="Q23" s="22"/>
    </row>
    <row r="24" spans="1:17" ht="12.75">
      <c r="A24" s="199" t="s">
        <v>12</v>
      </c>
      <c r="B24" s="226">
        <f t="shared" si="1"/>
        <v>44094988.40999999</v>
      </c>
      <c r="C24" s="94">
        <v>18375339</v>
      </c>
      <c r="D24" s="94">
        <v>297808.81</v>
      </c>
      <c r="E24" s="226">
        <f>state1!C25-state1!K25+'table 6'!G25</f>
        <v>20344103.259999998</v>
      </c>
      <c r="F24" s="223">
        <f>fed1!B25-fed2!K25</f>
        <v>5040398.08</v>
      </c>
      <c r="G24" s="94">
        <v>37339.26</v>
      </c>
      <c r="H24" s="233"/>
      <c r="I24" s="256">
        <f t="shared" si="2"/>
        <v>42.34755123728584</v>
      </c>
      <c r="J24" s="256">
        <f>IF($B24&lt;&gt;0,(E24/$B24*100),(IF(E24&lt;&gt;0,1,0)))</f>
        <v>46.13699650136727</v>
      </c>
      <c r="K24" s="256">
        <f t="shared" si="5"/>
        <v>11.4307731144724</v>
      </c>
      <c r="L24" s="256">
        <f t="shared" si="5"/>
        <v>0.08467914687450534</v>
      </c>
      <c r="O24" s="22"/>
      <c r="P24" s="89"/>
      <c r="Q24" s="22"/>
    </row>
    <row r="25" spans="1:17" ht="12.75">
      <c r="A25" s="199" t="s">
        <v>13</v>
      </c>
      <c r="B25" s="226">
        <f t="shared" si="1"/>
        <v>322982681.56</v>
      </c>
      <c r="C25" s="94">
        <v>154047408</v>
      </c>
      <c r="D25" s="94">
        <v>2153185.36</v>
      </c>
      <c r="E25" s="226">
        <f>state1!C26-state1!K26+'table 6'!G26</f>
        <v>144798930.75999996</v>
      </c>
      <c r="F25" s="223">
        <f>fed1!B26-fed2!K26</f>
        <v>21412102.84</v>
      </c>
      <c r="G25" s="94">
        <v>571054.6</v>
      </c>
      <c r="H25" s="233"/>
      <c r="I25" s="256">
        <f>IF(B25&lt;&gt;0,((+C25+D25)/B25*100),(IF(C25&lt;&gt;0,1,0)))</f>
        <v>48.36190987255237</v>
      </c>
      <c r="J25" s="256">
        <f>IF($B25&lt;&gt;0,(E25/$B25*100),(IF(E25&lt;&gt;0,1,0)))</f>
        <v>44.83179409515829</v>
      </c>
      <c r="K25" s="256">
        <f t="shared" si="5"/>
        <v>6.629489462586652</v>
      </c>
      <c r="L25" s="256">
        <f t="shared" si="5"/>
        <v>0.1768065697026904</v>
      </c>
      <c r="O25" s="22"/>
      <c r="P25" s="89"/>
      <c r="Q25" s="22"/>
    </row>
    <row r="26" spans="1:17" ht="12.75">
      <c r="A26" s="199" t="s">
        <v>14</v>
      </c>
      <c r="B26" s="226">
        <f t="shared" si="1"/>
        <v>485750792.38</v>
      </c>
      <c r="C26" s="94">
        <v>334589915</v>
      </c>
      <c r="D26" s="94">
        <v>6327095.609999999</v>
      </c>
      <c r="E26" s="226">
        <f>state1!C27-state1!K27+'table 6'!G27</f>
        <v>126186444.87999997</v>
      </c>
      <c r="F26" s="223">
        <f>fed1!B27-fed2!K27</f>
        <v>18544975.09</v>
      </c>
      <c r="G26" s="94">
        <v>102361.8</v>
      </c>
      <c r="H26" s="233"/>
      <c r="I26" s="256">
        <f t="shared" si="2"/>
        <v>70.18352125369312</v>
      </c>
      <c r="J26" s="256">
        <f>IF($B26&lt;&gt;0,(E26/$B26*100),(IF(E26&lt;&gt;0,1,0)))</f>
        <v>25.977609683708973</v>
      </c>
      <c r="K26" s="256">
        <f t="shared" si="5"/>
        <v>3.81779615821859</v>
      </c>
      <c r="L26" s="256">
        <f t="shared" si="5"/>
        <v>0.02107290437931452</v>
      </c>
      <c r="O26" s="22"/>
      <c r="P26" s="89"/>
      <c r="Q26" s="22"/>
    </row>
    <row r="27" spans="1:17" ht="12.75">
      <c r="A27" s="199" t="s">
        <v>15</v>
      </c>
      <c r="B27" s="226">
        <f t="shared" si="1"/>
        <v>25410611.700000003</v>
      </c>
      <c r="C27" s="94">
        <v>13741730.040000001</v>
      </c>
      <c r="D27" s="94">
        <v>256841</v>
      </c>
      <c r="E27" s="226">
        <f>state1!C28-state1!K28+'table 6'!G28</f>
        <v>8464989.17</v>
      </c>
      <c r="F27" s="223">
        <f>fed1!B28-fed2!K28</f>
        <v>2947051.49</v>
      </c>
      <c r="G27" s="94">
        <v>0</v>
      </c>
      <c r="H27" s="233"/>
      <c r="I27" s="256">
        <f t="shared" si="2"/>
        <v>55.0894689402538</v>
      </c>
      <c r="J27" s="256">
        <f>IF($B27&lt;&gt;0,(E27/$B27*100),(IF(E27&lt;&gt;0,1,0)))</f>
        <v>33.312811473955975</v>
      </c>
      <c r="K27" s="256">
        <f t="shared" si="5"/>
        <v>11.597719585790214</v>
      </c>
      <c r="L27" s="256">
        <f t="shared" si="5"/>
        <v>0</v>
      </c>
      <c r="O27" s="22"/>
      <c r="P27" s="89"/>
      <c r="Q27" s="22"/>
    </row>
    <row r="28" spans="2:17" ht="12.75">
      <c r="B28" s="226"/>
      <c r="C28" s="226"/>
      <c r="D28" s="226"/>
      <c r="E28" s="226"/>
      <c r="F28" s="223"/>
      <c r="G28" s="226"/>
      <c r="H28" s="233"/>
      <c r="I28" s="256"/>
      <c r="J28" s="256"/>
      <c r="K28" s="256"/>
      <c r="L28" s="256"/>
      <c r="O28" s="22"/>
      <c r="P28" s="50"/>
      <c r="Q28" s="3"/>
    </row>
    <row r="29" spans="1:17" ht="12.75">
      <c r="A29" s="199" t="s">
        <v>16</v>
      </c>
      <c r="B29" s="226">
        <f t="shared" si="1"/>
        <v>1586100403.85</v>
      </c>
      <c r="C29" s="94">
        <v>1210596320.69</v>
      </c>
      <c r="D29" s="94">
        <v>13761862.28</v>
      </c>
      <c r="E29" s="226">
        <f>state1!C30-state1!K30+'table 6'!G30</f>
        <v>276103839.54999995</v>
      </c>
      <c r="F29" s="223">
        <f>fed1!B30-fed2!K30</f>
        <v>84598930.8</v>
      </c>
      <c r="G29" s="94">
        <v>1039450.53</v>
      </c>
      <c r="H29" s="233"/>
      <c r="I29" s="256">
        <f t="shared" si="2"/>
        <v>77.19298097384443</v>
      </c>
      <c r="J29" s="256">
        <f>IF($B29&lt;&gt;0,(E29/$B29*100),(IF(E29&lt;&gt;0,1,0)))</f>
        <v>17.407715103016365</v>
      </c>
      <c r="K29" s="256">
        <f aca="true" t="shared" si="6" ref="K29:L33">IF($B29&lt;&gt;0,(F29/$B29*100),(IF(F29&lt;&gt;0,1,0)))</f>
        <v>5.333768946445629</v>
      </c>
      <c r="L29" s="256">
        <f t="shared" si="6"/>
        <v>0.06553497669358783</v>
      </c>
      <c r="O29" s="22"/>
      <c r="P29" s="89"/>
      <c r="Q29" s="22"/>
    </row>
    <row r="30" spans="1:17" ht="12.75">
      <c r="A30" s="199" t="s">
        <v>17</v>
      </c>
      <c r="B30" s="226">
        <f t="shared" si="1"/>
        <v>1295592262.9499998</v>
      </c>
      <c r="C30" s="94">
        <v>548083712.6899999</v>
      </c>
      <c r="D30" s="94">
        <v>11797676.380000003</v>
      </c>
      <c r="E30" s="226">
        <f>state1!C31-state1!K31+'table 6'!G31</f>
        <v>632937467.3499999</v>
      </c>
      <c r="F30" s="223">
        <f>fed1!B31-fed2!K31</f>
        <v>102773406.53000002</v>
      </c>
      <c r="G30" s="94">
        <v>0</v>
      </c>
      <c r="H30" s="233"/>
      <c r="I30" s="256">
        <f t="shared" si="2"/>
        <v>43.214320205585175</v>
      </c>
      <c r="J30" s="256">
        <f>IF($B30&lt;&gt;0,(E30/$B30*100),(IF(E30&lt;&gt;0,1,0)))</f>
        <v>48.85313732183245</v>
      </c>
      <c r="K30" s="256">
        <f t="shared" si="6"/>
        <v>7.932542472582386</v>
      </c>
      <c r="L30" s="256">
        <f t="shared" si="6"/>
        <v>0</v>
      </c>
      <c r="O30" s="22"/>
      <c r="P30" s="89"/>
      <c r="Q30" s="22"/>
    </row>
    <row r="31" spans="1:17" ht="12.75">
      <c r="A31" s="199" t="s">
        <v>18</v>
      </c>
      <c r="B31" s="226">
        <f t="shared" si="1"/>
        <v>63709347.96</v>
      </c>
      <c r="C31" s="94">
        <v>36587413</v>
      </c>
      <c r="D31" s="145">
        <v>456663.07</v>
      </c>
      <c r="E31" s="226">
        <f>state1!C32-state1!K32+'table 6'!G32</f>
        <v>21913961.93</v>
      </c>
      <c r="F31" s="223">
        <f>fed1!B32-fed2!K32</f>
        <v>4735390.99</v>
      </c>
      <c r="G31" s="94">
        <v>15918.97</v>
      </c>
      <c r="H31" s="233"/>
      <c r="I31" s="256">
        <f>IF(B31&lt;&gt;0,((+C31+D31)/B31*100),(IF(C31&lt;&gt;0,1,0)))</f>
        <v>58.1454327444352</v>
      </c>
      <c r="J31" s="256">
        <f>IF($B31&lt;&gt;0,(E31/$B31*100),(IF(E31&lt;&gt;0,1,0)))</f>
        <v>34.39677634710484</v>
      </c>
      <c r="K31" s="256">
        <f t="shared" si="6"/>
        <v>7.432804041524835</v>
      </c>
      <c r="L31" s="256">
        <f t="shared" si="6"/>
        <v>0.024986866935123468</v>
      </c>
      <c r="O31" s="22"/>
      <c r="P31" s="89"/>
      <c r="Q31" s="22"/>
    </row>
    <row r="32" spans="1:17" ht="12.75">
      <c r="A32" s="199" t="s">
        <v>19</v>
      </c>
      <c r="B32" s="226">
        <f t="shared" si="1"/>
        <v>135301632.98</v>
      </c>
      <c r="C32" s="94">
        <v>58900000</v>
      </c>
      <c r="D32" s="145">
        <v>747730.6</v>
      </c>
      <c r="E32" s="226">
        <f>state1!C33-state1!K33+'table 6'!G33</f>
        <v>61744432.76</v>
      </c>
      <c r="F32" s="223">
        <f>fed1!B33-fed2!K33</f>
        <v>13832065.21</v>
      </c>
      <c r="G32" s="94">
        <v>77404.41</v>
      </c>
      <c r="H32" s="233"/>
      <c r="I32" s="256">
        <f t="shared" si="2"/>
        <v>44.08500421337635</v>
      </c>
      <c r="J32" s="256">
        <f>IF($B32&lt;&gt;0,(E32/$B32*100),(IF(E32&lt;&gt;0,1,0)))</f>
        <v>45.634654512356796</v>
      </c>
      <c r="K32" s="256">
        <f t="shared" si="6"/>
        <v>10.223132496889102</v>
      </c>
      <c r="L32" s="256">
        <f t="shared" si="6"/>
        <v>0.05720877737775845</v>
      </c>
      <c r="O32" s="22"/>
      <c r="P32" s="89"/>
      <c r="Q32" s="22"/>
    </row>
    <row r="33" spans="1:17" ht="12.75">
      <c r="A33" s="199" t="s">
        <v>20</v>
      </c>
      <c r="B33" s="226">
        <f t="shared" si="1"/>
        <v>29476750.17</v>
      </c>
      <c r="C33" s="94">
        <v>8499357</v>
      </c>
      <c r="D33" s="94">
        <v>312929.31</v>
      </c>
      <c r="E33" s="226">
        <f>state1!C34-state1!K34+'table 6'!G34</f>
        <v>16163467.540000001</v>
      </c>
      <c r="F33" s="223">
        <f>fed1!B34-fed2!K34</f>
        <v>4500996.32</v>
      </c>
      <c r="G33" s="226">
        <v>0</v>
      </c>
      <c r="H33" s="233"/>
      <c r="I33" s="256">
        <f t="shared" si="2"/>
        <v>29.895718690755523</v>
      </c>
      <c r="J33" s="256">
        <f>IF($B33&lt;&gt;0,(E33/$B33*100),(IF(E33&lt;&gt;0,1,0)))</f>
        <v>54.83463219921166</v>
      </c>
      <c r="K33" s="256">
        <f t="shared" si="6"/>
        <v>15.269649110032809</v>
      </c>
      <c r="L33" s="256">
        <f t="shared" si="6"/>
        <v>0</v>
      </c>
      <c r="O33" s="22"/>
      <c r="P33" s="89"/>
      <c r="Q33" s="22"/>
    </row>
    <row r="34" spans="2:17" ht="12.75">
      <c r="B34" s="226"/>
      <c r="C34" s="43"/>
      <c r="D34" s="226"/>
      <c r="E34" s="223"/>
      <c r="F34" s="223"/>
      <c r="G34" s="226"/>
      <c r="H34" s="233"/>
      <c r="I34" s="256"/>
      <c r="J34" s="256"/>
      <c r="K34" s="256"/>
      <c r="L34" s="256"/>
      <c r="O34" s="22"/>
      <c r="P34" s="50"/>
      <c r="Q34" s="3"/>
    </row>
    <row r="35" spans="1:17" ht="12.75">
      <c r="A35" s="199" t="s">
        <v>21</v>
      </c>
      <c r="B35" s="226">
        <f t="shared" si="1"/>
        <v>39041676.54</v>
      </c>
      <c r="C35" s="94">
        <v>26361279.5</v>
      </c>
      <c r="D35" s="94">
        <v>489463.27</v>
      </c>
      <c r="E35" s="226">
        <f>state1!C36-state1!K36+'table 6'!G36</f>
        <v>9096710.419999998</v>
      </c>
      <c r="F35" s="223">
        <f>fed1!B36-fed2!K36</f>
        <v>3078642.3499999996</v>
      </c>
      <c r="G35" s="94">
        <v>15581</v>
      </c>
      <c r="H35" s="233"/>
      <c r="I35" s="256">
        <f t="shared" si="2"/>
        <v>68.77456387532482</v>
      </c>
      <c r="J35" s="256">
        <f>IF($B35&lt;&gt;0,(E35/$B35*100),(IF(E35&lt;&gt;0,1,0)))</f>
        <v>23.299999452328844</v>
      </c>
      <c r="K35" s="256">
        <f aca="true" t="shared" si="7" ref="K35:L38">IF($B35&lt;&gt;0,(F35/$B35*100),(IF(F35&lt;&gt;0,1,0)))</f>
        <v>7.885528037828469</v>
      </c>
      <c r="L35" s="256">
        <f t="shared" si="7"/>
        <v>0.039908634517876164</v>
      </c>
      <c r="O35" s="22"/>
      <c r="P35" s="89"/>
      <c r="Q35" s="22"/>
    </row>
    <row r="36" spans="1:17" ht="12.75">
      <c r="A36" s="199" t="s">
        <v>22</v>
      </c>
      <c r="B36" s="226">
        <f t="shared" si="1"/>
        <v>174834240.72999996</v>
      </c>
      <c r="C36" s="94">
        <v>78816610</v>
      </c>
      <c r="D36" s="94">
        <v>967445.16</v>
      </c>
      <c r="E36" s="226">
        <f>state1!C37-state1!K37+'table 6'!G37</f>
        <v>80386011.30999999</v>
      </c>
      <c r="F36" s="223">
        <f>fed1!B37-fed2!K37</f>
        <v>14251701.41</v>
      </c>
      <c r="G36" s="94">
        <v>412472.85</v>
      </c>
      <c r="H36" s="233"/>
      <c r="I36" s="256">
        <f t="shared" si="2"/>
        <v>45.63411310443023</v>
      </c>
      <c r="J36" s="256">
        <f>IF($B36&lt;&gt;0,(E36/$B36*100),(IF(E36&lt;&gt;0,1,0)))</f>
        <v>45.97841416781838</v>
      </c>
      <c r="K36" s="256">
        <f t="shared" si="7"/>
        <v>8.151550491765049</v>
      </c>
      <c r="L36" s="256">
        <f t="shared" si="7"/>
        <v>0.235922235986365</v>
      </c>
      <c r="O36" s="22"/>
      <c r="P36" s="89"/>
      <c r="Q36" s="22"/>
    </row>
    <row r="37" spans="1:17" ht="12.75">
      <c r="A37" s="199" t="s">
        <v>23</v>
      </c>
      <c r="B37" s="226">
        <f t="shared" si="1"/>
        <v>129037556.67999999</v>
      </c>
      <c r="C37" s="94">
        <v>46131073</v>
      </c>
      <c r="D37" s="94">
        <v>1935285.83</v>
      </c>
      <c r="E37" s="226">
        <f>state1!C38-state1!K38+'table 6'!G38</f>
        <v>66706784.379999995</v>
      </c>
      <c r="F37" s="223">
        <f>fed1!B38-fed2!K38</f>
        <v>13442514.860000001</v>
      </c>
      <c r="G37" s="94">
        <v>821898.61</v>
      </c>
      <c r="H37" s="233"/>
      <c r="I37" s="256">
        <f t="shared" si="2"/>
        <v>37.24989845336244</v>
      </c>
      <c r="J37" s="256">
        <f>IF($B37&lt;&gt;0,(E37/$B37*100),(IF(E37&lt;&gt;0,1,0)))</f>
        <v>51.69563505098444</v>
      </c>
      <c r="K37" s="256">
        <f t="shared" si="7"/>
        <v>10.41752122859554</v>
      </c>
      <c r="L37" s="256">
        <f t="shared" si="7"/>
        <v>0.6369452670575784</v>
      </c>
      <c r="O37" s="22"/>
      <c r="P37" s="89"/>
      <c r="Q37" s="22"/>
    </row>
    <row r="38" spans="1:17" ht="12.75">
      <c r="A38" s="260" t="s">
        <v>24</v>
      </c>
      <c r="B38" s="230">
        <f t="shared" si="1"/>
        <v>73945713.60000001</v>
      </c>
      <c r="C38" s="98">
        <v>52104131.84</v>
      </c>
      <c r="D38" s="98">
        <v>378608.74</v>
      </c>
      <c r="E38" s="230">
        <f>state1!C39-state1!K39+'table 6'!G39</f>
        <v>14094563.830000002</v>
      </c>
      <c r="F38" s="230">
        <f>fed1!B39-fed2!K39</f>
        <v>7368409.1899999995</v>
      </c>
      <c r="G38" s="98">
        <v>0</v>
      </c>
      <c r="H38" s="261"/>
      <c r="I38" s="262">
        <f t="shared" si="2"/>
        <v>70.97468943757681</v>
      </c>
      <c r="J38" s="262">
        <f>IF($B38&lt;&gt;0,(E38/$B38*100),(IF(E38&lt;&gt;0,1,0)))</f>
        <v>19.060690801150102</v>
      </c>
      <c r="K38" s="262">
        <f t="shared" si="7"/>
        <v>9.964619761273084</v>
      </c>
      <c r="L38" s="262">
        <f t="shared" si="7"/>
        <v>0</v>
      </c>
      <c r="O38" s="22"/>
      <c r="P38" s="89"/>
      <c r="Q38" s="22"/>
    </row>
    <row r="39" spans="1:17" ht="12.75">
      <c r="A39" s="203"/>
      <c r="B39" s="226"/>
      <c r="C39" s="226"/>
      <c r="D39" s="226"/>
      <c r="E39" s="226"/>
      <c r="F39" s="226"/>
      <c r="G39" s="226"/>
      <c r="H39" s="259"/>
      <c r="I39" s="256"/>
      <c r="J39" s="256"/>
      <c r="K39" s="256"/>
      <c r="L39" s="256"/>
      <c r="O39" s="22"/>
      <c r="P39" s="89"/>
      <c r="Q39" s="22"/>
    </row>
    <row r="40" spans="1:11" ht="12.75">
      <c r="A40" s="232" t="s">
        <v>126</v>
      </c>
      <c r="D40" s="233"/>
      <c r="I40" s="234"/>
      <c r="J40" s="234"/>
      <c r="K40" s="234"/>
    </row>
    <row r="41" spans="1:4" ht="12.75">
      <c r="A41" s="72" t="s">
        <v>210</v>
      </c>
      <c r="D41" s="233"/>
    </row>
    <row r="42" spans="1:4" ht="12.75">
      <c r="A42" s="235"/>
      <c r="D42" s="233"/>
    </row>
    <row r="43" spans="1:4" ht="12.75">
      <c r="A43" s="235"/>
      <c r="D43" s="233"/>
    </row>
    <row r="44" ht="12.75">
      <c r="D44" s="233"/>
    </row>
    <row r="45" ht="12.75">
      <c r="D45" s="233"/>
    </row>
    <row r="46" ht="12.75">
      <c r="D46" s="233"/>
    </row>
  </sheetData>
  <sheetProtection password="C935" sheet="1" objects="1" scenarios="1"/>
  <mergeCells count="6">
    <mergeCell ref="A1:L1"/>
    <mergeCell ref="C7:D7"/>
    <mergeCell ref="C6:F6"/>
    <mergeCell ref="I6:L6"/>
    <mergeCell ref="A3:L3"/>
    <mergeCell ref="A4:L4"/>
  </mergeCells>
  <printOptions horizontalCentered="1"/>
  <pageMargins left="0.7" right="0.72" top="0.83" bottom="1" header="0.67" footer="0.5"/>
  <pageSetup fitToHeight="1" fitToWidth="1" horizontalDpi="600" verticalDpi="600" orientation="landscape" scale="81" r:id="rId1"/>
  <headerFooter alignWithMargins="0">
    <oddFooter>&amp;L&amp;"Arial,Italic"&amp;9MSDE-DBS  11 / 2006&amp;C- 3 -
&amp;R&amp;"Arial,Italic"&amp;9Selected Financial Data-Part 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workbookViewId="0" topLeftCell="B16">
      <selection activeCell="G9" sqref="G9"/>
    </sheetView>
  </sheetViews>
  <sheetFormatPr defaultColWidth="9.140625" defaultRowHeight="12.75"/>
  <cols>
    <col min="1" max="1" width="14.140625" style="0" customWidth="1"/>
    <col min="2" max="2" width="14.8515625" style="0" customWidth="1"/>
    <col min="3" max="3" width="16.421875" style="0" customWidth="1"/>
    <col min="4" max="4" width="13.28125" style="0" customWidth="1"/>
    <col min="5" max="5" width="18.140625" style="0" customWidth="1"/>
    <col min="6" max="7" width="13.28125" style="0" customWidth="1"/>
    <col min="11" max="11" width="11.8515625" style="0" customWidth="1"/>
  </cols>
  <sheetData>
    <row r="1" spans="1:11" ht="12.75">
      <c r="A1" s="377" t="s">
        <v>112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3" spans="1:11" ht="12.75">
      <c r="A3" s="377" t="s">
        <v>272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0" ht="12.75">
      <c r="A4" s="377"/>
      <c r="B4" s="377"/>
      <c r="C4" s="377"/>
      <c r="D4" s="377"/>
      <c r="E4" s="377"/>
      <c r="F4" s="377"/>
      <c r="G4" s="377"/>
      <c r="H4" s="377"/>
      <c r="I4" s="377"/>
      <c r="J4" s="377"/>
    </row>
    <row r="5" spans="8:11" ht="13.5" thickBot="1">
      <c r="H5" s="79"/>
      <c r="I5" s="80"/>
      <c r="J5" s="80"/>
      <c r="K5" s="80"/>
    </row>
    <row r="6" spans="1:58" ht="15" customHeight="1" thickTop="1">
      <c r="A6" s="6" t="s">
        <v>101</v>
      </c>
      <c r="B6" s="19" t="s">
        <v>53</v>
      </c>
      <c r="C6" s="380" t="s">
        <v>105</v>
      </c>
      <c r="D6" s="381"/>
      <c r="E6" s="362"/>
      <c r="F6" s="363"/>
      <c r="G6" s="360" t="s">
        <v>308</v>
      </c>
      <c r="H6" s="364" t="s">
        <v>107</v>
      </c>
      <c r="I6" s="365"/>
      <c r="J6" s="365"/>
      <c r="K6" s="366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11" ht="12.75">
      <c r="A7" s="3" t="s">
        <v>41</v>
      </c>
      <c r="B7" s="9" t="s">
        <v>108</v>
      </c>
      <c r="C7" s="378" t="s">
        <v>101</v>
      </c>
      <c r="D7" s="379"/>
      <c r="E7" s="367" t="s">
        <v>54</v>
      </c>
      <c r="F7" s="358" t="s">
        <v>66</v>
      </c>
      <c r="G7" s="361"/>
      <c r="H7" s="74"/>
      <c r="I7" s="74"/>
      <c r="J7" s="74"/>
      <c r="K7" s="74" t="s">
        <v>103</v>
      </c>
    </row>
    <row r="8" spans="1:11" ht="13.5" thickBot="1">
      <c r="A8" s="7" t="s">
        <v>154</v>
      </c>
      <c r="B8" s="10" t="s">
        <v>109</v>
      </c>
      <c r="C8" s="73" t="s">
        <v>102</v>
      </c>
      <c r="D8" s="8" t="s">
        <v>129</v>
      </c>
      <c r="E8" s="357"/>
      <c r="F8" s="359"/>
      <c r="G8" s="382"/>
      <c r="H8" s="75" t="s">
        <v>101</v>
      </c>
      <c r="I8" s="76" t="s">
        <v>54</v>
      </c>
      <c r="J8" s="77" t="s">
        <v>66</v>
      </c>
      <c r="K8" s="78" t="s">
        <v>106</v>
      </c>
    </row>
    <row r="9" spans="1:11" ht="12.75">
      <c r="A9" s="3" t="s">
        <v>0</v>
      </c>
      <c r="B9" s="95">
        <f aca="true" t="shared" si="0" ref="B9:G9">SUM(B11:B38)</f>
        <v>798433020.74</v>
      </c>
      <c r="C9" s="95">
        <f t="shared" si="0"/>
        <v>598303231.4300001</v>
      </c>
      <c r="D9" s="95">
        <f t="shared" si="0"/>
        <v>1603501.53</v>
      </c>
      <c r="E9" s="95">
        <f t="shared" si="0"/>
        <v>142659592.75</v>
      </c>
      <c r="F9" s="95">
        <f t="shared" si="0"/>
        <v>0</v>
      </c>
      <c r="G9" s="95">
        <f t="shared" si="0"/>
        <v>55866695.03</v>
      </c>
      <c r="H9" s="46">
        <f>IF(B9&lt;&gt;0,((+C9+D9)/B9),(IF(C9&lt;&gt;0,1,0)))</f>
        <v>0.7513551135497843</v>
      </c>
      <c r="I9" s="46">
        <f>IF($B9&lt;&gt;0,(E9/$B9),(IF(E9&lt;&gt;0,1,0)))</f>
        <v>0.17867446491351385</v>
      </c>
      <c r="J9" s="46">
        <f>IF($B9&lt;&gt;0,(F9/$B9),(IF(F9&lt;&gt;0,1,0)))</f>
        <v>0</v>
      </c>
      <c r="K9" s="46">
        <f>IF($B9&lt;&gt;0,(G9/$B9),(IF(G9&lt;&gt;0,1,0)))</f>
        <v>0.06997042153670184</v>
      </c>
    </row>
    <row r="10" spans="1:11" ht="12.75">
      <c r="A10" s="3"/>
      <c r="B10" s="96"/>
      <c r="C10" s="96"/>
      <c r="D10" s="97"/>
      <c r="E10" s="91"/>
      <c r="F10" s="93"/>
      <c r="G10" s="93"/>
      <c r="H10" s="18"/>
      <c r="I10" s="18"/>
      <c r="J10" s="18"/>
      <c r="K10" s="18"/>
    </row>
    <row r="11" spans="1:11" ht="12.75">
      <c r="A11" t="s">
        <v>1</v>
      </c>
      <c r="B11" s="87">
        <f aca="true" t="shared" si="1" ref="B11:B38">SUM(C11:G11)</f>
        <v>3124841.25</v>
      </c>
      <c r="C11" s="94">
        <v>783118.28</v>
      </c>
      <c r="D11" s="94">
        <v>0</v>
      </c>
      <c r="E11" s="91">
        <v>724972</v>
      </c>
      <c r="F11" s="94">
        <v>0</v>
      </c>
      <c r="G11" s="94">
        <v>1616750.97</v>
      </c>
      <c r="H11" s="49">
        <f aca="true" t="shared" si="2" ref="H11:H38">IF(B11&lt;&gt;0,((+C11+D11)/B11*100),(IF(C11&lt;&gt;0,1,0)))</f>
        <v>25.061058061749534</v>
      </c>
      <c r="I11" s="49">
        <f>IF($B11&lt;&gt;0,(E11/$B11*100),(IF(E11&lt;&gt;0,1,0)))</f>
        <v>23.200282574354777</v>
      </c>
      <c r="J11" s="49">
        <f aca="true" t="shared" si="3" ref="J11:K15">IF($B11&lt;&gt;0,(F11/$B11*100),(IF(F11&lt;&gt;0,1,0)))</f>
        <v>0</v>
      </c>
      <c r="K11" s="49">
        <f t="shared" si="3"/>
        <v>51.73865936389569</v>
      </c>
    </row>
    <row r="12" spans="1:11" ht="12.75">
      <c r="A12" t="s">
        <v>2</v>
      </c>
      <c r="B12" s="87">
        <f t="shared" si="1"/>
        <v>70602666</v>
      </c>
      <c r="C12" s="94">
        <v>33437535</v>
      </c>
      <c r="D12" s="94">
        <v>411718</v>
      </c>
      <c r="E12" s="91">
        <v>12024791</v>
      </c>
      <c r="F12" s="94">
        <v>0</v>
      </c>
      <c r="G12" s="94">
        <v>24728622</v>
      </c>
      <c r="H12" s="49">
        <f t="shared" si="2"/>
        <v>47.94330712667422</v>
      </c>
      <c r="I12" s="49">
        <f>IF($B12&lt;&gt;0,(E12/$B12*100),(IF(E12&lt;&gt;0,1,0)))</f>
        <v>17.031638720271555</v>
      </c>
      <c r="J12" s="49">
        <f t="shared" si="3"/>
        <v>0</v>
      </c>
      <c r="K12" s="49">
        <f t="shared" si="3"/>
        <v>35.02505415305422</v>
      </c>
    </row>
    <row r="13" spans="1:11" ht="12.75">
      <c r="A13" t="s">
        <v>280</v>
      </c>
      <c r="B13" s="87">
        <f t="shared" si="1"/>
        <v>17030462.810000002</v>
      </c>
      <c r="C13" s="94">
        <v>8458653.72</v>
      </c>
      <c r="D13" s="94">
        <v>822619.47</v>
      </c>
      <c r="E13" s="91">
        <v>7749189.62</v>
      </c>
      <c r="F13" s="94">
        <v>0</v>
      </c>
      <c r="G13" s="164">
        <v>0</v>
      </c>
      <c r="H13" s="49">
        <f>IF(B13&lt;&gt;0,((+C13+D13)/B13*100),(IF(C13&lt;&gt;0,1,0)))</f>
        <v>54.49806792420341</v>
      </c>
      <c r="I13" s="49">
        <f>IF($B13&lt;&gt;0,(E13/$B13*100),(IF(E13&lt;&gt;0,1,0)))</f>
        <v>45.50193207579659</v>
      </c>
      <c r="J13" s="49">
        <f t="shared" si="3"/>
        <v>0</v>
      </c>
      <c r="K13" s="49">
        <f>IF($B13&lt;&gt;0,(B42/$B13*100),(IF(B42&lt;&gt;0,1,0)))</f>
        <v>0</v>
      </c>
    </row>
    <row r="14" spans="1:11" ht="12.75">
      <c r="A14" t="s">
        <v>4</v>
      </c>
      <c r="B14" s="87">
        <f t="shared" si="1"/>
        <v>56682135</v>
      </c>
      <c r="C14" s="94">
        <v>15362010</v>
      </c>
      <c r="D14" s="94">
        <v>0</v>
      </c>
      <c r="E14" s="91">
        <v>15163189</v>
      </c>
      <c r="F14" s="94">
        <v>0</v>
      </c>
      <c r="G14" s="94">
        <v>26156936</v>
      </c>
      <c r="H14" s="49">
        <f t="shared" si="2"/>
        <v>27.102031354323547</v>
      </c>
      <c r="I14" s="49">
        <f>IF($B14&lt;&gt;0,(E14/$B14*100),(IF(E14&lt;&gt;0,1,0)))</f>
        <v>26.75126651457289</v>
      </c>
      <c r="J14" s="49">
        <f t="shared" si="3"/>
        <v>0</v>
      </c>
      <c r="K14" s="49">
        <f t="shared" si="3"/>
        <v>46.14670213110357</v>
      </c>
    </row>
    <row r="15" spans="1:11" ht="12.75">
      <c r="A15" t="s">
        <v>5</v>
      </c>
      <c r="B15" s="87">
        <f t="shared" si="1"/>
        <v>9376415.96</v>
      </c>
      <c r="C15" s="94">
        <v>4856430.65</v>
      </c>
      <c r="D15" s="94">
        <v>1281.31</v>
      </c>
      <c r="E15" s="91">
        <v>4518704</v>
      </c>
      <c r="F15" s="94">
        <v>0</v>
      </c>
      <c r="G15" s="94"/>
      <c r="H15" s="49">
        <f t="shared" si="2"/>
        <v>51.80776941555395</v>
      </c>
      <c r="I15" s="49">
        <f>IF($B15&lt;&gt;0,(E15/$B15*100),(IF(E15&lt;&gt;0,1,0)))</f>
        <v>48.19223058444604</v>
      </c>
      <c r="J15" s="49">
        <f t="shared" si="3"/>
        <v>0</v>
      </c>
      <c r="K15" s="49">
        <f t="shared" si="3"/>
        <v>0</v>
      </c>
    </row>
    <row r="16" spans="2:11" ht="12.75">
      <c r="B16" s="87"/>
      <c r="C16" s="160"/>
      <c r="D16" s="94"/>
      <c r="E16" s="91"/>
      <c r="F16" s="94"/>
      <c r="G16" s="94"/>
      <c r="H16" s="49"/>
      <c r="I16" s="49"/>
      <c r="J16" s="49"/>
      <c r="K16" s="49"/>
    </row>
    <row r="17" spans="1:11" ht="12.75">
      <c r="A17" t="s">
        <v>6</v>
      </c>
      <c r="B17" s="87">
        <f>SUM(C17:G17)</f>
        <v>978335.1299999999</v>
      </c>
      <c r="C17" s="160">
        <v>0</v>
      </c>
      <c r="D17" s="94">
        <v>13715.1</v>
      </c>
      <c r="E17" s="91">
        <v>199359.08</v>
      </c>
      <c r="F17" s="94">
        <v>0</v>
      </c>
      <c r="G17" s="94">
        <v>765260.95</v>
      </c>
      <c r="H17" s="49">
        <f t="shared" si="2"/>
        <v>1.401881582234505</v>
      </c>
      <c r="I17" s="49">
        <f>IF($B17&lt;&gt;0,(E17/$B17*100),(IF(E17&lt;&gt;0,1,0)))</f>
        <v>20.377381317177072</v>
      </c>
      <c r="J17" s="49">
        <f aca="true" t="shared" si="4" ref="J17:K21">IF($B17&lt;&gt;0,(F17/$B17*100),(IF(F17&lt;&gt;0,1,0)))</f>
        <v>0</v>
      </c>
      <c r="K17" s="49">
        <f>IF($B17&lt;&gt;0,(G17/$B17*100),(IF(G17&lt;&gt;0,1,0)))</f>
        <v>78.22073710058844</v>
      </c>
    </row>
    <row r="18" spans="1:11" ht="12.75">
      <c r="A18" t="s">
        <v>7</v>
      </c>
      <c r="B18" s="87">
        <f t="shared" si="1"/>
        <v>23622021</v>
      </c>
      <c r="C18" s="5">
        <v>11792626</v>
      </c>
      <c r="D18" s="94">
        <v>0</v>
      </c>
      <c r="E18" s="91">
        <v>11829395</v>
      </c>
      <c r="F18" s="94">
        <v>0</v>
      </c>
      <c r="G18" s="94">
        <v>0</v>
      </c>
      <c r="H18" s="49">
        <f t="shared" si="2"/>
        <v>49.92217219686664</v>
      </c>
      <c r="I18" s="49">
        <f>IF($B18&lt;&gt;0,(E18/$B18*100),(IF(E18&lt;&gt;0,1,0)))</f>
        <v>50.07782780313336</v>
      </c>
      <c r="J18" s="49">
        <f t="shared" si="4"/>
        <v>0</v>
      </c>
      <c r="K18" s="49">
        <f t="shared" si="4"/>
        <v>0</v>
      </c>
    </row>
    <row r="19" spans="1:11" ht="12.75">
      <c r="A19" t="s">
        <v>8</v>
      </c>
      <c r="B19" s="87">
        <f t="shared" si="1"/>
        <v>2492412.19</v>
      </c>
      <c r="C19" s="5">
        <v>2188939.63</v>
      </c>
      <c r="D19" s="94">
        <v>120279.56</v>
      </c>
      <c r="E19" s="91">
        <v>183193</v>
      </c>
      <c r="F19" s="94">
        <v>0</v>
      </c>
      <c r="G19" s="94">
        <v>0</v>
      </c>
      <c r="H19" s="49">
        <f>IF(B19&lt;&gt;0,((+C19+D19)/B19*100),(IF(C19&lt;&gt;0,1,0)))</f>
        <v>92.64997175286645</v>
      </c>
      <c r="I19" s="49">
        <f>IF($B19&lt;&gt;0,(E19/$B19*100),(IF(E19&lt;&gt;0,1,0)))</f>
        <v>7.350028247133553</v>
      </c>
      <c r="J19" s="49">
        <f t="shared" si="4"/>
        <v>0</v>
      </c>
      <c r="K19" s="49">
        <f t="shared" si="4"/>
        <v>0</v>
      </c>
    </row>
    <row r="20" spans="1:11" ht="12.75">
      <c r="A20" t="s">
        <v>9</v>
      </c>
      <c r="B20" s="87">
        <f t="shared" si="1"/>
        <v>28720875.91</v>
      </c>
      <c r="C20" s="5">
        <v>17795165.25</v>
      </c>
      <c r="D20" s="94">
        <v>380.66</v>
      </c>
      <c r="E20" s="91">
        <v>10925330</v>
      </c>
      <c r="F20" s="94">
        <v>0</v>
      </c>
      <c r="G20" s="94">
        <v>0</v>
      </c>
      <c r="H20" s="49">
        <f t="shared" si="2"/>
        <v>61.96031752570599</v>
      </c>
      <c r="I20" s="49">
        <f>IF($B20&lt;&gt;0,(E20/$B20*100),(IF(E20&lt;&gt;0,1,0)))</f>
        <v>38.039682474294004</v>
      </c>
      <c r="J20" s="49">
        <f t="shared" si="4"/>
        <v>0</v>
      </c>
      <c r="K20" s="49">
        <f t="shared" si="4"/>
        <v>0</v>
      </c>
    </row>
    <row r="21" spans="1:11" ht="12.75">
      <c r="A21" t="s">
        <v>10</v>
      </c>
      <c r="B21" s="87">
        <f t="shared" si="1"/>
        <v>2276031</v>
      </c>
      <c r="C21" s="5">
        <v>1815029</v>
      </c>
      <c r="D21" s="94">
        <v>50</v>
      </c>
      <c r="E21" s="91">
        <v>460952</v>
      </c>
      <c r="F21" s="160">
        <v>0</v>
      </c>
      <c r="G21" s="94">
        <v>0</v>
      </c>
      <c r="H21" s="49">
        <f t="shared" si="2"/>
        <v>79.74755176884673</v>
      </c>
      <c r="I21" s="49">
        <f>IF($B21&lt;&gt;0,(E21/$B21*100),(IF(E21&lt;&gt;0,1,0)))</f>
        <v>20.252448231153267</v>
      </c>
      <c r="J21" s="49">
        <f t="shared" si="4"/>
        <v>0</v>
      </c>
      <c r="K21" s="49">
        <f t="shared" si="4"/>
        <v>0</v>
      </c>
    </row>
    <row r="22" spans="2:11" ht="12.75">
      <c r="B22" s="87"/>
      <c r="C22" s="5"/>
      <c r="D22" s="94"/>
      <c r="E22" s="91"/>
      <c r="F22" s="94"/>
      <c r="G22" s="94"/>
      <c r="H22" s="49"/>
      <c r="I22" s="49"/>
      <c r="J22" s="49"/>
      <c r="K22" s="49"/>
    </row>
    <row r="23" spans="1:11" ht="12.75">
      <c r="A23" t="s">
        <v>11</v>
      </c>
      <c r="B23" s="87">
        <f t="shared" si="1"/>
        <v>38699189</v>
      </c>
      <c r="C23" s="5">
        <v>26506123</v>
      </c>
      <c r="D23" s="94">
        <v>0</v>
      </c>
      <c r="E23" s="91">
        <v>12193066</v>
      </c>
      <c r="F23" s="94">
        <v>0</v>
      </c>
      <c r="G23" s="160">
        <v>0</v>
      </c>
      <c r="H23" s="49">
        <f t="shared" si="2"/>
        <v>68.49270923997916</v>
      </c>
      <c r="I23" s="49">
        <f>IF($B23&lt;&gt;0,(E23/$B23*100),(IF(E23&lt;&gt;0,1,0)))</f>
        <v>31.507290760020833</v>
      </c>
      <c r="J23" s="49">
        <f aca="true" t="shared" si="5" ref="J23:K27">IF($B23&lt;&gt;0,(F23/$B23*100),(IF(F23&lt;&gt;0,1,0)))</f>
        <v>0</v>
      </c>
      <c r="K23" s="49">
        <f t="shared" si="5"/>
        <v>0</v>
      </c>
    </row>
    <row r="24" spans="1:11" ht="12.75">
      <c r="A24" t="s">
        <v>12</v>
      </c>
      <c r="B24" s="87">
        <f t="shared" si="1"/>
        <v>1481444.06</v>
      </c>
      <c r="C24" s="5">
        <v>1481444.06</v>
      </c>
      <c r="D24" s="94">
        <v>0</v>
      </c>
      <c r="E24" s="91"/>
      <c r="F24" s="94">
        <v>0</v>
      </c>
      <c r="G24" s="160">
        <v>0</v>
      </c>
      <c r="H24" s="49">
        <f t="shared" si="2"/>
        <v>100</v>
      </c>
      <c r="I24" s="49">
        <f>IF($B24&lt;&gt;0,(E24/$B24*100),(IF(E24&lt;&gt;0,1,0)))</f>
        <v>0</v>
      </c>
      <c r="J24" s="49">
        <f t="shared" si="5"/>
        <v>0</v>
      </c>
      <c r="K24" s="49">
        <f t="shared" si="5"/>
        <v>0</v>
      </c>
    </row>
    <row r="25" spans="1:11" ht="12.75">
      <c r="A25" t="s">
        <v>13</v>
      </c>
      <c r="B25" s="87">
        <f t="shared" si="1"/>
        <v>41073071</v>
      </c>
      <c r="C25" s="5">
        <v>26501387</v>
      </c>
      <c r="D25" s="94">
        <v>128927</v>
      </c>
      <c r="E25" s="91">
        <v>11967677</v>
      </c>
      <c r="F25" s="94">
        <v>0</v>
      </c>
      <c r="G25" s="94">
        <v>2475080</v>
      </c>
      <c r="H25" s="49">
        <f>IF(B25&lt;&gt;0,((+C25+D25)/B25*100),(IF(C25&lt;&gt;0,1,0)))</f>
        <v>64.83643261055401</v>
      </c>
      <c r="I25" s="49">
        <f>IF($B25&lt;&gt;0,(E25/$B25*100),(IF(E25&lt;&gt;0,1,0)))</f>
        <v>29.13752662906555</v>
      </c>
      <c r="J25" s="49">
        <f t="shared" si="5"/>
        <v>0</v>
      </c>
      <c r="K25" s="49">
        <f t="shared" si="5"/>
        <v>6.026040760380445</v>
      </c>
    </row>
    <row r="26" spans="1:11" ht="12.75">
      <c r="A26" t="s">
        <v>14</v>
      </c>
      <c r="B26" s="87">
        <f t="shared" si="1"/>
        <v>84406305</v>
      </c>
      <c r="C26" s="5">
        <v>75490499</v>
      </c>
      <c r="D26" s="94">
        <v>82978</v>
      </c>
      <c r="E26" s="91">
        <v>8832828</v>
      </c>
      <c r="F26" s="94">
        <v>0</v>
      </c>
      <c r="G26" s="160">
        <v>0</v>
      </c>
      <c r="H26" s="49">
        <f>IF(B26&lt;&gt;0,((+C27+D26)/B26*100),(IF(C27&lt;&gt;0,1,0)))</f>
        <v>2.1128551948814724</v>
      </c>
      <c r="I26" s="49">
        <f>IF($B26&lt;&gt;0,(E26/$B26*100),(IF(E26&lt;&gt;0,1,0)))</f>
        <v>10.464654269606992</v>
      </c>
      <c r="J26" s="49">
        <f t="shared" si="5"/>
        <v>0</v>
      </c>
      <c r="K26" s="49">
        <f t="shared" si="5"/>
        <v>0</v>
      </c>
    </row>
    <row r="27" spans="1:11" ht="12.75">
      <c r="A27" t="s">
        <v>15</v>
      </c>
      <c r="B27" s="87">
        <f>SUM(C27:G27)</f>
        <v>2518817</v>
      </c>
      <c r="C27" s="5">
        <v>1700405</v>
      </c>
      <c r="D27" s="94">
        <v>0</v>
      </c>
      <c r="E27" s="91">
        <v>818412</v>
      </c>
      <c r="F27" s="94">
        <v>0</v>
      </c>
      <c r="G27" s="94">
        <v>0</v>
      </c>
      <c r="H27" s="49">
        <f>IF(B27&lt;&gt;0,((+C28+D27)/B27*100),(IF(C28&lt;&gt;0,1,0)))</f>
        <v>0</v>
      </c>
      <c r="I27" s="49">
        <f>IF($B27&lt;&gt;0,(E27/$B27*100),(IF(E27&lt;&gt;0,1,0)))</f>
        <v>32.49191981791452</v>
      </c>
      <c r="J27" s="49">
        <f t="shared" si="5"/>
        <v>0</v>
      </c>
      <c r="K27" s="49">
        <f t="shared" si="5"/>
        <v>0</v>
      </c>
    </row>
    <row r="28" spans="2:11" ht="12.75">
      <c r="B28" s="87"/>
      <c r="C28" s="5"/>
      <c r="E28" s="91"/>
      <c r="F28" s="94"/>
      <c r="G28" s="94"/>
      <c r="H28" s="49"/>
      <c r="I28" s="49"/>
      <c r="J28" s="49"/>
      <c r="K28" s="49"/>
    </row>
    <row r="29" spans="1:11" ht="12.75">
      <c r="A29" t="s">
        <v>16</v>
      </c>
      <c r="B29" s="87">
        <f t="shared" si="1"/>
        <v>248230273</v>
      </c>
      <c r="C29" s="5">
        <v>239402719</v>
      </c>
      <c r="D29" s="94">
        <v>0</v>
      </c>
      <c r="E29" s="91">
        <v>8827554</v>
      </c>
      <c r="F29" s="94">
        <v>0</v>
      </c>
      <c r="G29" s="94">
        <v>0</v>
      </c>
      <c r="H29" s="49">
        <f>IF(B29&lt;&gt;0,((+C30+D30)/B29*100),(IF(C30&lt;&gt;0,1,0)))</f>
        <v>35.696396152293644</v>
      </c>
      <c r="I29" s="49">
        <f>IF($B29&lt;&gt;0,(E29/$B29*100),(IF(E29&lt;&gt;0,1,0)))</f>
        <v>3.5561955813503863</v>
      </c>
      <c r="J29" s="49">
        <f aca="true" t="shared" si="6" ref="J29:K33">IF($B29&lt;&gt;0,(F29/$B29*100),(IF(F29&lt;&gt;0,1,0)))</f>
        <v>0</v>
      </c>
      <c r="K29" s="49">
        <f t="shared" si="6"/>
        <v>0</v>
      </c>
    </row>
    <row r="30" spans="1:11" ht="12.75">
      <c r="A30" t="s">
        <v>17</v>
      </c>
      <c r="B30" s="87">
        <f t="shared" si="1"/>
        <v>112562010.11</v>
      </c>
      <c r="C30" s="5">
        <v>88609261.62</v>
      </c>
      <c r="D30" s="94">
        <v>0</v>
      </c>
      <c r="E30" s="91">
        <v>23952748.49</v>
      </c>
      <c r="F30" s="94">
        <v>0</v>
      </c>
      <c r="G30" s="160">
        <v>0</v>
      </c>
      <c r="H30" s="49">
        <f>IF(B30&lt;&gt;0,((+C31+D31)/B30*100),(IF(C31&lt;&gt;0,1,0)))</f>
        <v>1.8927578833373409</v>
      </c>
      <c r="I30" s="49">
        <f>IF($B30&lt;&gt;0,(E30/$B30*100),(IF(E30&lt;&gt;0,1,0)))</f>
        <v>21.279602653321877</v>
      </c>
      <c r="J30" s="49">
        <f t="shared" si="6"/>
        <v>0</v>
      </c>
      <c r="K30" s="49">
        <f t="shared" si="6"/>
        <v>0</v>
      </c>
    </row>
    <row r="31" spans="1:11" ht="12.75">
      <c r="A31" t="s">
        <v>18</v>
      </c>
      <c r="B31" s="87">
        <f t="shared" si="1"/>
        <v>2499549.32</v>
      </c>
      <c r="C31" s="5">
        <v>2120526.84</v>
      </c>
      <c r="D31" s="94">
        <v>9999.48</v>
      </c>
      <c r="E31" s="91">
        <v>349823</v>
      </c>
      <c r="F31" s="94">
        <v>0</v>
      </c>
      <c r="G31" s="94">
        <v>19200</v>
      </c>
      <c r="H31" s="49">
        <f>IF(B31&lt;&gt;0,((+C32+D32)/B31*100),(IF(C32&lt;&gt;0,1,0)))</f>
        <v>593.5391828955791</v>
      </c>
      <c r="I31" s="49">
        <f>IF($B31&lt;&gt;0,(E31/$B31*100),(IF(E31&lt;&gt;0,1,0)))</f>
        <v>13.995442986498063</v>
      </c>
      <c r="J31" s="49">
        <f t="shared" si="6"/>
        <v>0</v>
      </c>
      <c r="K31" s="49">
        <f t="shared" si="6"/>
        <v>0.7681384738589595</v>
      </c>
    </row>
    <row r="32" spans="1:11" ht="12.75">
      <c r="A32" t="s">
        <v>19</v>
      </c>
      <c r="B32" s="87">
        <f t="shared" si="1"/>
        <v>17845059.17</v>
      </c>
      <c r="C32" s="5">
        <v>14835462.55</v>
      </c>
      <c r="D32" s="94">
        <v>342.06</v>
      </c>
      <c r="E32" s="91">
        <v>3009254.56</v>
      </c>
      <c r="F32" s="94">
        <v>0</v>
      </c>
      <c r="G32" s="94">
        <v>0</v>
      </c>
      <c r="H32" s="49">
        <f>IF(B32&lt;&gt;0,((+C32+D32)/B32*100),(IF(C32&lt;&gt;0,1,0)))</f>
        <v>83.13676333974296</v>
      </c>
      <c r="I32" s="49">
        <f>IF($B32&lt;&gt;0,(E32/$B32*100),(IF(E32&lt;&gt;0,1,0)))</f>
        <v>16.863236660257037</v>
      </c>
      <c r="J32" s="49">
        <f t="shared" si="6"/>
        <v>0</v>
      </c>
      <c r="K32" s="49">
        <f t="shared" si="6"/>
        <v>0</v>
      </c>
    </row>
    <row r="33" spans="1:11" ht="12.75">
      <c r="A33" t="s">
        <v>20</v>
      </c>
      <c r="B33" s="87">
        <f t="shared" si="1"/>
        <v>1094245.99</v>
      </c>
      <c r="C33" s="97">
        <v>1094245.99</v>
      </c>
      <c r="D33" s="160">
        <v>0</v>
      </c>
      <c r="E33" s="5">
        <v>0</v>
      </c>
      <c r="F33" s="94">
        <v>0</v>
      </c>
      <c r="G33" s="94">
        <v>0</v>
      </c>
      <c r="H33" s="49">
        <f t="shared" si="2"/>
        <v>100</v>
      </c>
      <c r="I33" s="49">
        <f>IF($B33&lt;&gt;0,(E33/$B33*100),(IF(E33&lt;&gt;0,1,0)))</f>
        <v>0</v>
      </c>
      <c r="J33" s="49">
        <f t="shared" si="6"/>
        <v>0</v>
      </c>
      <c r="K33" s="49">
        <f t="shared" si="6"/>
        <v>0</v>
      </c>
    </row>
    <row r="34" spans="2:11" ht="12.75">
      <c r="B34" s="87"/>
      <c r="C34" s="94"/>
      <c r="D34" s="94"/>
      <c r="E34" s="5"/>
      <c r="F34" s="94"/>
      <c r="G34" s="94"/>
      <c r="H34" s="49"/>
      <c r="I34" s="49"/>
      <c r="J34" s="49"/>
      <c r="K34" s="49"/>
    </row>
    <row r="35" spans="1:11" ht="12.75">
      <c r="A35" t="s">
        <v>21</v>
      </c>
      <c r="B35" s="87">
        <f t="shared" si="1"/>
        <v>537294</v>
      </c>
      <c r="C35" s="94">
        <v>321042</v>
      </c>
      <c r="D35" s="94">
        <v>0</v>
      </c>
      <c r="E35" s="39">
        <v>216252</v>
      </c>
      <c r="F35" s="94">
        <v>0</v>
      </c>
      <c r="G35" s="94">
        <v>0</v>
      </c>
      <c r="H35" s="49">
        <f t="shared" si="2"/>
        <v>59.751644351137365</v>
      </c>
      <c r="I35" s="49">
        <f>IF($B35&lt;&gt;0,(E35/$B35*100),(IF(E35&lt;&gt;0,1,0)))</f>
        <v>40.248355648862635</v>
      </c>
      <c r="J35" s="49">
        <f aca="true" t="shared" si="7" ref="J35:K38">IF($B35&lt;&gt;0,(F35/$B35*100),(IF(F35&lt;&gt;0,1,0)))</f>
        <v>0</v>
      </c>
      <c r="K35" s="49">
        <f t="shared" si="7"/>
        <v>0</v>
      </c>
    </row>
    <row r="36" spans="1:11" ht="12.75">
      <c r="A36" t="s">
        <v>22</v>
      </c>
      <c r="B36" s="87">
        <f t="shared" si="1"/>
        <v>7924115</v>
      </c>
      <c r="C36" s="94">
        <v>5421401</v>
      </c>
      <c r="D36" s="94">
        <v>11000</v>
      </c>
      <c r="E36" s="39">
        <v>2491714</v>
      </c>
      <c r="F36" s="94">
        <v>0</v>
      </c>
      <c r="G36" s="160">
        <v>0</v>
      </c>
      <c r="H36" s="49">
        <f t="shared" si="2"/>
        <v>68.55530239023537</v>
      </c>
      <c r="I36" s="49">
        <f>IF($B36&lt;&gt;0,(E36/$B36*100),(IF(E36&lt;&gt;0,1,0)))</f>
        <v>31.44469760976462</v>
      </c>
      <c r="J36" s="49">
        <f t="shared" si="7"/>
        <v>0</v>
      </c>
      <c r="K36" s="49">
        <f t="shared" si="7"/>
        <v>0</v>
      </c>
    </row>
    <row r="37" spans="1:11" ht="12.75">
      <c r="A37" t="s">
        <v>23</v>
      </c>
      <c r="B37" s="87">
        <f t="shared" si="1"/>
        <v>12952407</v>
      </c>
      <c r="C37" s="94">
        <v>9087546.44</v>
      </c>
      <c r="D37" s="160">
        <v>0</v>
      </c>
      <c r="E37" s="39">
        <v>3760015.45</v>
      </c>
      <c r="F37" s="94">
        <v>0</v>
      </c>
      <c r="G37" s="94">
        <v>104845.11</v>
      </c>
      <c r="H37" s="49">
        <f t="shared" si="2"/>
        <v>70.16106303639161</v>
      </c>
      <c r="I37" s="49">
        <f>IF($B37&lt;&gt;0,(E37/$B37*100),(IF(E37&lt;&gt;0,1,0)))</f>
        <v>29.029472668670774</v>
      </c>
      <c r="J37" s="49">
        <f t="shared" si="7"/>
        <v>0</v>
      </c>
      <c r="K37" s="49">
        <f t="shared" si="7"/>
        <v>0.8094642949376127</v>
      </c>
    </row>
    <row r="38" spans="1:11" ht="12.75">
      <c r="A38" s="14" t="s">
        <v>24</v>
      </c>
      <c r="B38" s="88">
        <f t="shared" si="1"/>
        <v>11703044.84</v>
      </c>
      <c r="C38" s="98">
        <v>9241660.4</v>
      </c>
      <c r="D38" s="98">
        <v>210.89</v>
      </c>
      <c r="E38" s="253">
        <v>2461173.55</v>
      </c>
      <c r="F38" s="161">
        <v>0</v>
      </c>
      <c r="G38" s="98">
        <v>0</v>
      </c>
      <c r="H38" s="44">
        <f t="shared" si="2"/>
        <v>78.96980158883166</v>
      </c>
      <c r="I38" s="44">
        <f>IF($B38&lt;&gt;0,(E38/$B38*100),(IF(E38&lt;&gt;0,1,0)))</f>
        <v>21.030198411168353</v>
      </c>
      <c r="J38" s="44">
        <f t="shared" si="7"/>
        <v>0</v>
      </c>
      <c r="K38" s="44">
        <f t="shared" si="7"/>
        <v>0</v>
      </c>
    </row>
    <row r="39" spans="1:10" ht="12.75">
      <c r="A39" s="25" t="s">
        <v>169</v>
      </c>
      <c r="B39" s="3"/>
      <c r="C39" s="50"/>
      <c r="D39" s="50"/>
      <c r="E39" s="50"/>
      <c r="F39" s="50"/>
      <c r="G39" s="50"/>
      <c r="H39" s="22"/>
      <c r="I39" s="22"/>
      <c r="J39" s="22"/>
    </row>
    <row r="40" spans="1:4" ht="12.75">
      <c r="A40" s="25"/>
      <c r="D40" s="1"/>
    </row>
    <row r="41" spans="1:4" ht="12.75">
      <c r="A41" s="79" t="s">
        <v>306</v>
      </c>
      <c r="D41" s="1"/>
    </row>
    <row r="42" spans="2:4" ht="12.75">
      <c r="B42" s="164"/>
      <c r="D42" s="1"/>
    </row>
    <row r="43" ht="12.75">
      <c r="D43" s="1"/>
    </row>
    <row r="44" ht="12.75">
      <c r="D44" s="1"/>
    </row>
    <row r="45" ht="12.75">
      <c r="D45" s="1"/>
    </row>
  </sheetData>
  <sheetProtection password="C935" sheet="1" objects="1" scenarios="1"/>
  <mergeCells count="9">
    <mergeCell ref="A1:K1"/>
    <mergeCell ref="A3:K3"/>
    <mergeCell ref="C7:D7"/>
    <mergeCell ref="A4:J4"/>
    <mergeCell ref="C6:F6"/>
    <mergeCell ref="H6:K6"/>
    <mergeCell ref="E7:E8"/>
    <mergeCell ref="F7:F8"/>
    <mergeCell ref="G6:G8"/>
  </mergeCells>
  <printOptions horizontalCentered="1"/>
  <pageMargins left="0.5" right="0.52" top="0.83" bottom="1" header="0.67" footer="0.5"/>
  <pageSetup fitToHeight="1" fitToWidth="1" horizontalDpi="600" verticalDpi="600" orientation="landscape" scale="91" r:id="rId1"/>
  <headerFooter alignWithMargins="0">
    <oddFooter>&amp;L&amp;"Arial,Italic"&amp;9MSDE-DBS  11  / 2006
&amp;C- 4 -&amp;R&amp;"Arial,Italic"&amp;9Selected Financial Data-Part 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workbookViewId="0" topLeftCell="A1">
      <pane ySplit="9" topLeftCell="BM16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14.140625" style="0" customWidth="1"/>
    <col min="2" max="3" width="14.8515625" style="0" customWidth="1"/>
    <col min="4" max="4" width="13.28125" style="0" customWidth="1"/>
    <col min="5" max="5" width="14.8515625" style="0" customWidth="1"/>
    <col min="6" max="7" width="13.28125" style="0" customWidth="1"/>
    <col min="8" max="8" width="2.7109375" style="0" customWidth="1"/>
  </cols>
  <sheetData>
    <row r="1" spans="1:11" ht="12.75">
      <c r="A1" s="377" t="s">
        <v>113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ht="12.75">
      <c r="A2" s="158"/>
    </row>
    <row r="3" spans="1:11" ht="12.75">
      <c r="A3" s="377" t="s">
        <v>273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7:9" ht="13.5" thickBot="1">
      <c r="G5" s="13"/>
      <c r="I5" s="3"/>
    </row>
    <row r="6" spans="1:56" ht="15" customHeight="1" thickTop="1">
      <c r="A6" s="6" t="s">
        <v>101</v>
      </c>
      <c r="B6" s="191" t="s">
        <v>53</v>
      </c>
      <c r="C6" s="380" t="s">
        <v>105</v>
      </c>
      <c r="D6" s="381"/>
      <c r="E6" s="362"/>
      <c r="F6" s="363"/>
      <c r="G6" s="194"/>
      <c r="H6" s="6"/>
      <c r="I6" s="381" t="s">
        <v>107</v>
      </c>
      <c r="J6" s="381"/>
      <c r="K6" s="381"/>
      <c r="L6" s="38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</row>
    <row r="7" spans="1:12" ht="12.75">
      <c r="A7" s="3" t="s">
        <v>41</v>
      </c>
      <c r="B7" s="190" t="s">
        <v>108</v>
      </c>
      <c r="C7" s="378" t="s">
        <v>101</v>
      </c>
      <c r="D7" s="379"/>
      <c r="E7" s="188"/>
      <c r="F7" s="188"/>
      <c r="G7" s="193" t="s">
        <v>103</v>
      </c>
      <c r="H7" s="9"/>
      <c r="I7" s="4"/>
      <c r="J7" s="4"/>
      <c r="K7" s="4"/>
      <c r="L7" s="4" t="s">
        <v>103</v>
      </c>
    </row>
    <row r="8" spans="1:12" ht="13.5" thickBot="1">
      <c r="A8" s="7" t="s">
        <v>154</v>
      </c>
      <c r="B8" s="192" t="s">
        <v>109</v>
      </c>
      <c r="C8" s="73" t="s">
        <v>102</v>
      </c>
      <c r="D8" s="8" t="s">
        <v>104</v>
      </c>
      <c r="E8" s="189" t="s">
        <v>54</v>
      </c>
      <c r="F8" s="189" t="s">
        <v>66</v>
      </c>
      <c r="G8" s="189" t="s">
        <v>106</v>
      </c>
      <c r="H8" s="8"/>
      <c r="I8" s="10" t="s">
        <v>101</v>
      </c>
      <c r="J8" s="10" t="s">
        <v>54</v>
      </c>
      <c r="K8" s="57" t="s">
        <v>66</v>
      </c>
      <c r="L8" s="8" t="s">
        <v>106</v>
      </c>
    </row>
    <row r="9" spans="1:12" ht="12.75">
      <c r="A9" s="3" t="s">
        <v>0</v>
      </c>
      <c r="B9" s="12">
        <f aca="true" t="shared" si="0" ref="B9:G9">SUM(B11:B38)</f>
        <v>294211982.67</v>
      </c>
      <c r="C9" s="12">
        <f t="shared" si="0"/>
        <v>291772590.72</v>
      </c>
      <c r="D9" s="12">
        <f>SUM(D11:D38)</f>
        <v>2439391.95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/>
      <c r="I9" s="46">
        <f>IF(B9&lt;&gt;0,((+C9+D9)/B9),(IF(C9&lt;&gt;0,1,0)))</f>
        <v>1</v>
      </c>
      <c r="J9" s="46">
        <f>IF($B9&lt;&gt;0,(E9/$B9),(IF(E9&lt;&gt;0,1,0)))</f>
        <v>0</v>
      </c>
      <c r="K9" s="45">
        <f aca="true" t="shared" si="1" ref="K9:L15">IF($B9&lt;&gt;0,(F9/$B9*100),(IF(F9&lt;&gt;0,1,0)))</f>
        <v>0</v>
      </c>
      <c r="L9" s="45">
        <f t="shared" si="1"/>
        <v>0</v>
      </c>
    </row>
    <row r="10" spans="1:12" ht="12.75">
      <c r="A10" s="3"/>
      <c r="B10" s="11"/>
      <c r="C10" s="11"/>
      <c r="D10" s="17"/>
      <c r="E10" s="4"/>
      <c r="F10" s="4"/>
      <c r="G10" s="4"/>
      <c r="H10" s="4"/>
      <c r="I10" s="18"/>
      <c r="J10" s="18"/>
      <c r="K10" s="49"/>
      <c r="L10" s="49"/>
    </row>
    <row r="11" spans="1:12" ht="12.75">
      <c r="A11" t="s">
        <v>1</v>
      </c>
      <c r="B11" s="2">
        <f>SUM(D11:G11)</f>
        <v>1615666</v>
      </c>
      <c r="C11" s="258">
        <v>0</v>
      </c>
      <c r="D11" s="164">
        <v>1615666</v>
      </c>
      <c r="E11" s="50">
        <v>0</v>
      </c>
      <c r="F11" s="50">
        <v>0</v>
      </c>
      <c r="G11" s="50">
        <v>0</v>
      </c>
      <c r="H11" s="2"/>
      <c r="I11" s="49">
        <f aca="true" t="shared" si="2" ref="I11:I38">IF(B11&lt;&gt;0,((+C11+D11)/B11*100),(IF(C11&lt;&gt;0,1,0)))</f>
        <v>100</v>
      </c>
      <c r="J11" s="49">
        <f>IF($B11&lt;&gt;0,(E11/$B11*100),(IF(E11&lt;&gt;0,1,0)))</f>
        <v>0</v>
      </c>
      <c r="K11" s="49">
        <f t="shared" si="1"/>
        <v>0</v>
      </c>
      <c r="L11" s="49">
        <f t="shared" si="1"/>
        <v>0</v>
      </c>
    </row>
    <row r="12" spans="1:12" ht="12.75">
      <c r="A12" t="s">
        <v>2</v>
      </c>
      <c r="B12" s="2">
        <f aca="true" t="shared" si="3" ref="B12:B29">SUM(C12:G12)</f>
        <v>26205665</v>
      </c>
      <c r="C12" s="274">
        <v>26205665</v>
      </c>
      <c r="D12" s="92">
        <v>0</v>
      </c>
      <c r="E12" s="50">
        <v>0</v>
      </c>
      <c r="F12" s="50">
        <v>0</v>
      </c>
      <c r="G12" s="50">
        <v>0</v>
      </c>
      <c r="H12" s="1"/>
      <c r="I12" s="49">
        <f t="shared" si="2"/>
        <v>100</v>
      </c>
      <c r="J12" s="49">
        <f>IF($B12&lt;&gt;0,(E12/$B12*100),(IF(E12&lt;&gt;0,1,0)))</f>
        <v>0</v>
      </c>
      <c r="K12" s="49">
        <f t="shared" si="1"/>
        <v>0</v>
      </c>
      <c r="L12" s="49">
        <f t="shared" si="1"/>
        <v>0</v>
      </c>
    </row>
    <row r="13" spans="1:12" ht="12.75">
      <c r="A13" t="s">
        <v>3</v>
      </c>
      <c r="B13" s="2">
        <f t="shared" si="3"/>
        <v>14154481.67</v>
      </c>
      <c r="C13" s="274">
        <v>14154481.67</v>
      </c>
      <c r="D13" s="92">
        <v>0</v>
      </c>
      <c r="E13" s="160">
        <v>0</v>
      </c>
      <c r="F13" s="50">
        <v>0</v>
      </c>
      <c r="G13" s="50">
        <v>0</v>
      </c>
      <c r="H13" s="1"/>
      <c r="I13" s="49">
        <f>IF(B13&lt;&gt;0,((+C13+D13)/B13*100),(IF(C13&lt;&gt;0,1,0)))</f>
        <v>100</v>
      </c>
      <c r="J13" s="49">
        <f>IF($B13&lt;&gt;0,(E13/$B13*100),(IF(E13&lt;&gt;0,1,0)))</f>
        <v>0</v>
      </c>
      <c r="K13" s="49">
        <f t="shared" si="1"/>
        <v>0</v>
      </c>
      <c r="L13" s="49">
        <f t="shared" si="1"/>
        <v>0</v>
      </c>
    </row>
    <row r="14" spans="1:12" ht="12.75">
      <c r="A14" t="s">
        <v>4</v>
      </c>
      <c r="B14" s="2">
        <f t="shared" si="3"/>
        <v>20530638</v>
      </c>
      <c r="C14" s="274">
        <v>20530638</v>
      </c>
      <c r="D14" s="50">
        <v>0</v>
      </c>
      <c r="E14" s="50">
        <v>0</v>
      </c>
      <c r="F14" s="50">
        <v>0</v>
      </c>
      <c r="G14" s="50">
        <v>0</v>
      </c>
      <c r="H14" s="1"/>
      <c r="I14" s="49">
        <f t="shared" si="2"/>
        <v>100</v>
      </c>
      <c r="J14" s="49">
        <f>IF($B14&lt;&gt;0,(E14/$B14*100),(IF(E14&lt;&gt;0,1,0)))</f>
        <v>0</v>
      </c>
      <c r="K14" s="49">
        <f t="shared" si="1"/>
        <v>0</v>
      </c>
      <c r="L14" s="49">
        <f t="shared" si="1"/>
        <v>0</v>
      </c>
    </row>
    <row r="15" spans="1:12" ht="12.75">
      <c r="A15" t="s">
        <v>5</v>
      </c>
      <c r="B15" s="2">
        <f t="shared" si="3"/>
        <v>5021081</v>
      </c>
      <c r="C15" s="274">
        <v>5021081</v>
      </c>
      <c r="D15" s="50">
        <v>0</v>
      </c>
      <c r="E15" s="50">
        <v>0</v>
      </c>
      <c r="F15" s="50">
        <v>0</v>
      </c>
      <c r="G15" s="50">
        <v>0</v>
      </c>
      <c r="H15" s="1"/>
      <c r="I15" s="49">
        <f t="shared" si="2"/>
        <v>100</v>
      </c>
      <c r="J15" s="49">
        <f>IF($B15&lt;&gt;0,(E15/$B15*100),(IF(E15&lt;&gt;0,1,0)))</f>
        <v>0</v>
      </c>
      <c r="K15" s="49">
        <f t="shared" si="1"/>
        <v>0</v>
      </c>
      <c r="L15" s="49">
        <f t="shared" si="1"/>
        <v>0</v>
      </c>
    </row>
    <row r="16" spans="2:12" ht="12.75">
      <c r="B16" s="2"/>
      <c r="C16" s="258"/>
      <c r="D16" s="50"/>
      <c r="E16" s="50"/>
      <c r="F16" s="50"/>
      <c r="G16" s="50"/>
      <c r="H16" s="1"/>
      <c r="I16" s="49"/>
      <c r="J16" s="49"/>
      <c r="K16" s="49"/>
      <c r="L16" s="49"/>
    </row>
    <row r="17" spans="1:12" ht="12.75">
      <c r="A17" t="s">
        <v>6</v>
      </c>
      <c r="B17" s="2">
        <f t="shared" si="3"/>
        <v>847254.05</v>
      </c>
      <c r="C17" s="258">
        <v>847254.05</v>
      </c>
      <c r="D17" s="50">
        <v>0</v>
      </c>
      <c r="E17" s="50">
        <v>0</v>
      </c>
      <c r="F17" s="50">
        <v>0</v>
      </c>
      <c r="G17" s="50">
        <v>0</v>
      </c>
      <c r="H17" s="1"/>
      <c r="I17" s="49">
        <f t="shared" si="2"/>
        <v>100</v>
      </c>
      <c r="J17" s="49">
        <f>IF($B17&lt;&gt;0,(E17/$B17*100),(IF(E17&lt;&gt;0,1,0)))</f>
        <v>0</v>
      </c>
      <c r="K17" s="49">
        <f aca="true" t="shared" si="4" ref="K17:L21">IF($B17&lt;&gt;0,(F17/$B17*100),(IF(F17&lt;&gt;0,1,0)))</f>
        <v>0</v>
      </c>
      <c r="L17" s="49">
        <f t="shared" si="4"/>
        <v>0</v>
      </c>
    </row>
    <row r="18" spans="1:12" ht="12.75">
      <c r="A18" t="s">
        <v>7</v>
      </c>
      <c r="B18" s="2">
        <f t="shared" si="3"/>
        <v>8402718</v>
      </c>
      <c r="C18" s="275">
        <v>8402718</v>
      </c>
      <c r="D18" s="50">
        <v>0</v>
      </c>
      <c r="E18" s="50">
        <v>0</v>
      </c>
      <c r="F18" s="50">
        <v>0</v>
      </c>
      <c r="G18" s="50">
        <v>0</v>
      </c>
      <c r="H18" s="1"/>
      <c r="I18" s="49">
        <f t="shared" si="2"/>
        <v>100</v>
      </c>
      <c r="J18" s="49">
        <f>IF($B18&lt;&gt;0,(E18/$B18*100),(IF(E18&lt;&gt;0,1,0)))</f>
        <v>0</v>
      </c>
      <c r="K18" s="49">
        <f t="shared" si="4"/>
        <v>0</v>
      </c>
      <c r="L18" s="49">
        <f t="shared" si="4"/>
        <v>0</v>
      </c>
    </row>
    <row r="19" spans="1:12" ht="12.75">
      <c r="A19" t="s">
        <v>8</v>
      </c>
      <c r="B19" s="2">
        <f t="shared" si="3"/>
        <v>4864502</v>
      </c>
      <c r="C19" s="275">
        <v>4864502</v>
      </c>
      <c r="D19" s="50">
        <v>0</v>
      </c>
      <c r="E19" s="50">
        <v>0</v>
      </c>
      <c r="F19" s="50">
        <v>0</v>
      </c>
      <c r="G19" s="50">
        <v>0</v>
      </c>
      <c r="H19" s="1"/>
      <c r="I19" s="49">
        <f>IF(B19&lt;&gt;0,((+C19+D19)/B19*100),(IF(C19&lt;&gt;0,1,0)))</f>
        <v>100</v>
      </c>
      <c r="J19" s="49">
        <f>IF($B19&lt;&gt;0,(E19/$B19*100),(IF(E19&lt;&gt;0,1,0)))</f>
        <v>0</v>
      </c>
      <c r="K19" s="49">
        <f t="shared" si="4"/>
        <v>0</v>
      </c>
      <c r="L19" s="49">
        <f t="shared" si="4"/>
        <v>0</v>
      </c>
    </row>
    <row r="20" spans="1:12" ht="12.75">
      <c r="A20" t="s">
        <v>9</v>
      </c>
      <c r="B20" s="2">
        <f t="shared" si="3"/>
        <v>5002442</v>
      </c>
      <c r="C20" s="275">
        <v>5002442</v>
      </c>
      <c r="D20" s="50">
        <v>0</v>
      </c>
      <c r="E20" s="50">
        <v>0</v>
      </c>
      <c r="F20" s="50">
        <v>0</v>
      </c>
      <c r="G20" s="50">
        <v>0</v>
      </c>
      <c r="H20" s="1"/>
      <c r="I20" s="49">
        <f t="shared" si="2"/>
        <v>100</v>
      </c>
      <c r="J20" s="49">
        <f>IF($B20&lt;&gt;0,(E20/$B20*100),(IF(E20&lt;&gt;0,1,0)))</f>
        <v>0</v>
      </c>
      <c r="K20" s="49">
        <f t="shared" si="4"/>
        <v>0</v>
      </c>
      <c r="L20" s="49">
        <f t="shared" si="4"/>
        <v>0</v>
      </c>
    </row>
    <row r="21" spans="1:12" ht="12.75">
      <c r="A21" t="s">
        <v>10</v>
      </c>
      <c r="B21" s="2">
        <f t="shared" si="3"/>
        <v>1597361</v>
      </c>
      <c r="C21" s="275">
        <v>1597361</v>
      </c>
      <c r="D21" s="50">
        <v>0</v>
      </c>
      <c r="E21" s="50">
        <v>0</v>
      </c>
      <c r="F21" s="50">
        <v>0</v>
      </c>
      <c r="G21" s="50">
        <v>0</v>
      </c>
      <c r="H21" s="1"/>
      <c r="I21" s="49">
        <f t="shared" si="2"/>
        <v>100</v>
      </c>
      <c r="J21" s="49">
        <f>IF($B21&lt;&gt;0,(E21/$B21*100),(IF(E21&lt;&gt;0,1,0)))</f>
        <v>0</v>
      </c>
      <c r="K21" s="49">
        <f t="shared" si="4"/>
        <v>0</v>
      </c>
      <c r="L21" s="49">
        <f t="shared" si="4"/>
        <v>0</v>
      </c>
    </row>
    <row r="22" spans="2:12" ht="12.75">
      <c r="B22" s="2"/>
      <c r="C22" s="275"/>
      <c r="D22" s="50"/>
      <c r="E22" s="50"/>
      <c r="F22" s="50"/>
      <c r="G22" s="50"/>
      <c r="H22" s="1"/>
      <c r="I22" s="49"/>
      <c r="J22" s="49"/>
      <c r="K22" s="49"/>
      <c r="L22" s="49"/>
    </row>
    <row r="23" spans="1:12" ht="12.75">
      <c r="A23" t="s">
        <v>11</v>
      </c>
      <c r="B23" s="2">
        <f t="shared" si="3"/>
        <v>20696487</v>
      </c>
      <c r="C23" s="275">
        <v>20696487</v>
      </c>
      <c r="D23" s="50">
        <v>0</v>
      </c>
      <c r="E23" s="50">
        <v>0</v>
      </c>
      <c r="F23" s="50">
        <v>0</v>
      </c>
      <c r="G23" s="50">
        <v>0</v>
      </c>
      <c r="H23" s="1"/>
      <c r="I23" s="49">
        <f t="shared" si="2"/>
        <v>100</v>
      </c>
      <c r="J23" s="49">
        <f>IF($B23&lt;&gt;0,(E23/$B23*100),(IF(E23&lt;&gt;0,1,0)))</f>
        <v>0</v>
      </c>
      <c r="K23" s="49">
        <f aca="true" t="shared" si="5" ref="K23:L27">IF($B23&lt;&gt;0,(F23/$B23*100),(IF(F23&lt;&gt;0,1,0)))</f>
        <v>0</v>
      </c>
      <c r="L23" s="49">
        <f t="shared" si="5"/>
        <v>0</v>
      </c>
    </row>
    <row r="24" spans="1:12" ht="12.75">
      <c r="A24" t="s">
        <v>12</v>
      </c>
      <c r="B24" s="2">
        <f t="shared" si="3"/>
        <v>46076.95</v>
      </c>
      <c r="C24" s="275">
        <v>0</v>
      </c>
      <c r="D24" s="164">
        <v>46076.95</v>
      </c>
      <c r="E24" s="50">
        <v>0</v>
      </c>
      <c r="F24" s="50">
        <v>0</v>
      </c>
      <c r="G24" s="50">
        <v>0</v>
      </c>
      <c r="H24" s="1"/>
      <c r="I24" s="49">
        <f t="shared" si="2"/>
        <v>100</v>
      </c>
      <c r="J24" s="49">
        <f>IF($B24&lt;&gt;0,(E24/$B24*100),(IF(E24&lt;&gt;0,1,0)))</f>
        <v>0</v>
      </c>
      <c r="K24" s="49">
        <f t="shared" si="5"/>
        <v>0</v>
      </c>
      <c r="L24" s="49">
        <f t="shared" si="5"/>
        <v>0</v>
      </c>
    </row>
    <row r="25" spans="1:12" ht="12.75">
      <c r="A25" t="s">
        <v>13</v>
      </c>
      <c r="B25" s="2">
        <f t="shared" si="3"/>
        <v>7086411</v>
      </c>
      <c r="C25" s="275">
        <v>7086411</v>
      </c>
      <c r="D25" s="50">
        <v>0</v>
      </c>
      <c r="E25" s="50">
        <v>0</v>
      </c>
      <c r="F25" s="50">
        <v>0</v>
      </c>
      <c r="G25" s="50">
        <v>0</v>
      </c>
      <c r="H25" s="1"/>
      <c r="I25" s="49">
        <f>IF(B25&lt;&gt;0,((+C25+D25)/B25*100),(IF(C25&lt;&gt;0,1,0)))</f>
        <v>100</v>
      </c>
      <c r="J25" s="49">
        <f>IF($B25&lt;&gt;0,(E25/$B25*100),(IF(E25&lt;&gt;0,1,0)))</f>
        <v>0</v>
      </c>
      <c r="K25" s="49">
        <f t="shared" si="5"/>
        <v>0</v>
      </c>
      <c r="L25" s="49">
        <f t="shared" si="5"/>
        <v>0</v>
      </c>
    </row>
    <row r="26" spans="1:12" ht="12.75">
      <c r="A26" t="s">
        <v>14</v>
      </c>
      <c r="B26" s="2">
        <f t="shared" si="3"/>
        <v>27193363</v>
      </c>
      <c r="C26" s="276">
        <v>27193363</v>
      </c>
      <c r="D26" s="50">
        <v>0</v>
      </c>
      <c r="E26" s="50">
        <v>0</v>
      </c>
      <c r="F26" s="50">
        <v>0</v>
      </c>
      <c r="G26" s="50">
        <v>0</v>
      </c>
      <c r="H26" s="1"/>
      <c r="I26" s="49">
        <f t="shared" si="2"/>
        <v>100</v>
      </c>
      <c r="J26" s="49">
        <f>IF($B26&lt;&gt;0,(E26/$B26*100),(IF(E26&lt;&gt;0,1,0)))</f>
        <v>0</v>
      </c>
      <c r="K26" s="49">
        <f t="shared" si="5"/>
        <v>0</v>
      </c>
      <c r="L26" s="49">
        <f t="shared" si="5"/>
        <v>0</v>
      </c>
    </row>
    <row r="27" spans="1:12" ht="12.75">
      <c r="A27" t="s">
        <v>15</v>
      </c>
      <c r="B27" s="2">
        <f t="shared" si="3"/>
        <v>0</v>
      </c>
      <c r="C27" s="258">
        <v>0</v>
      </c>
      <c r="D27" s="50">
        <v>0</v>
      </c>
      <c r="E27" s="50">
        <v>0</v>
      </c>
      <c r="F27" s="50">
        <v>0</v>
      </c>
      <c r="G27" s="50">
        <v>0</v>
      </c>
      <c r="H27" s="1"/>
      <c r="I27" s="49">
        <f t="shared" si="2"/>
        <v>0</v>
      </c>
      <c r="J27" s="49">
        <f>IF($B27&lt;&gt;0,(E27/$B27*100),(IF(E27&lt;&gt;0,1,0)))</f>
        <v>0</v>
      </c>
      <c r="K27" s="49">
        <f t="shared" si="5"/>
        <v>0</v>
      </c>
      <c r="L27" s="49">
        <f t="shared" si="5"/>
        <v>0</v>
      </c>
    </row>
    <row r="28" spans="2:12" ht="12.75">
      <c r="B28" s="2"/>
      <c r="C28" s="258"/>
      <c r="D28" s="50"/>
      <c r="E28" s="50"/>
      <c r="F28" s="50"/>
      <c r="G28" s="50"/>
      <c r="H28" s="1"/>
      <c r="I28" s="49"/>
      <c r="J28" s="49"/>
      <c r="K28" s="49"/>
      <c r="L28" s="49"/>
    </row>
    <row r="29" spans="1:12" ht="12.75">
      <c r="A29" t="s">
        <v>16</v>
      </c>
      <c r="B29" s="2">
        <f t="shared" si="3"/>
        <v>89549961</v>
      </c>
      <c r="C29" s="275">
        <v>88772312</v>
      </c>
      <c r="D29" s="278">
        <v>777649</v>
      </c>
      <c r="E29" s="50">
        <v>0</v>
      </c>
      <c r="F29" s="50">
        <v>0</v>
      </c>
      <c r="G29" s="50">
        <v>0</v>
      </c>
      <c r="H29" s="1"/>
      <c r="I29" s="49">
        <f t="shared" si="2"/>
        <v>100</v>
      </c>
      <c r="J29" s="49">
        <f>IF($B29&lt;&gt;0,(E29/$B29*100),(IF(E29&lt;&gt;0,1,0)))</f>
        <v>0</v>
      </c>
      <c r="K29" s="49">
        <f aca="true" t="shared" si="6" ref="K29:L33">IF($B29&lt;&gt;0,(F29/$B29*100),(IF(F29&lt;&gt;0,1,0)))</f>
        <v>0</v>
      </c>
      <c r="L29" s="49">
        <f t="shared" si="6"/>
        <v>0</v>
      </c>
    </row>
    <row r="30" spans="1:12" ht="12.75">
      <c r="A30" t="s">
        <v>17</v>
      </c>
      <c r="B30" s="2">
        <f aca="true" t="shared" si="7" ref="B30:B38">SUM(C30:G30)</f>
        <v>35230270</v>
      </c>
      <c r="C30" s="275">
        <v>35230270</v>
      </c>
      <c r="D30" s="50">
        <v>0</v>
      </c>
      <c r="E30" s="50">
        <v>0</v>
      </c>
      <c r="F30" s="50">
        <v>0</v>
      </c>
      <c r="G30" s="50">
        <v>0</v>
      </c>
      <c r="H30" s="1"/>
      <c r="I30" s="49">
        <f t="shared" si="2"/>
        <v>100</v>
      </c>
      <c r="J30" s="49">
        <f>IF($B30&lt;&gt;0,(E30/$B30*100),(IF(E30&lt;&gt;0,1,0)))</f>
        <v>0</v>
      </c>
      <c r="K30" s="49">
        <f t="shared" si="6"/>
        <v>0</v>
      </c>
      <c r="L30" s="49">
        <f t="shared" si="6"/>
        <v>0</v>
      </c>
    </row>
    <row r="31" spans="1:12" ht="12.75">
      <c r="A31" t="s">
        <v>18</v>
      </c>
      <c r="B31" s="2">
        <f t="shared" si="7"/>
        <v>4784175</v>
      </c>
      <c r="C31" s="275">
        <v>4784175</v>
      </c>
      <c r="D31" s="50">
        <v>0</v>
      </c>
      <c r="E31" s="50">
        <v>0</v>
      </c>
      <c r="F31" s="50">
        <v>0</v>
      </c>
      <c r="G31" s="50">
        <v>0</v>
      </c>
      <c r="H31" s="1"/>
      <c r="I31" s="49">
        <f>IF(B31&lt;&gt;0,((+C31+D31)/B31*100),(IF(C31&lt;&gt;0,1,0)))</f>
        <v>100</v>
      </c>
      <c r="J31" s="49">
        <f>IF($B31&lt;&gt;0,(E31/$B31*100),(IF(E31&lt;&gt;0,1,0)))</f>
        <v>0</v>
      </c>
      <c r="K31" s="49">
        <f t="shared" si="6"/>
        <v>0</v>
      </c>
      <c r="L31" s="49">
        <f t="shared" si="6"/>
        <v>0</v>
      </c>
    </row>
    <row r="32" spans="1:12" ht="12.75">
      <c r="A32" t="s">
        <v>19</v>
      </c>
      <c r="B32" s="2">
        <f t="shared" si="7"/>
        <v>5509284</v>
      </c>
      <c r="C32" s="275">
        <v>5509284</v>
      </c>
      <c r="D32" s="50">
        <v>0</v>
      </c>
      <c r="E32" s="50">
        <v>0</v>
      </c>
      <c r="F32" s="50">
        <v>0</v>
      </c>
      <c r="G32" s="50">
        <v>0</v>
      </c>
      <c r="H32" s="1"/>
      <c r="I32" s="49">
        <f t="shared" si="2"/>
        <v>100</v>
      </c>
      <c r="J32" s="49">
        <f>IF($B32&lt;&gt;0,(E32/$B32*100),(IF(E32&lt;&gt;0,1,0)))</f>
        <v>0</v>
      </c>
      <c r="K32" s="49">
        <f t="shared" si="6"/>
        <v>0</v>
      </c>
      <c r="L32" s="49">
        <f t="shared" si="6"/>
        <v>0</v>
      </c>
    </row>
    <row r="33" spans="1:12" ht="12.75">
      <c r="A33" t="s">
        <v>20</v>
      </c>
      <c r="B33" s="2">
        <f t="shared" si="7"/>
        <v>0</v>
      </c>
      <c r="C33" s="258">
        <v>0</v>
      </c>
      <c r="D33" s="50">
        <v>0</v>
      </c>
      <c r="E33" s="50">
        <v>0</v>
      </c>
      <c r="F33" s="50">
        <v>0</v>
      </c>
      <c r="G33" s="50">
        <v>0</v>
      </c>
      <c r="H33" s="1"/>
      <c r="I33" s="49">
        <f t="shared" si="2"/>
        <v>0</v>
      </c>
      <c r="J33" s="49">
        <f>IF($B33&lt;&gt;0,(E33/$B33*100),(IF(E33&lt;&gt;0,1,0)))</f>
        <v>0</v>
      </c>
      <c r="K33" s="49">
        <f t="shared" si="6"/>
        <v>0</v>
      </c>
      <c r="L33" s="49">
        <f t="shared" si="6"/>
        <v>0</v>
      </c>
    </row>
    <row r="34" spans="2:12" ht="12.75">
      <c r="B34" s="2"/>
      <c r="C34" s="50"/>
      <c r="D34" s="50"/>
      <c r="E34" s="50"/>
      <c r="F34" s="50"/>
      <c r="G34" s="50"/>
      <c r="H34" s="1"/>
      <c r="I34" s="49"/>
      <c r="J34" s="49"/>
      <c r="K34" s="49"/>
      <c r="L34" s="49"/>
    </row>
    <row r="35" spans="1:12" ht="12.75">
      <c r="A35" t="s">
        <v>21</v>
      </c>
      <c r="B35" s="2">
        <f t="shared" si="7"/>
        <v>2041835</v>
      </c>
      <c r="C35" s="164">
        <v>2041835</v>
      </c>
      <c r="D35" s="50">
        <v>0</v>
      </c>
      <c r="E35" s="50">
        <v>0</v>
      </c>
      <c r="F35" s="50">
        <v>0</v>
      </c>
      <c r="G35" s="50">
        <v>0</v>
      </c>
      <c r="H35" s="1"/>
      <c r="I35" s="49">
        <f t="shared" si="2"/>
        <v>100</v>
      </c>
      <c r="J35" s="49">
        <f>IF($B35&lt;&gt;0,(E35/$B35*100),(IF(E35&lt;&gt;0,1,0)))</f>
        <v>0</v>
      </c>
      <c r="K35" s="49">
        <f aca="true" t="shared" si="8" ref="K35:L38">IF($B35&lt;&gt;0,(F35/$B35*100),(IF(F35&lt;&gt;0,1,0)))</f>
        <v>0</v>
      </c>
      <c r="L35" s="49">
        <f t="shared" si="8"/>
        <v>0</v>
      </c>
    </row>
    <row r="36" spans="1:12" ht="12.75">
      <c r="A36" t="s">
        <v>22</v>
      </c>
      <c r="B36" s="2">
        <f>SUM(C36:G36)</f>
        <v>4785572</v>
      </c>
      <c r="C36" s="164">
        <v>4785572</v>
      </c>
      <c r="D36" s="92">
        <v>0</v>
      </c>
      <c r="E36" s="50">
        <v>0</v>
      </c>
      <c r="F36" s="50">
        <v>0</v>
      </c>
      <c r="G36" s="50">
        <v>0</v>
      </c>
      <c r="H36" s="1"/>
      <c r="I36" s="49">
        <f>IF(B36&lt;&gt;0,((+C36+G36)/B36*100),(IF(C36&lt;&gt;0,1,0)))</f>
        <v>100</v>
      </c>
      <c r="J36" s="49">
        <f>IF($B36&lt;&gt;0,(E36/$B36*100),(IF(E36&lt;&gt;0,1,0)))</f>
        <v>0</v>
      </c>
      <c r="K36" s="49">
        <f t="shared" si="8"/>
        <v>0</v>
      </c>
      <c r="L36" s="49">
        <f t="shared" si="8"/>
        <v>0</v>
      </c>
    </row>
    <row r="37" spans="1:12" ht="12.75">
      <c r="A37" t="s">
        <v>23</v>
      </c>
      <c r="B37" s="1">
        <f t="shared" si="7"/>
        <v>6519605</v>
      </c>
      <c r="C37" s="164">
        <v>6519605</v>
      </c>
      <c r="D37" s="50">
        <v>0</v>
      </c>
      <c r="E37" s="50">
        <v>0</v>
      </c>
      <c r="F37" s="50">
        <v>0</v>
      </c>
      <c r="G37" s="50">
        <v>0</v>
      </c>
      <c r="H37" s="1"/>
      <c r="I37" s="49">
        <f t="shared" si="2"/>
        <v>100</v>
      </c>
      <c r="J37" s="49">
        <f>IF($B37&lt;&gt;0,(E37/$B37*100),(IF(E37&lt;&gt;0,1,0)))</f>
        <v>0</v>
      </c>
      <c r="K37" s="49">
        <f t="shared" si="8"/>
        <v>0</v>
      </c>
      <c r="L37" s="49">
        <f t="shared" si="8"/>
        <v>0</v>
      </c>
    </row>
    <row r="38" spans="1:12" ht="12.75">
      <c r="A38" s="14" t="s">
        <v>24</v>
      </c>
      <c r="B38" s="15">
        <f t="shared" si="7"/>
        <v>2527134</v>
      </c>
      <c r="C38" s="277">
        <v>2527134</v>
      </c>
      <c r="D38" s="51">
        <v>0</v>
      </c>
      <c r="E38" s="51">
        <v>0</v>
      </c>
      <c r="F38" s="51">
        <v>0</v>
      </c>
      <c r="G38" s="51">
        <v>0</v>
      </c>
      <c r="H38" s="15"/>
      <c r="I38" s="44">
        <f t="shared" si="2"/>
        <v>100</v>
      </c>
      <c r="J38" s="44">
        <f>IF($B38&lt;&gt;0,(E38/$B38*100),(IF(E38&lt;&gt;0,1,0)))</f>
        <v>0</v>
      </c>
      <c r="K38" s="44">
        <f t="shared" si="8"/>
        <v>0</v>
      </c>
      <c r="L38" s="44">
        <f t="shared" si="8"/>
        <v>0</v>
      </c>
    </row>
    <row r="39" spans="1:12" ht="12.75">
      <c r="A39" t="s">
        <v>114</v>
      </c>
      <c r="D39" s="1"/>
      <c r="I39" s="22"/>
      <c r="J39" s="18"/>
      <c r="K39" s="18"/>
      <c r="L39" s="18"/>
    </row>
    <row r="40" spans="1:4" ht="12.75">
      <c r="A40" s="25" t="s">
        <v>141</v>
      </c>
      <c r="D40" s="1"/>
    </row>
    <row r="41" spans="1:4" ht="12.75">
      <c r="A41" s="71"/>
      <c r="D41" s="1"/>
    </row>
    <row r="42" ht="12.75">
      <c r="D42" s="1"/>
    </row>
    <row r="43" ht="12.75">
      <c r="D43" s="1"/>
    </row>
  </sheetData>
  <sheetProtection password="C935" sheet="1" objects="1" scenarios="1"/>
  <mergeCells count="6">
    <mergeCell ref="C7:D7"/>
    <mergeCell ref="A1:K1"/>
    <mergeCell ref="A3:K3"/>
    <mergeCell ref="A4:K4"/>
    <mergeCell ref="C6:F6"/>
    <mergeCell ref="I6:L6"/>
  </mergeCells>
  <printOptions horizontalCentered="1"/>
  <pageMargins left="0.59" right="0.59" top="0.83" bottom="1" header="0.67" footer="0.5"/>
  <pageSetup fitToHeight="1" fitToWidth="1" horizontalDpi="600" verticalDpi="600" orientation="landscape" scale="92" r:id="rId1"/>
  <headerFooter alignWithMargins="0">
    <oddFooter>&amp;L&amp;"Arial,Italic"&amp;9MSDE-DBS   11  / 2006
&amp;C- 5 -&amp;R&amp;"Arial,Italic"&amp;9Selected Financial Data-Part 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7"/>
  <sheetViews>
    <sheetView workbookViewId="0" topLeftCell="A1">
      <selection activeCell="B16" sqref="B16"/>
    </sheetView>
  </sheetViews>
  <sheetFormatPr defaultColWidth="9.140625" defaultRowHeight="12.75"/>
  <cols>
    <col min="1" max="1" width="14.140625" style="0" customWidth="1"/>
    <col min="2" max="2" width="13.140625" style="0" customWidth="1"/>
    <col min="3" max="3" width="14.8515625" style="0" customWidth="1"/>
    <col min="4" max="4" width="12.28125" style="0" customWidth="1"/>
    <col min="5" max="5" width="14.28125" style="0" customWidth="1"/>
    <col min="6" max="7" width="11.421875" style="0" customWidth="1"/>
    <col min="8" max="9" width="14.140625" style="0" customWidth="1"/>
    <col min="10" max="10" width="0.85546875" style="0" customWidth="1"/>
    <col min="11" max="11" width="12.00390625" style="52" customWidth="1"/>
    <col min="12" max="12" width="1.1484375" style="0" customWidth="1"/>
    <col min="13" max="13" width="8.8515625" style="0" customWidth="1"/>
    <col min="14" max="14" width="7.8515625" style="0" customWidth="1"/>
    <col min="15" max="15" width="8.7109375" style="0" customWidth="1"/>
    <col min="16" max="16" width="8.421875" style="0" customWidth="1"/>
    <col min="18" max="18" width="11.28125" style="0" bestFit="1" customWidth="1"/>
  </cols>
  <sheetData>
    <row r="1" spans="1:16" ht="12.75">
      <c r="A1" s="376" t="s">
        <v>115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99"/>
      <c r="L2" s="43"/>
      <c r="M2" s="43"/>
      <c r="N2" s="43"/>
      <c r="O2" s="43"/>
      <c r="P2" s="43"/>
    </row>
    <row r="3" spans="1:16" ht="12.75">
      <c r="A3" s="376" t="s">
        <v>274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ht="12.75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5" spans="1:16" ht="13.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99"/>
      <c r="L5" s="43"/>
      <c r="M5" s="100"/>
      <c r="N5" s="100"/>
      <c r="O5" s="100"/>
      <c r="P5" s="100"/>
    </row>
    <row r="6" spans="1:42" ht="15" customHeight="1" thickTop="1">
      <c r="A6" s="101"/>
      <c r="B6" s="102"/>
      <c r="C6" s="387" t="s">
        <v>105</v>
      </c>
      <c r="D6" s="387"/>
      <c r="E6" s="387"/>
      <c r="F6" s="387"/>
      <c r="G6" s="387"/>
      <c r="H6" s="387"/>
      <c r="I6" s="387"/>
      <c r="J6" s="387"/>
      <c r="K6" s="103"/>
      <c r="L6" s="101"/>
      <c r="M6" s="385"/>
      <c r="N6" s="385"/>
      <c r="O6" s="385"/>
      <c r="P6" s="385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16" ht="12.75">
      <c r="A7" s="86" t="s">
        <v>101</v>
      </c>
      <c r="B7" s="104" t="s">
        <v>53</v>
      </c>
      <c r="C7" s="383" t="s">
        <v>101</v>
      </c>
      <c r="D7" s="383"/>
      <c r="E7" s="383"/>
      <c r="F7" s="383"/>
      <c r="G7" s="388" t="s">
        <v>54</v>
      </c>
      <c r="H7" s="383" t="s">
        <v>66</v>
      </c>
      <c r="I7" s="383"/>
      <c r="J7" s="104"/>
      <c r="K7" s="105"/>
      <c r="L7" s="104"/>
      <c r="M7" s="386" t="s">
        <v>107</v>
      </c>
      <c r="N7" s="386"/>
      <c r="O7" s="386"/>
      <c r="P7" s="386"/>
    </row>
    <row r="8" spans="1:16" ht="12.75">
      <c r="A8" s="86" t="s">
        <v>41</v>
      </c>
      <c r="B8" s="104" t="s">
        <v>108</v>
      </c>
      <c r="C8" s="104" t="s">
        <v>116</v>
      </c>
      <c r="D8" s="104" t="s">
        <v>47</v>
      </c>
      <c r="E8" s="104" t="s">
        <v>277</v>
      </c>
      <c r="F8" s="104"/>
      <c r="G8" s="389"/>
      <c r="H8" s="104" t="s">
        <v>128</v>
      </c>
      <c r="I8" s="104" t="s">
        <v>171</v>
      </c>
      <c r="J8" s="104"/>
      <c r="K8" s="104" t="s">
        <v>103</v>
      </c>
      <c r="L8" s="104"/>
      <c r="M8" s="106"/>
      <c r="N8" s="106"/>
      <c r="O8" s="106"/>
      <c r="P8" s="106" t="s">
        <v>103</v>
      </c>
    </row>
    <row r="9" spans="1:16" ht="13.5" thickBot="1">
      <c r="A9" s="107" t="s">
        <v>154</v>
      </c>
      <c r="B9" s="108" t="s">
        <v>109</v>
      </c>
      <c r="C9" s="109" t="s">
        <v>117</v>
      </c>
      <c r="D9" s="109" t="s">
        <v>118</v>
      </c>
      <c r="E9" s="109" t="s">
        <v>278</v>
      </c>
      <c r="F9" s="109" t="s">
        <v>129</v>
      </c>
      <c r="G9" s="357"/>
      <c r="H9" s="108" t="s">
        <v>117</v>
      </c>
      <c r="I9" s="108" t="s">
        <v>95</v>
      </c>
      <c r="J9" s="108"/>
      <c r="K9" s="109" t="s">
        <v>106</v>
      </c>
      <c r="L9" s="109"/>
      <c r="M9" s="110" t="s">
        <v>101</v>
      </c>
      <c r="N9" s="110" t="s">
        <v>54</v>
      </c>
      <c r="O9" s="110" t="s">
        <v>66</v>
      </c>
      <c r="P9" s="110" t="s">
        <v>106</v>
      </c>
    </row>
    <row r="10" spans="1:18" ht="12.75">
      <c r="A10" s="86" t="s">
        <v>0</v>
      </c>
      <c r="B10" s="95">
        <f aca="true" t="shared" si="0" ref="B10:I10">SUM(B12:B39)</f>
        <v>257529191.92999998</v>
      </c>
      <c r="C10" s="95">
        <f t="shared" si="0"/>
        <v>100434654.63000001</v>
      </c>
      <c r="D10" s="95">
        <f t="shared" si="0"/>
        <v>19146187.54</v>
      </c>
      <c r="E10" s="95">
        <f>SUM(E12:E39)</f>
        <v>602128.45</v>
      </c>
      <c r="F10" s="95">
        <f>SUM(F12:F39)</f>
        <v>4885908.2</v>
      </c>
      <c r="G10" s="95">
        <f>SUM(G12:G39)</f>
        <v>5986021.170000001</v>
      </c>
      <c r="H10" s="95">
        <f t="shared" si="0"/>
        <v>112395655.39000002</v>
      </c>
      <c r="I10" s="95">
        <f t="shared" si="0"/>
        <v>11540199.019999998</v>
      </c>
      <c r="J10" s="95"/>
      <c r="K10" s="111">
        <f>SUM(K12:K39)</f>
        <v>2557512.53</v>
      </c>
      <c r="L10" s="95"/>
      <c r="M10" s="112">
        <f>SUM(C10:F10)/B10</f>
        <v>0.485649327296439</v>
      </c>
      <c r="N10" s="112">
        <f>+G10/B10</f>
        <v>0.023244049053775175</v>
      </c>
      <c r="O10" s="112">
        <f>(+H10+I10)/B10</f>
        <v>0.4812497312680867</v>
      </c>
      <c r="P10" s="112">
        <f>+K10/B10</f>
        <v>0.009930961654611829</v>
      </c>
      <c r="R10" s="90"/>
    </row>
    <row r="11" spans="1:18" ht="12.75">
      <c r="A11" s="86"/>
      <c r="B11" s="96"/>
      <c r="C11" s="93"/>
      <c r="D11" s="93"/>
      <c r="E11" s="93"/>
      <c r="F11" s="93"/>
      <c r="G11" s="91"/>
      <c r="H11" s="96"/>
      <c r="I11" s="97"/>
      <c r="J11" s="97"/>
      <c r="K11" s="113"/>
      <c r="L11" s="93"/>
      <c r="M11" s="114"/>
      <c r="N11" s="114"/>
      <c r="O11" s="114"/>
      <c r="P11" s="114"/>
      <c r="R11" s="56"/>
    </row>
    <row r="12" spans="1:18" ht="12.75">
      <c r="A12" s="43" t="s">
        <v>1</v>
      </c>
      <c r="B12" s="94">
        <f>SUM(C12:K12)</f>
        <v>4854865.749999999</v>
      </c>
      <c r="C12" s="94">
        <v>1111667.9</v>
      </c>
      <c r="D12" s="94">
        <v>766464.92</v>
      </c>
      <c r="E12" s="94">
        <v>0</v>
      </c>
      <c r="F12" s="94">
        <v>0</v>
      </c>
      <c r="G12" s="91">
        <v>134390.67</v>
      </c>
      <c r="H12" s="94">
        <v>2059203.77</v>
      </c>
      <c r="I12" s="94">
        <v>268883.02</v>
      </c>
      <c r="J12" s="115"/>
      <c r="K12" s="116">
        <v>514255.47</v>
      </c>
      <c r="L12" s="87"/>
      <c r="M12" s="114">
        <f>SUM(C12:F12)/B12*100</f>
        <v>38.685576835981514</v>
      </c>
      <c r="N12" s="114">
        <f>+G12/B12*100</f>
        <v>2.768164495588782</v>
      </c>
      <c r="O12" s="114">
        <f>(+H12+I12)/B12*100</f>
        <v>47.95368007858921</v>
      </c>
      <c r="P12" s="114">
        <f aca="true" t="shared" si="1" ref="P12:P39">+K12/B12*100</f>
        <v>10.592578589840514</v>
      </c>
      <c r="Q12" s="53"/>
      <c r="R12" s="89"/>
    </row>
    <row r="13" spans="1:18" ht="12.75">
      <c r="A13" s="43" t="s">
        <v>2</v>
      </c>
      <c r="B13" s="94">
        <f aca="true" t="shared" si="2" ref="B13:B37">SUM(C13:K13)</f>
        <v>17856572</v>
      </c>
      <c r="C13" s="94">
        <v>10933841</v>
      </c>
      <c r="D13" s="94">
        <v>148578</v>
      </c>
      <c r="E13" s="94">
        <v>95412</v>
      </c>
      <c r="F13" s="94">
        <v>0</v>
      </c>
      <c r="G13" s="91">
        <v>306724</v>
      </c>
      <c r="H13" s="94">
        <v>5367447</v>
      </c>
      <c r="I13" s="94">
        <v>998365</v>
      </c>
      <c r="J13" s="115"/>
      <c r="K13" s="281">
        <v>6205</v>
      </c>
      <c r="L13" s="117"/>
      <c r="M13" s="114">
        <f>SUM(C13:F13)/B13*100</f>
        <v>62.59785472821995</v>
      </c>
      <c r="N13" s="114">
        <f aca="true" t="shared" si="3" ref="N13:N39">+G13/B13*100</f>
        <v>1.7177093117312774</v>
      </c>
      <c r="O13" s="114">
        <f aca="true" t="shared" si="4" ref="O13:O39">(+H13+I13)/B13*100</f>
        <v>35.649686849189195</v>
      </c>
      <c r="P13" s="114">
        <f t="shared" si="1"/>
        <v>0.03474911085957596</v>
      </c>
      <c r="R13" s="89"/>
    </row>
    <row r="14" spans="1:18" ht="12.75">
      <c r="A14" s="43" t="s">
        <v>3</v>
      </c>
      <c r="B14" s="94">
        <f t="shared" si="2"/>
        <v>28189892.810000002</v>
      </c>
      <c r="C14" s="164">
        <v>0</v>
      </c>
      <c r="D14" s="164">
        <v>3247510.49</v>
      </c>
      <c r="E14" s="164">
        <v>0</v>
      </c>
      <c r="F14" s="279">
        <v>0</v>
      </c>
      <c r="G14" s="91">
        <v>880550.31</v>
      </c>
      <c r="H14" s="94">
        <v>22393307.26</v>
      </c>
      <c r="I14" s="94">
        <v>0</v>
      </c>
      <c r="J14" s="115"/>
      <c r="K14" s="116">
        <v>1668524.75</v>
      </c>
      <c r="L14" s="117"/>
      <c r="M14" s="114">
        <f>SUM(C14:F14)/B14*100</f>
        <v>11.520123584322347</v>
      </c>
      <c r="N14" s="114">
        <f t="shared" si="3"/>
        <v>3.1236383761191036</v>
      </c>
      <c r="O14" s="114">
        <f t="shared" si="4"/>
        <v>79.43736221677389</v>
      </c>
      <c r="P14" s="114">
        <f t="shared" si="1"/>
        <v>5.918875822784655</v>
      </c>
      <c r="R14" s="89"/>
    </row>
    <row r="15" spans="1:18" ht="12.75">
      <c r="A15" s="43" t="s">
        <v>4</v>
      </c>
      <c r="B15" s="94">
        <f t="shared" si="2"/>
        <v>31879316.889999997</v>
      </c>
      <c r="C15" s="94">
        <v>9240982.61</v>
      </c>
      <c r="D15" s="94">
        <v>5375478.07</v>
      </c>
      <c r="E15" s="94">
        <v>0</v>
      </c>
      <c r="F15" s="94">
        <v>1433948.27</v>
      </c>
      <c r="G15" s="91">
        <v>826565.65</v>
      </c>
      <c r="H15" s="94">
        <v>13357352.09</v>
      </c>
      <c r="I15" s="94">
        <v>1644990.2</v>
      </c>
      <c r="J15" s="115"/>
      <c r="K15" s="116">
        <v>0</v>
      </c>
      <c r="L15" s="117"/>
      <c r="M15" s="114">
        <f>SUM(C15:F15)/B15*100</f>
        <v>50.34740551493668</v>
      </c>
      <c r="N15" s="114">
        <f t="shared" si="3"/>
        <v>2.592795990115082</v>
      </c>
      <c r="O15" s="114">
        <f t="shared" si="4"/>
        <v>47.05979849494824</v>
      </c>
      <c r="P15" s="114">
        <f t="shared" si="1"/>
        <v>0</v>
      </c>
      <c r="R15" s="89"/>
    </row>
    <row r="16" spans="1:18" ht="12.75">
      <c r="A16" s="43" t="s">
        <v>5</v>
      </c>
      <c r="B16" s="94">
        <f t="shared" si="2"/>
        <v>4864567.11</v>
      </c>
      <c r="C16" s="94">
        <v>1168564.9</v>
      </c>
      <c r="D16" s="94">
        <v>2591154.51</v>
      </c>
      <c r="E16" s="279">
        <v>19984.49</v>
      </c>
      <c r="F16" s="164">
        <v>0</v>
      </c>
      <c r="G16" s="91">
        <v>34767.04</v>
      </c>
      <c r="H16" s="94">
        <v>844815.44</v>
      </c>
      <c r="I16" s="94">
        <v>205280.73</v>
      </c>
      <c r="J16" s="115"/>
      <c r="K16" s="116">
        <v>0</v>
      </c>
      <c r="L16" s="117"/>
      <c r="M16" s="114">
        <f>SUM(C16:F16)/B16*100</f>
        <v>77.69866905998958</v>
      </c>
      <c r="N16" s="114">
        <f t="shared" si="3"/>
        <v>0.714699565528247</v>
      </c>
      <c r="O16" s="114">
        <f t="shared" si="4"/>
        <v>21.586631374482153</v>
      </c>
      <c r="P16" s="114">
        <f t="shared" si="1"/>
        <v>0</v>
      </c>
      <c r="R16" s="89"/>
    </row>
    <row r="17" spans="1:18" ht="12.75">
      <c r="A17" s="43"/>
      <c r="B17" s="94"/>
      <c r="C17" s="94"/>
      <c r="D17" s="94"/>
      <c r="E17" s="94"/>
      <c r="F17" s="279"/>
      <c r="G17" s="91"/>
      <c r="H17" s="94"/>
      <c r="I17" s="94"/>
      <c r="J17" s="115"/>
      <c r="K17" s="116"/>
      <c r="L17" s="117"/>
      <c r="M17" s="114"/>
      <c r="N17" s="114"/>
      <c r="O17" s="114"/>
      <c r="P17" s="114"/>
      <c r="R17" s="50"/>
    </row>
    <row r="18" spans="1:18" ht="12.75">
      <c r="A18" s="43" t="s">
        <v>6</v>
      </c>
      <c r="B18" s="94">
        <f t="shared" si="2"/>
        <v>2112269.25</v>
      </c>
      <c r="C18" s="94">
        <v>904231.02</v>
      </c>
      <c r="D18" s="164">
        <v>0</v>
      </c>
      <c r="E18" s="279">
        <v>3217.88</v>
      </c>
      <c r="F18" s="94">
        <v>8685</v>
      </c>
      <c r="G18" s="91">
        <v>55935.93</v>
      </c>
      <c r="H18" s="94">
        <v>977437.07</v>
      </c>
      <c r="I18" s="94">
        <v>121131.44</v>
      </c>
      <c r="J18" s="115"/>
      <c r="K18" s="116">
        <v>41630.91</v>
      </c>
      <c r="L18" s="117"/>
      <c r="M18" s="114">
        <f>SUM(C18:E18)/B18*100</f>
        <v>42.96085359383043</v>
      </c>
      <c r="N18" s="114">
        <f t="shared" si="3"/>
        <v>2.648143933355087</v>
      </c>
      <c r="O18" s="114">
        <f t="shared" si="4"/>
        <v>52.008924051704106</v>
      </c>
      <c r="P18" s="114">
        <f t="shared" si="1"/>
        <v>1.9709092484303317</v>
      </c>
      <c r="R18" s="89"/>
    </row>
    <row r="19" spans="1:18" ht="12.75">
      <c r="A19" s="43" t="s">
        <v>7</v>
      </c>
      <c r="B19" s="94">
        <f>SUM(C19:J19)</f>
        <v>6033555</v>
      </c>
      <c r="C19" s="94">
        <v>3954374</v>
      </c>
      <c r="D19" s="94">
        <v>161021</v>
      </c>
      <c r="E19" s="280">
        <v>14652</v>
      </c>
      <c r="F19" s="116">
        <v>163499</v>
      </c>
      <c r="G19" s="91">
        <v>59346</v>
      </c>
      <c r="H19" s="94">
        <v>1258441</v>
      </c>
      <c r="I19" s="94">
        <v>422222</v>
      </c>
      <c r="J19" s="115"/>
      <c r="K19" s="116">
        <v>0</v>
      </c>
      <c r="L19" s="117"/>
      <c r="M19" s="114">
        <f>SUM(C19:E19)/B19*100</f>
        <v>68.45130275600371</v>
      </c>
      <c r="N19" s="114">
        <f t="shared" si="3"/>
        <v>0.9835992213545746</v>
      </c>
      <c r="O19" s="114">
        <f t="shared" si="4"/>
        <v>27.855269405847793</v>
      </c>
      <c r="P19" s="114">
        <f>+F19/B19*100</f>
        <v>2.7098286167939136</v>
      </c>
      <c r="R19" s="89"/>
    </row>
    <row r="20" spans="1:18" ht="12.75">
      <c r="A20" s="43" t="s">
        <v>8</v>
      </c>
      <c r="B20" s="94">
        <f t="shared" si="2"/>
        <v>4660880.510000001</v>
      </c>
      <c r="C20" s="94">
        <v>2536340.18</v>
      </c>
      <c r="D20" s="94">
        <v>48426.18</v>
      </c>
      <c r="E20" s="94"/>
      <c r="F20" s="279">
        <v>28813.93</v>
      </c>
      <c r="G20" s="91">
        <v>146114.31</v>
      </c>
      <c r="H20" s="94">
        <v>1655517.26</v>
      </c>
      <c r="I20" s="94">
        <v>242164.25</v>
      </c>
      <c r="J20" s="115"/>
      <c r="K20" s="116">
        <v>3504.4</v>
      </c>
      <c r="L20" s="117"/>
      <c r="M20" s="114">
        <f>SUM(C20:F20)/B20*100</f>
        <v>56.07481857542837</v>
      </c>
      <c r="N20" s="114">
        <f t="shared" si="3"/>
        <v>3.134907871731729</v>
      </c>
      <c r="O20" s="114">
        <f t="shared" si="4"/>
        <v>40.71508604283013</v>
      </c>
      <c r="P20" s="114">
        <f t="shared" si="1"/>
        <v>0.0751875100097771</v>
      </c>
      <c r="R20" s="89"/>
    </row>
    <row r="21" spans="1:18" ht="12.75">
      <c r="A21" s="43" t="s">
        <v>279</v>
      </c>
      <c r="B21" s="94">
        <f t="shared" si="2"/>
        <v>8084352.13</v>
      </c>
      <c r="C21" s="94">
        <v>4245942.87</v>
      </c>
      <c r="D21" s="94">
        <v>414599.98</v>
      </c>
      <c r="E21" s="94">
        <v>20493.16</v>
      </c>
      <c r="F21" s="279">
        <f>152308.02+200216.9</f>
        <v>352524.92</v>
      </c>
      <c r="G21" s="91">
        <v>166022.38</v>
      </c>
      <c r="H21" s="94">
        <v>2454931.79</v>
      </c>
      <c r="I21" s="94">
        <v>429837.03</v>
      </c>
      <c r="J21" s="115"/>
      <c r="K21" s="279">
        <v>0</v>
      </c>
      <c r="L21" s="117"/>
      <c r="M21" s="114">
        <f>SUM(C21:F21)/B21*100</f>
        <v>62.26300944167309</v>
      </c>
      <c r="N21" s="114">
        <f t="shared" si="3"/>
        <v>2.0536262811204393</v>
      </c>
      <c r="O21" s="114">
        <f t="shared" si="4"/>
        <v>35.68336427720647</v>
      </c>
      <c r="P21" s="114">
        <f t="shared" si="1"/>
        <v>0</v>
      </c>
      <c r="R21" s="89"/>
    </row>
    <row r="22" spans="1:18" ht="12.75">
      <c r="A22" s="43" t="s">
        <v>10</v>
      </c>
      <c r="B22" s="94">
        <f>SUM(C22:J22)</f>
        <v>1957786</v>
      </c>
      <c r="C22" s="94">
        <v>733891</v>
      </c>
      <c r="D22" s="94">
        <v>0</v>
      </c>
      <c r="E22" s="279">
        <v>8096</v>
      </c>
      <c r="F22" s="282">
        <v>16422</v>
      </c>
      <c r="G22" s="91">
        <v>60436</v>
      </c>
      <c r="H22" s="94">
        <v>1029746</v>
      </c>
      <c r="I22" s="94">
        <v>109195</v>
      </c>
      <c r="J22" s="115"/>
      <c r="K22" s="279">
        <v>0</v>
      </c>
      <c r="L22" s="117"/>
      <c r="M22" s="114">
        <f>SUM(C22:E22)/B22*100</f>
        <v>37.89929032080115</v>
      </c>
      <c r="N22" s="114">
        <f t="shared" si="3"/>
        <v>3.0869563884918985</v>
      </c>
      <c r="O22" s="114">
        <f t="shared" si="4"/>
        <v>58.17494864096484</v>
      </c>
      <c r="P22" s="114">
        <f t="shared" si="1"/>
        <v>0</v>
      </c>
      <c r="R22" s="89"/>
    </row>
    <row r="23" spans="1:18" ht="12.75">
      <c r="A23" s="43"/>
      <c r="B23" s="94"/>
      <c r="C23" s="94"/>
      <c r="D23" s="94"/>
      <c r="E23" s="94"/>
      <c r="F23" s="279"/>
      <c r="G23" s="91"/>
      <c r="H23" s="94"/>
      <c r="I23" s="94"/>
      <c r="J23" s="115"/>
      <c r="K23" s="282"/>
      <c r="L23" s="117"/>
      <c r="M23" s="114"/>
      <c r="N23" s="114"/>
      <c r="O23" s="114"/>
      <c r="P23" s="114"/>
      <c r="R23" s="50"/>
    </row>
    <row r="24" spans="1:18" ht="12.75">
      <c r="A24" s="43" t="s">
        <v>11</v>
      </c>
      <c r="B24" s="94">
        <f>SUM(C24:J24)</f>
        <v>9825063</v>
      </c>
      <c r="C24" s="94">
        <v>6575168</v>
      </c>
      <c r="D24" s="94">
        <v>220413</v>
      </c>
      <c r="E24" s="279">
        <v>917</v>
      </c>
      <c r="F24" s="282">
        <v>691</v>
      </c>
      <c r="G24" s="91">
        <v>135986</v>
      </c>
      <c r="H24" s="94">
        <v>2329624</v>
      </c>
      <c r="I24" s="94">
        <v>562264</v>
      </c>
      <c r="J24" s="115"/>
      <c r="K24" s="279">
        <v>0</v>
      </c>
      <c r="L24" s="117"/>
      <c r="M24" s="114">
        <f>SUM(C24:E24)/B24*100</f>
        <v>69.17510859726804</v>
      </c>
      <c r="N24" s="114">
        <f t="shared" si="3"/>
        <v>1.384072549967364</v>
      </c>
      <c r="O24" s="114">
        <f t="shared" si="4"/>
        <v>29.433785818981516</v>
      </c>
      <c r="P24" s="114">
        <f>+F24/B24*100</f>
        <v>0.007033033783091263</v>
      </c>
      <c r="R24" s="89"/>
    </row>
    <row r="25" spans="1:18" ht="12.75">
      <c r="A25" s="43" t="s">
        <v>12</v>
      </c>
      <c r="B25" s="94">
        <f t="shared" si="2"/>
        <v>2265430</v>
      </c>
      <c r="C25" s="94">
        <v>411463</v>
      </c>
      <c r="D25" s="94">
        <v>569579</v>
      </c>
      <c r="E25" s="279">
        <v>3006</v>
      </c>
      <c r="F25" s="279">
        <v>0</v>
      </c>
      <c r="G25" s="91">
        <v>92912</v>
      </c>
      <c r="H25" s="94">
        <v>873349</v>
      </c>
      <c r="I25" s="94">
        <v>113884</v>
      </c>
      <c r="J25" s="115"/>
      <c r="K25" s="279">
        <f>1644+199593</f>
        <v>201237</v>
      </c>
      <c r="L25" s="117"/>
      <c r="M25" s="114">
        <f>SUM(C25:E25)/B25*100</f>
        <v>43.43758138631518</v>
      </c>
      <c r="N25" s="114">
        <f t="shared" si="3"/>
        <v>4.101296442617958</v>
      </c>
      <c r="O25" s="114">
        <f t="shared" si="4"/>
        <v>43.578172797217306</v>
      </c>
      <c r="P25" s="114">
        <f t="shared" si="1"/>
        <v>8.882949373849556</v>
      </c>
      <c r="R25" s="89"/>
    </row>
    <row r="26" spans="1:18" ht="12.75">
      <c r="A26" s="43" t="s">
        <v>13</v>
      </c>
      <c r="B26" s="94">
        <f t="shared" si="2"/>
        <v>11820668</v>
      </c>
      <c r="C26" s="94">
        <v>7185959</v>
      </c>
      <c r="D26" s="94">
        <v>0</v>
      </c>
      <c r="E26" s="279">
        <v>50102</v>
      </c>
      <c r="F26" s="284">
        <v>2376</v>
      </c>
      <c r="G26" s="91">
        <v>242644</v>
      </c>
      <c r="H26" s="94">
        <v>4339587</v>
      </c>
      <c r="I26" s="94">
        <v>0</v>
      </c>
      <c r="J26" s="115"/>
      <c r="K26" s="116">
        <v>0</v>
      </c>
      <c r="L26" s="117"/>
      <c r="M26" s="114">
        <f>SUM(C26:E26)/B26*100</f>
        <v>61.21533063952054</v>
      </c>
      <c r="N26" s="114">
        <f t="shared" si="3"/>
        <v>2.052709711498538</v>
      </c>
      <c r="O26" s="114">
        <f t="shared" si="4"/>
        <v>36.71185926209923</v>
      </c>
      <c r="P26" s="114">
        <f t="shared" si="1"/>
        <v>0</v>
      </c>
      <c r="R26" s="89"/>
    </row>
    <row r="27" spans="1:18" ht="12.75">
      <c r="A27" s="43" t="s">
        <v>14</v>
      </c>
      <c r="B27" s="94">
        <f t="shared" si="2"/>
        <v>9961539</v>
      </c>
      <c r="C27" s="94">
        <v>6975425</v>
      </c>
      <c r="D27" s="94">
        <v>0</v>
      </c>
      <c r="E27" s="279">
        <v>9646</v>
      </c>
      <c r="F27" s="279">
        <v>49879</v>
      </c>
      <c r="G27" s="91">
        <v>79116</v>
      </c>
      <c r="H27" s="94">
        <v>2245440</v>
      </c>
      <c r="I27" s="94">
        <v>602033</v>
      </c>
      <c r="J27" s="115"/>
      <c r="K27" s="116">
        <v>0</v>
      </c>
      <c r="L27" s="117"/>
      <c r="M27" s="114">
        <f>SUM(C27:E27)/B27*100</f>
        <v>70.12040007071197</v>
      </c>
      <c r="N27" s="114">
        <f t="shared" si="3"/>
        <v>0.7942146288841514</v>
      </c>
      <c r="O27" s="114">
        <f t="shared" si="4"/>
        <v>28.584669497353772</v>
      </c>
      <c r="P27" s="114">
        <f t="shared" si="1"/>
        <v>0</v>
      </c>
      <c r="R27" s="89"/>
    </row>
    <row r="28" spans="1:18" ht="12.75">
      <c r="A28" s="43" t="s">
        <v>15</v>
      </c>
      <c r="B28" s="94">
        <f t="shared" si="2"/>
        <v>1112731</v>
      </c>
      <c r="C28" s="94">
        <v>502304</v>
      </c>
      <c r="D28" s="94">
        <v>13000</v>
      </c>
      <c r="E28" s="94">
        <v>0</v>
      </c>
      <c r="F28" s="94">
        <v>0</v>
      </c>
      <c r="G28" s="91">
        <v>70193</v>
      </c>
      <c r="H28" s="94">
        <v>460592</v>
      </c>
      <c r="I28" s="94">
        <v>66642</v>
      </c>
      <c r="J28" s="115"/>
      <c r="K28" s="116">
        <v>0</v>
      </c>
      <c r="L28" s="117"/>
      <c r="M28" s="114">
        <f>SUM(C28:F28)/B28*100</f>
        <v>46.3098448771536</v>
      </c>
      <c r="N28" s="114">
        <f t="shared" si="3"/>
        <v>6.308173314125337</v>
      </c>
      <c r="O28" s="114">
        <f t="shared" si="4"/>
        <v>47.381981808721065</v>
      </c>
      <c r="P28" s="114">
        <f t="shared" si="1"/>
        <v>0</v>
      </c>
      <c r="R28" s="89"/>
    </row>
    <row r="29" spans="1:18" ht="12.75">
      <c r="A29" s="43"/>
      <c r="B29" s="94"/>
      <c r="C29" s="94"/>
      <c r="D29" s="94"/>
      <c r="E29" s="94"/>
      <c r="F29" s="156"/>
      <c r="G29" s="91"/>
      <c r="H29" s="94"/>
      <c r="I29" s="94"/>
      <c r="J29" s="115"/>
      <c r="K29" s="116"/>
      <c r="L29" s="117"/>
      <c r="M29" s="114"/>
      <c r="N29" s="114"/>
      <c r="O29" s="114"/>
      <c r="P29" s="114"/>
      <c r="R29" s="50"/>
    </row>
    <row r="30" spans="1:18" ht="12.75">
      <c r="A30" s="43" t="s">
        <v>16</v>
      </c>
      <c r="B30" s="94">
        <f t="shared" si="2"/>
        <v>38469217.6</v>
      </c>
      <c r="C30" s="94">
        <v>21240578.89</v>
      </c>
      <c r="D30" s="94">
        <v>0</v>
      </c>
      <c r="E30" s="279">
        <v>351893.89</v>
      </c>
      <c r="F30" s="164">
        <v>0</v>
      </c>
      <c r="G30" s="91">
        <v>797866.68</v>
      </c>
      <c r="H30" s="94">
        <v>13972420.51</v>
      </c>
      <c r="I30" s="94">
        <v>2106457.63</v>
      </c>
      <c r="J30" s="115"/>
      <c r="K30" s="116">
        <v>0</v>
      </c>
      <c r="L30" s="117"/>
      <c r="M30" s="114">
        <f>SUM(C30:E30)/B30*100</f>
        <v>56.129222602125395</v>
      </c>
      <c r="N30" s="114">
        <f t="shared" si="3"/>
        <v>2.074039270296987</v>
      </c>
      <c r="O30" s="114">
        <f t="shared" si="4"/>
        <v>41.79673812757762</v>
      </c>
      <c r="P30" s="114">
        <f t="shared" si="1"/>
        <v>0</v>
      </c>
      <c r="R30" s="89"/>
    </row>
    <row r="31" spans="1:18" ht="12.75">
      <c r="A31" s="43" t="s">
        <v>17</v>
      </c>
      <c r="B31" s="94">
        <f t="shared" si="2"/>
        <v>49198413.690000005</v>
      </c>
      <c r="C31" s="94">
        <v>15092467.09</v>
      </c>
      <c r="D31" s="94">
        <v>1576741.82</v>
      </c>
      <c r="E31" s="94">
        <v>0</v>
      </c>
      <c r="F31" s="94">
        <v>2000000</v>
      </c>
      <c r="G31" s="91">
        <v>1289084.3</v>
      </c>
      <c r="H31" s="94">
        <v>26714792.03</v>
      </c>
      <c r="I31" s="94">
        <v>2525328.45</v>
      </c>
      <c r="J31" s="115"/>
      <c r="K31" s="116">
        <v>0</v>
      </c>
      <c r="L31" s="117"/>
      <c r="M31" s="114">
        <f>SUM(C31:F31)/B31*100</f>
        <v>37.94677004757712</v>
      </c>
      <c r="N31" s="114">
        <f t="shared" si="3"/>
        <v>2.620174520509017</v>
      </c>
      <c r="O31" s="114">
        <f t="shared" si="4"/>
        <v>59.433055431913864</v>
      </c>
      <c r="P31" s="114">
        <f t="shared" si="1"/>
        <v>0</v>
      </c>
      <c r="R31" s="89"/>
    </row>
    <row r="32" spans="1:18" ht="12.75">
      <c r="A32" s="43" t="s">
        <v>18</v>
      </c>
      <c r="B32" s="94">
        <f>SUM(C32:J32)</f>
        <v>2001173.49</v>
      </c>
      <c r="C32" s="94">
        <v>582504.85</v>
      </c>
      <c r="D32" s="94">
        <v>759919.95</v>
      </c>
      <c r="E32" s="279">
        <v>1704.34</v>
      </c>
      <c r="F32" s="116">
        <v>187107.54</v>
      </c>
      <c r="G32" s="91">
        <v>16410.59</v>
      </c>
      <c r="H32" s="94">
        <v>453526.22</v>
      </c>
      <c r="I32" s="94">
        <v>0</v>
      </c>
      <c r="J32" s="115"/>
      <c r="K32" s="116">
        <v>0</v>
      </c>
      <c r="L32" s="117"/>
      <c r="M32" s="114">
        <f>SUM(C32:E32)/B32*100</f>
        <v>67.16704707096635</v>
      </c>
      <c r="N32" s="114">
        <f t="shared" si="3"/>
        <v>0.8200483407363146</v>
      </c>
      <c r="O32" s="114">
        <f t="shared" si="4"/>
        <v>22.66301359009108</v>
      </c>
      <c r="P32" s="114">
        <f>+F32/B32*100</f>
        <v>9.349890998206257</v>
      </c>
      <c r="R32" s="89"/>
    </row>
    <row r="33" spans="1:18" ht="12.75">
      <c r="A33" s="43" t="s">
        <v>19</v>
      </c>
      <c r="B33" s="94">
        <f t="shared" si="2"/>
        <v>4911044.7</v>
      </c>
      <c r="C33" s="94">
        <v>1799499.44</v>
      </c>
      <c r="D33" s="94">
        <v>887497.58</v>
      </c>
      <c r="E33" s="279">
        <v>6766.57</v>
      </c>
      <c r="F33" s="285">
        <v>0</v>
      </c>
      <c r="G33" s="91">
        <v>134276.04</v>
      </c>
      <c r="H33" s="94">
        <v>1641514.12</v>
      </c>
      <c r="I33" s="94">
        <v>338410.95</v>
      </c>
      <c r="J33" s="115"/>
      <c r="K33" s="116">
        <v>103080</v>
      </c>
      <c r="L33" s="117"/>
      <c r="M33" s="114">
        <f>SUM(C33:E33)/B33*100</f>
        <v>54.851131572881016</v>
      </c>
      <c r="N33" s="114">
        <f t="shared" si="3"/>
        <v>2.7341644843916817</v>
      </c>
      <c r="O33" s="114">
        <f t="shared" si="4"/>
        <v>40.31576153236805</v>
      </c>
      <c r="P33" s="114">
        <f t="shared" si="1"/>
        <v>2.0989424103592462</v>
      </c>
      <c r="R33" s="89"/>
    </row>
    <row r="34" spans="1:18" ht="12.75">
      <c r="A34" s="43" t="s">
        <v>20</v>
      </c>
      <c r="B34" s="94">
        <f>SUM(C34:J34)</f>
        <v>1297988.91</v>
      </c>
      <c r="C34" s="94">
        <v>0</v>
      </c>
      <c r="D34" s="94">
        <v>0</v>
      </c>
      <c r="E34" s="94">
        <v>0</v>
      </c>
      <c r="F34" s="116">
        <v>429202.72</v>
      </c>
      <c r="G34" s="91">
        <v>55098.97</v>
      </c>
      <c r="H34" s="94">
        <v>813687.22</v>
      </c>
      <c r="I34" s="160">
        <v>0</v>
      </c>
      <c r="J34" s="115"/>
      <c r="K34" s="160">
        <v>0</v>
      </c>
      <c r="L34" s="117"/>
      <c r="M34" s="114">
        <f>SUM(C34:F34)/B34*100</f>
        <v>33.06674785071931</v>
      </c>
      <c r="N34" s="114">
        <f t="shared" si="3"/>
        <v>4.244949211468995</v>
      </c>
      <c r="O34" s="114">
        <f t="shared" si="4"/>
        <v>62.6883029378117</v>
      </c>
      <c r="P34" s="114">
        <f t="shared" si="1"/>
        <v>0</v>
      </c>
      <c r="R34" s="89"/>
    </row>
    <row r="35" spans="1:18" ht="12.75">
      <c r="A35" s="43"/>
      <c r="B35" s="94"/>
      <c r="C35" s="94"/>
      <c r="D35" s="94"/>
      <c r="E35" s="94"/>
      <c r="F35" s="279"/>
      <c r="G35" s="162"/>
      <c r="H35" s="94"/>
      <c r="I35" s="160"/>
      <c r="J35" s="115"/>
      <c r="K35" s="116"/>
      <c r="L35" s="117"/>
      <c r="M35" s="114"/>
      <c r="N35" s="114"/>
      <c r="O35" s="114"/>
      <c r="P35" s="114"/>
      <c r="R35" s="50"/>
    </row>
    <row r="36" spans="1:18" ht="12.75">
      <c r="A36" s="43" t="s">
        <v>21</v>
      </c>
      <c r="B36" s="94">
        <f>SUM(C36:J36)</f>
        <v>1602320.18</v>
      </c>
      <c r="C36" s="94">
        <v>388658.95</v>
      </c>
      <c r="D36" s="94">
        <v>501802.06</v>
      </c>
      <c r="E36" s="279">
        <v>9640.02</v>
      </c>
      <c r="F36" s="116">
        <v>3933.3</v>
      </c>
      <c r="G36" s="91">
        <v>71474.98</v>
      </c>
      <c r="H36" s="164">
        <v>536875.84</v>
      </c>
      <c r="I36" s="94">
        <v>89935.03</v>
      </c>
      <c r="J36" s="115"/>
      <c r="K36" s="116">
        <v>0</v>
      </c>
      <c r="L36" s="117"/>
      <c r="M36" s="114">
        <f>SUM(C36:E36)/B36*100</f>
        <v>56.17485451628026</v>
      </c>
      <c r="N36" s="114">
        <f t="shared" si="3"/>
        <v>4.460717707493393</v>
      </c>
      <c r="O36" s="114">
        <f t="shared" si="4"/>
        <v>39.11895249300299</v>
      </c>
      <c r="P36" s="114">
        <f t="shared" si="1"/>
        <v>0</v>
      </c>
      <c r="R36" s="89"/>
    </row>
    <row r="37" spans="1:18" ht="12.75">
      <c r="A37" s="43" t="s">
        <v>22</v>
      </c>
      <c r="B37" s="94">
        <f t="shared" si="2"/>
        <v>7311583</v>
      </c>
      <c r="C37" s="94">
        <v>3581097</v>
      </c>
      <c r="D37" s="94">
        <v>352867</v>
      </c>
      <c r="E37" s="94">
        <v>0</v>
      </c>
      <c r="F37" s="279">
        <v>0</v>
      </c>
      <c r="G37" s="91">
        <v>118969</v>
      </c>
      <c r="H37" s="94">
        <v>2915701</v>
      </c>
      <c r="I37" s="94">
        <v>342949</v>
      </c>
      <c r="J37" s="115"/>
      <c r="K37" s="116">
        <v>0</v>
      </c>
      <c r="L37" s="117"/>
      <c r="M37" s="114">
        <f>SUM(C37:F37)/B37*100</f>
        <v>53.80454547257413</v>
      </c>
      <c r="N37" s="114">
        <f t="shared" si="3"/>
        <v>1.6271305406777163</v>
      </c>
      <c r="O37" s="114">
        <f t="shared" si="4"/>
        <v>44.56832398674815</v>
      </c>
      <c r="P37" s="114">
        <f t="shared" si="1"/>
        <v>0</v>
      </c>
      <c r="R37" s="89"/>
    </row>
    <row r="38" spans="1:18" ht="12.75">
      <c r="A38" s="43" t="s">
        <v>23</v>
      </c>
      <c r="B38" s="94">
        <f>SUM(C38:J38)</f>
        <v>4919887.49</v>
      </c>
      <c r="C38" s="94">
        <v>734309.28</v>
      </c>
      <c r="D38" s="94">
        <v>1107436.12</v>
      </c>
      <c r="E38" s="279">
        <v>5116.98</v>
      </c>
      <c r="F38" s="116">
        <v>30916.94</v>
      </c>
      <c r="G38" s="91">
        <v>175949.34</v>
      </c>
      <c r="H38" s="94">
        <v>2692997.54</v>
      </c>
      <c r="I38" s="94">
        <v>173161.29</v>
      </c>
      <c r="J38" s="115"/>
      <c r="K38" s="286">
        <v>19075</v>
      </c>
      <c r="L38" s="117"/>
      <c r="M38" s="114">
        <f>SUM(C38:E38)/B38*100</f>
        <v>37.53871168301859</v>
      </c>
      <c r="N38" s="114">
        <f t="shared" si="3"/>
        <v>3.576287879705151</v>
      </c>
      <c r="O38" s="114">
        <f t="shared" si="4"/>
        <v>58.2565929774951</v>
      </c>
      <c r="P38" s="114">
        <f t="shared" si="1"/>
        <v>0.3877121181891092</v>
      </c>
      <c r="R38" s="89"/>
    </row>
    <row r="39" spans="1:18" ht="12.75">
      <c r="A39" s="118" t="s">
        <v>24</v>
      </c>
      <c r="B39" s="98">
        <f>SUM(C39:J39)</f>
        <v>2338074.42</v>
      </c>
      <c r="C39" s="98">
        <v>535384.65</v>
      </c>
      <c r="D39" s="98">
        <v>403697.86</v>
      </c>
      <c r="E39" s="98">
        <v>1480.12</v>
      </c>
      <c r="F39" s="283">
        <v>177908.58</v>
      </c>
      <c r="G39" s="146">
        <v>35187.98</v>
      </c>
      <c r="H39" s="98">
        <v>1007350.23</v>
      </c>
      <c r="I39" s="98">
        <v>177065</v>
      </c>
      <c r="J39" s="119"/>
      <c r="K39" s="283">
        <v>0</v>
      </c>
      <c r="L39" s="88"/>
      <c r="M39" s="120">
        <f>SUM(C39:E39)/B39*100</f>
        <v>40.22808777831802</v>
      </c>
      <c r="N39" s="120">
        <f t="shared" si="3"/>
        <v>1.504998288292295</v>
      </c>
      <c r="O39" s="120">
        <f t="shared" si="4"/>
        <v>50.657721579281464</v>
      </c>
      <c r="P39" s="120">
        <f t="shared" si="1"/>
        <v>0</v>
      </c>
      <c r="R39" s="89"/>
    </row>
    <row r="40" spans="1:16" ht="12.75">
      <c r="A40" s="121"/>
      <c r="B40" s="43"/>
      <c r="C40" s="43"/>
      <c r="D40" s="43"/>
      <c r="E40" s="43"/>
      <c r="F40" s="43"/>
      <c r="G40" s="43"/>
      <c r="H40" s="43"/>
      <c r="I40" s="43"/>
      <c r="J40" s="117"/>
      <c r="K40" s="99"/>
      <c r="L40" s="43"/>
      <c r="M40" s="100"/>
      <c r="N40" s="114"/>
      <c r="O40" s="114"/>
      <c r="P40" s="114"/>
    </row>
    <row r="41" spans="1:16" ht="12.75">
      <c r="A41" s="121" t="s">
        <v>275</v>
      </c>
      <c r="I41" s="1"/>
      <c r="J41" s="1"/>
      <c r="M41" s="48"/>
      <c r="N41" s="48"/>
      <c r="O41" s="48"/>
      <c r="P41" s="48"/>
    </row>
    <row r="42" spans="1:16" ht="12.75">
      <c r="A42" s="25"/>
      <c r="I42" s="1"/>
      <c r="J42" s="1"/>
      <c r="M42" s="48"/>
      <c r="N42" s="48"/>
      <c r="O42" s="48"/>
      <c r="P42" s="48"/>
    </row>
    <row r="43" spans="2:16" ht="12.75">
      <c r="B43" s="273"/>
      <c r="I43" s="1"/>
      <c r="J43" s="1"/>
      <c r="M43" s="48"/>
      <c r="N43" s="48"/>
      <c r="O43" s="48"/>
      <c r="P43" s="48"/>
    </row>
    <row r="44" spans="9:16" ht="12.75">
      <c r="I44" s="1"/>
      <c r="J44" s="1"/>
      <c r="M44" s="48"/>
      <c r="N44" s="48"/>
      <c r="O44" s="48"/>
      <c r="P44" s="48"/>
    </row>
    <row r="45" spans="13:16" ht="12.75">
      <c r="M45" s="48"/>
      <c r="N45" s="48"/>
      <c r="O45" s="48"/>
      <c r="P45" s="48"/>
    </row>
    <row r="46" spans="13:16" ht="12.75">
      <c r="M46" s="48"/>
      <c r="N46" s="48"/>
      <c r="O46" s="48"/>
      <c r="P46" s="48"/>
    </row>
    <row r="47" spans="13:16" ht="12.75">
      <c r="M47" s="48"/>
      <c r="N47" s="48"/>
      <c r="O47" s="48"/>
      <c r="P47" s="48"/>
    </row>
    <row r="48" spans="13:16" ht="12.75">
      <c r="M48" s="48"/>
      <c r="N48" s="48"/>
      <c r="O48" s="48"/>
      <c r="P48" s="48"/>
    </row>
    <row r="49" spans="13:16" ht="12.75">
      <c r="M49" s="48"/>
      <c r="N49" s="48"/>
      <c r="O49" s="48"/>
      <c r="P49" s="48"/>
    </row>
    <row r="50" spans="13:16" ht="12.75">
      <c r="M50" s="48"/>
      <c r="N50" s="48"/>
      <c r="O50" s="48"/>
      <c r="P50" s="48"/>
    </row>
    <row r="51" spans="13:16" ht="12.75">
      <c r="M51" s="48"/>
      <c r="N51" s="48"/>
      <c r="O51" s="48"/>
      <c r="P51" s="48"/>
    </row>
    <row r="52" spans="13:16" ht="12.75">
      <c r="M52" s="48"/>
      <c r="N52" s="48"/>
      <c r="O52" s="48"/>
      <c r="P52" s="48"/>
    </row>
    <row r="53" spans="13:16" ht="12.75">
      <c r="M53" s="48"/>
      <c r="N53" s="48"/>
      <c r="O53" s="48"/>
      <c r="P53" s="48"/>
    </row>
    <row r="54" spans="13:16" ht="12.75">
      <c r="M54" s="48"/>
      <c r="N54" s="48"/>
      <c r="O54" s="48"/>
      <c r="P54" s="48"/>
    </row>
    <row r="55" spans="13:16" ht="12.75">
      <c r="M55" s="48"/>
      <c r="N55" s="48"/>
      <c r="O55" s="48"/>
      <c r="P55" s="48"/>
    </row>
    <row r="56" spans="13:16" ht="12.75">
      <c r="M56" s="48"/>
      <c r="N56" s="48"/>
      <c r="O56" s="48"/>
      <c r="P56" s="48"/>
    </row>
    <row r="57" spans="13:16" ht="12.75">
      <c r="M57" s="48"/>
      <c r="N57" s="48"/>
      <c r="O57" s="48"/>
      <c r="P57" s="48"/>
    </row>
    <row r="58" spans="13:16" ht="12.75">
      <c r="M58" s="48"/>
      <c r="N58" s="48"/>
      <c r="O58" s="48"/>
      <c r="P58" s="48"/>
    </row>
    <row r="59" spans="13:16" ht="12.75">
      <c r="M59" s="48"/>
      <c r="N59" s="48"/>
      <c r="O59" s="48"/>
      <c r="P59" s="48"/>
    </row>
    <row r="60" spans="13:16" ht="12.75">
      <c r="M60" s="48"/>
      <c r="N60" s="48"/>
      <c r="O60" s="48"/>
      <c r="P60" s="48"/>
    </row>
    <row r="61" spans="13:16" ht="12.75">
      <c r="M61" s="48"/>
      <c r="N61" s="48"/>
      <c r="O61" s="48"/>
      <c r="P61" s="48"/>
    </row>
    <row r="62" spans="13:16" ht="12.75">
      <c r="M62" s="48"/>
      <c r="N62" s="48"/>
      <c r="O62" s="48"/>
      <c r="P62" s="48"/>
    </row>
    <row r="63" spans="13:16" ht="12.75">
      <c r="M63" s="48"/>
      <c r="N63" s="48"/>
      <c r="O63" s="48"/>
      <c r="P63" s="48"/>
    </row>
    <row r="64" spans="13:16" ht="12.75">
      <c r="M64" s="48"/>
      <c r="N64" s="48"/>
      <c r="O64" s="48"/>
      <c r="P64" s="48"/>
    </row>
    <row r="65" spans="13:16" ht="12.75">
      <c r="M65" s="48"/>
      <c r="N65" s="48"/>
      <c r="O65" s="48"/>
      <c r="P65" s="48"/>
    </row>
    <row r="66" spans="13:16" ht="12.75">
      <c r="M66" s="48"/>
      <c r="N66" s="48"/>
      <c r="O66" s="48"/>
      <c r="P66" s="48"/>
    </row>
    <row r="67" spans="13:16" ht="12.75">
      <c r="M67" s="48"/>
      <c r="N67" s="48"/>
      <c r="O67" s="48"/>
      <c r="P67" s="48"/>
    </row>
    <row r="68" spans="13:16" ht="12.75">
      <c r="M68" s="48"/>
      <c r="N68" s="48"/>
      <c r="O68" s="48"/>
      <c r="P68" s="48"/>
    </row>
    <row r="69" spans="13:16" ht="12.75">
      <c r="M69" s="48"/>
      <c r="N69" s="48"/>
      <c r="O69" s="48"/>
      <c r="P69" s="48"/>
    </row>
    <row r="70" spans="13:16" ht="12.75">
      <c r="M70" s="48"/>
      <c r="N70" s="48"/>
      <c r="O70" s="48"/>
      <c r="P70" s="48"/>
    </row>
    <row r="71" spans="13:16" ht="12.75">
      <c r="M71" s="48"/>
      <c r="N71" s="48"/>
      <c r="O71" s="48"/>
      <c r="P71" s="48"/>
    </row>
    <row r="72" spans="13:16" ht="12.75">
      <c r="M72" s="48"/>
      <c r="N72" s="48"/>
      <c r="O72" s="48"/>
      <c r="P72" s="48"/>
    </row>
    <row r="73" spans="13:16" ht="12.75">
      <c r="M73" s="48"/>
      <c r="N73" s="48"/>
      <c r="O73" s="48"/>
      <c r="P73" s="48"/>
    </row>
    <row r="74" spans="13:16" ht="12.75">
      <c r="M74" s="48"/>
      <c r="N74" s="48"/>
      <c r="O74" s="48"/>
      <c r="P74" s="48"/>
    </row>
    <row r="75" spans="13:16" ht="12.75">
      <c r="M75" s="48"/>
      <c r="N75" s="48"/>
      <c r="O75" s="48"/>
      <c r="P75" s="48"/>
    </row>
    <row r="76" spans="13:16" ht="12.75">
      <c r="M76" s="48"/>
      <c r="N76" s="48"/>
      <c r="O76" s="48"/>
      <c r="P76" s="48"/>
    </row>
    <row r="77" spans="13:16" ht="12.75">
      <c r="M77" s="48"/>
      <c r="N77" s="48"/>
      <c r="O77" s="48"/>
      <c r="P77" s="48"/>
    </row>
    <row r="78" spans="13:16" ht="12.75">
      <c r="M78" s="48"/>
      <c r="N78" s="48"/>
      <c r="O78" s="48"/>
      <c r="P78" s="48"/>
    </row>
    <row r="79" spans="13:16" ht="12.75">
      <c r="M79" s="48"/>
      <c r="N79" s="48"/>
      <c r="O79" s="48"/>
      <c r="P79" s="48"/>
    </row>
    <row r="80" spans="13:16" ht="12.75">
      <c r="M80" s="48"/>
      <c r="N80" s="48"/>
      <c r="O80" s="48"/>
      <c r="P80" s="48"/>
    </row>
    <row r="81" spans="13:16" ht="12.75">
      <c r="M81" s="48"/>
      <c r="N81" s="48"/>
      <c r="O81" s="48"/>
      <c r="P81" s="48"/>
    </row>
    <row r="82" spans="13:16" ht="12.75">
      <c r="M82" s="48"/>
      <c r="N82" s="48"/>
      <c r="O82" s="48"/>
      <c r="P82" s="48"/>
    </row>
    <row r="83" spans="13:16" ht="12.75">
      <c r="M83" s="48"/>
      <c r="N83" s="48"/>
      <c r="O83" s="48"/>
      <c r="P83" s="48"/>
    </row>
    <row r="84" spans="13:16" ht="12.75">
      <c r="M84" s="48"/>
      <c r="N84" s="48"/>
      <c r="O84" s="48"/>
      <c r="P84" s="48"/>
    </row>
    <row r="85" spans="13:16" ht="12.75">
      <c r="M85" s="48"/>
      <c r="N85" s="48"/>
      <c r="O85" s="48"/>
      <c r="P85" s="48"/>
    </row>
    <row r="86" spans="13:16" ht="12.75">
      <c r="M86" s="48"/>
      <c r="N86" s="48"/>
      <c r="O86" s="48"/>
      <c r="P86" s="48"/>
    </row>
    <row r="87" spans="13:16" ht="12.75">
      <c r="M87" s="48"/>
      <c r="N87" s="48"/>
      <c r="O87" s="48"/>
      <c r="P87" s="48"/>
    </row>
    <row r="88" spans="13:16" ht="12.75">
      <c r="M88" s="48"/>
      <c r="N88" s="48"/>
      <c r="O88" s="48"/>
      <c r="P88" s="48"/>
    </row>
    <row r="89" spans="13:16" ht="12.75">
      <c r="M89" s="48"/>
      <c r="N89" s="48"/>
      <c r="O89" s="48"/>
      <c r="P89" s="48"/>
    </row>
    <row r="90" spans="13:16" ht="12.75">
      <c r="M90" s="48"/>
      <c r="N90" s="48"/>
      <c r="O90" s="48"/>
      <c r="P90" s="48"/>
    </row>
    <row r="91" spans="13:16" ht="12.75">
      <c r="M91" s="48"/>
      <c r="N91" s="48"/>
      <c r="O91" s="48"/>
      <c r="P91" s="48"/>
    </row>
    <row r="92" spans="13:16" ht="12.75">
      <c r="M92" s="48"/>
      <c r="N92" s="48"/>
      <c r="O92" s="48"/>
      <c r="P92" s="48"/>
    </row>
    <row r="93" spans="13:16" ht="12.75">
      <c r="M93" s="48"/>
      <c r="N93" s="48"/>
      <c r="O93" s="48"/>
      <c r="P93" s="48"/>
    </row>
    <row r="94" spans="13:16" ht="12.75">
      <c r="M94" s="48"/>
      <c r="N94" s="48"/>
      <c r="O94" s="48"/>
      <c r="P94" s="48"/>
    </row>
    <row r="95" spans="13:16" ht="12.75">
      <c r="M95" s="48"/>
      <c r="N95" s="48"/>
      <c r="O95" s="48"/>
      <c r="P95" s="48"/>
    </row>
    <row r="96" spans="13:16" ht="12.75">
      <c r="M96" s="48"/>
      <c r="N96" s="48"/>
      <c r="O96" s="48"/>
      <c r="P96" s="48"/>
    </row>
    <row r="97" spans="13:16" ht="12.75">
      <c r="M97" s="48"/>
      <c r="N97" s="48"/>
      <c r="O97" s="48"/>
      <c r="P97" s="48"/>
    </row>
    <row r="98" spans="13:16" ht="12.75">
      <c r="M98" s="48"/>
      <c r="N98" s="48"/>
      <c r="O98" s="48"/>
      <c r="P98" s="48"/>
    </row>
    <row r="99" spans="13:16" ht="12.75">
      <c r="M99" s="48"/>
      <c r="N99" s="48"/>
      <c r="O99" s="48"/>
      <c r="P99" s="48"/>
    </row>
    <row r="100" spans="13:16" ht="12.75">
      <c r="M100" s="48"/>
      <c r="N100" s="48"/>
      <c r="O100" s="48"/>
      <c r="P100" s="48"/>
    </row>
    <row r="101" spans="13:16" ht="12.75">
      <c r="M101" s="48"/>
      <c r="N101" s="48"/>
      <c r="O101" s="48"/>
      <c r="P101" s="48"/>
    </row>
    <row r="102" spans="13:16" ht="12.75">
      <c r="M102" s="48"/>
      <c r="N102" s="48"/>
      <c r="O102" s="48"/>
      <c r="P102" s="48"/>
    </row>
    <row r="103" spans="13:16" ht="12.75">
      <c r="M103" s="48"/>
      <c r="N103" s="48"/>
      <c r="O103" s="48"/>
      <c r="P103" s="48"/>
    </row>
    <row r="104" spans="13:16" ht="12.75">
      <c r="M104" s="48"/>
      <c r="N104" s="48"/>
      <c r="O104" s="48"/>
      <c r="P104" s="48"/>
    </row>
    <row r="105" spans="13:16" ht="12.75">
      <c r="M105" s="48"/>
      <c r="N105" s="48"/>
      <c r="O105" s="48"/>
      <c r="P105" s="48"/>
    </row>
    <row r="106" spans="13:16" ht="12.75">
      <c r="M106" s="48"/>
      <c r="N106" s="48"/>
      <c r="O106" s="48"/>
      <c r="P106" s="48"/>
    </row>
    <row r="107" spans="13:16" ht="12.75">
      <c r="M107" s="48"/>
      <c r="N107" s="48"/>
      <c r="O107" s="48"/>
      <c r="P107" s="48"/>
    </row>
    <row r="108" spans="13:16" ht="12.75">
      <c r="M108" s="48"/>
      <c r="N108" s="48"/>
      <c r="O108" s="48"/>
      <c r="P108" s="48"/>
    </row>
    <row r="109" spans="13:16" ht="12.75">
      <c r="M109" s="48"/>
      <c r="N109" s="48"/>
      <c r="O109" s="48"/>
      <c r="P109" s="48"/>
    </row>
    <row r="110" spans="13:16" ht="12.75">
      <c r="M110" s="48"/>
      <c r="N110" s="48"/>
      <c r="O110" s="48"/>
      <c r="P110" s="48"/>
    </row>
    <row r="111" spans="13:16" ht="12.75">
      <c r="M111" s="48"/>
      <c r="N111" s="48"/>
      <c r="O111" s="48"/>
      <c r="P111" s="48"/>
    </row>
    <row r="112" spans="13:16" ht="12.75">
      <c r="M112" s="48"/>
      <c r="N112" s="48"/>
      <c r="O112" s="48"/>
      <c r="P112" s="48"/>
    </row>
    <row r="113" spans="13:16" ht="12.75">
      <c r="M113" s="48"/>
      <c r="N113" s="48"/>
      <c r="O113" s="48"/>
      <c r="P113" s="48"/>
    </row>
    <row r="114" spans="13:16" ht="12.75">
      <c r="M114" s="48"/>
      <c r="N114" s="48"/>
      <c r="O114" s="48"/>
      <c r="P114" s="48"/>
    </row>
    <row r="115" spans="13:16" ht="12.75">
      <c r="M115" s="48"/>
      <c r="N115" s="48"/>
      <c r="O115" s="48"/>
      <c r="P115" s="48"/>
    </row>
    <row r="116" spans="13:16" ht="12.75">
      <c r="M116" s="48"/>
      <c r="N116" s="48"/>
      <c r="O116" s="48"/>
      <c r="P116" s="48"/>
    </row>
    <row r="117" spans="13:16" ht="12.75">
      <c r="M117" s="48"/>
      <c r="N117" s="48"/>
      <c r="O117" s="48"/>
      <c r="P117" s="48"/>
    </row>
    <row r="118" spans="13:16" ht="12.75">
      <c r="M118" s="48"/>
      <c r="N118" s="48"/>
      <c r="O118" s="48"/>
      <c r="P118" s="48"/>
    </row>
    <row r="119" spans="13:16" ht="12.75">
      <c r="M119" s="48"/>
      <c r="N119" s="48"/>
      <c r="O119" s="48"/>
      <c r="P119" s="48"/>
    </row>
    <row r="120" spans="13:16" ht="12.75">
      <c r="M120" s="48"/>
      <c r="N120" s="48"/>
      <c r="O120" s="48"/>
      <c r="P120" s="48"/>
    </row>
    <row r="121" spans="13:16" ht="12.75">
      <c r="M121" s="48"/>
      <c r="N121" s="48"/>
      <c r="O121" s="48"/>
      <c r="P121" s="48"/>
    </row>
    <row r="122" spans="13:16" ht="12.75">
      <c r="M122" s="48"/>
      <c r="N122" s="48"/>
      <c r="O122" s="48"/>
      <c r="P122" s="48"/>
    </row>
    <row r="123" spans="13:16" ht="12.75">
      <c r="M123" s="48"/>
      <c r="N123" s="48"/>
      <c r="O123" s="48"/>
      <c r="P123" s="48"/>
    </row>
    <row r="124" spans="13:16" ht="12.75">
      <c r="M124" s="48"/>
      <c r="N124" s="48"/>
      <c r="O124" s="48"/>
      <c r="P124" s="48"/>
    </row>
    <row r="125" spans="13:16" ht="12.75">
      <c r="M125" s="48"/>
      <c r="N125" s="48"/>
      <c r="O125" s="48"/>
      <c r="P125" s="48"/>
    </row>
    <row r="126" spans="13:16" ht="12.75">
      <c r="M126" s="48"/>
      <c r="N126" s="48"/>
      <c r="O126" s="48"/>
      <c r="P126" s="48"/>
    </row>
    <row r="127" spans="13:16" ht="12.75">
      <c r="M127" s="48"/>
      <c r="N127" s="48"/>
      <c r="O127" s="48"/>
      <c r="P127" s="48"/>
    </row>
    <row r="128" spans="13:16" ht="12.75">
      <c r="M128" s="48"/>
      <c r="N128" s="48"/>
      <c r="O128" s="48"/>
      <c r="P128" s="48"/>
    </row>
    <row r="129" spans="13:16" ht="12.75">
      <c r="M129" s="48"/>
      <c r="N129" s="48"/>
      <c r="O129" s="48"/>
      <c r="P129" s="48"/>
    </row>
    <row r="130" spans="13:16" ht="12.75">
      <c r="M130" s="48"/>
      <c r="N130" s="48"/>
      <c r="O130" s="48"/>
      <c r="P130" s="48"/>
    </row>
    <row r="131" spans="13:16" ht="12.75">
      <c r="M131" s="48"/>
      <c r="N131" s="48"/>
      <c r="O131" s="48"/>
      <c r="P131" s="48"/>
    </row>
    <row r="132" spans="13:16" ht="12.75">
      <c r="M132" s="48"/>
      <c r="N132" s="48"/>
      <c r="O132" s="48"/>
      <c r="P132" s="48"/>
    </row>
    <row r="133" spans="13:16" ht="12.75">
      <c r="M133" s="48"/>
      <c r="N133" s="48"/>
      <c r="O133" s="48"/>
      <c r="P133" s="48"/>
    </row>
    <row r="134" spans="13:16" ht="12.75">
      <c r="M134" s="48"/>
      <c r="N134" s="48"/>
      <c r="O134" s="48"/>
      <c r="P134" s="48"/>
    </row>
    <row r="135" spans="13:16" ht="12.75">
      <c r="M135" s="48"/>
      <c r="N135" s="48"/>
      <c r="O135" s="48"/>
      <c r="P135" s="48"/>
    </row>
    <row r="136" spans="13:16" ht="12.75">
      <c r="M136" s="48"/>
      <c r="N136" s="48"/>
      <c r="O136" s="48"/>
      <c r="P136" s="48"/>
    </row>
    <row r="137" spans="13:16" ht="12.75">
      <c r="M137" s="48"/>
      <c r="N137" s="48"/>
      <c r="O137" s="48"/>
      <c r="P137" s="48"/>
    </row>
    <row r="138" spans="13:16" ht="12.75">
      <c r="M138" s="48"/>
      <c r="N138" s="48"/>
      <c r="O138" s="48"/>
      <c r="P138" s="48"/>
    </row>
    <row r="139" spans="13:16" ht="12.75">
      <c r="M139" s="48"/>
      <c r="N139" s="48"/>
      <c r="O139" s="48"/>
      <c r="P139" s="48"/>
    </row>
    <row r="140" spans="13:16" ht="12.75">
      <c r="M140" s="48"/>
      <c r="N140" s="48"/>
      <c r="O140" s="48"/>
      <c r="P140" s="48"/>
    </row>
    <row r="141" spans="13:16" ht="12.75">
      <c r="M141" s="48"/>
      <c r="N141" s="48"/>
      <c r="O141" s="48"/>
      <c r="P141" s="48"/>
    </row>
    <row r="142" spans="13:16" ht="12.75">
      <c r="M142" s="48"/>
      <c r="N142" s="48"/>
      <c r="O142" s="48"/>
      <c r="P142" s="48"/>
    </row>
    <row r="143" spans="13:16" ht="12.75">
      <c r="M143" s="48"/>
      <c r="N143" s="48"/>
      <c r="O143" s="48"/>
      <c r="P143" s="48"/>
    </row>
    <row r="144" spans="13:16" ht="12.75">
      <c r="M144" s="48"/>
      <c r="N144" s="48"/>
      <c r="O144" s="48"/>
      <c r="P144" s="48"/>
    </row>
    <row r="145" spans="13:16" ht="12.75">
      <c r="M145" s="48"/>
      <c r="N145" s="48"/>
      <c r="O145" s="48"/>
      <c r="P145" s="48"/>
    </row>
    <row r="146" spans="13:16" ht="12.75">
      <c r="M146" s="48"/>
      <c r="N146" s="48"/>
      <c r="O146" s="48"/>
      <c r="P146" s="48"/>
    </row>
    <row r="147" spans="13:16" ht="12.75">
      <c r="M147" s="48"/>
      <c r="N147" s="48"/>
      <c r="O147" s="48"/>
      <c r="P147" s="48"/>
    </row>
    <row r="148" spans="13:16" ht="12.75">
      <c r="M148" s="48"/>
      <c r="N148" s="48"/>
      <c r="O148" s="48"/>
      <c r="P148" s="48"/>
    </row>
    <row r="149" spans="13:16" ht="12.75">
      <c r="M149" s="48"/>
      <c r="N149" s="48"/>
      <c r="O149" s="48"/>
      <c r="P149" s="48"/>
    </row>
    <row r="150" spans="13:16" ht="12.75">
      <c r="M150" s="48"/>
      <c r="N150" s="48"/>
      <c r="O150" s="48"/>
      <c r="P150" s="48"/>
    </row>
    <row r="151" spans="13:16" ht="12.75">
      <c r="M151" s="48"/>
      <c r="N151" s="48"/>
      <c r="O151" s="48"/>
      <c r="P151" s="48"/>
    </row>
    <row r="152" spans="13:16" ht="12.75">
      <c r="M152" s="48"/>
      <c r="N152" s="48"/>
      <c r="O152" s="48"/>
      <c r="P152" s="48"/>
    </row>
    <row r="153" spans="13:16" ht="12.75">
      <c r="M153" s="48"/>
      <c r="N153" s="48"/>
      <c r="O153" s="48"/>
      <c r="P153" s="48"/>
    </row>
    <row r="154" spans="13:16" ht="12.75">
      <c r="M154" s="48"/>
      <c r="N154" s="48"/>
      <c r="O154" s="48"/>
      <c r="P154" s="48"/>
    </row>
    <row r="155" spans="13:16" ht="12.75">
      <c r="M155" s="48"/>
      <c r="N155" s="48"/>
      <c r="O155" s="48"/>
      <c r="P155" s="48"/>
    </row>
    <row r="156" spans="13:16" ht="12.75">
      <c r="M156" s="48"/>
      <c r="N156" s="48"/>
      <c r="O156" s="48"/>
      <c r="P156" s="48"/>
    </row>
    <row r="157" spans="13:16" ht="12.75">
      <c r="M157" s="48"/>
      <c r="N157" s="48"/>
      <c r="O157" s="48"/>
      <c r="P157" s="48"/>
    </row>
    <row r="158" spans="13:16" ht="12.75">
      <c r="M158" s="48"/>
      <c r="N158" s="48"/>
      <c r="O158" s="48"/>
      <c r="P158" s="48"/>
    </row>
    <row r="159" spans="13:16" ht="12.75">
      <c r="M159" s="48"/>
      <c r="N159" s="48"/>
      <c r="O159" s="48"/>
      <c r="P159" s="48"/>
    </row>
    <row r="160" spans="13:16" ht="12.75">
      <c r="M160" s="48"/>
      <c r="N160" s="48"/>
      <c r="O160" s="48"/>
      <c r="P160" s="48"/>
    </row>
    <row r="161" spans="13:16" ht="12.75">
      <c r="M161" s="48"/>
      <c r="N161" s="48"/>
      <c r="O161" s="48"/>
      <c r="P161" s="48"/>
    </row>
    <row r="162" spans="13:16" ht="12.75">
      <c r="M162" s="48"/>
      <c r="N162" s="48"/>
      <c r="O162" s="48"/>
      <c r="P162" s="48"/>
    </row>
    <row r="163" spans="13:16" ht="12.75">
      <c r="M163" s="48"/>
      <c r="N163" s="48"/>
      <c r="O163" s="48"/>
      <c r="P163" s="48"/>
    </row>
    <row r="164" spans="13:16" ht="12.75">
      <c r="M164" s="48"/>
      <c r="N164" s="48"/>
      <c r="O164" s="48"/>
      <c r="P164" s="48"/>
    </row>
    <row r="165" spans="13:16" ht="12.75">
      <c r="M165" s="48"/>
      <c r="N165" s="48"/>
      <c r="O165" s="48"/>
      <c r="P165" s="48"/>
    </row>
    <row r="166" spans="13:16" ht="12.75">
      <c r="M166" s="48"/>
      <c r="N166" s="48"/>
      <c r="O166" s="48"/>
      <c r="P166" s="48"/>
    </row>
    <row r="167" spans="13:16" ht="12.75">
      <c r="M167" s="48"/>
      <c r="N167" s="48"/>
      <c r="O167" s="48"/>
      <c r="P167" s="48"/>
    </row>
    <row r="168" spans="13:16" ht="12.75">
      <c r="M168" s="48"/>
      <c r="N168" s="48"/>
      <c r="O168" s="48"/>
      <c r="P168" s="48"/>
    </row>
    <row r="169" spans="13:16" ht="12.75">
      <c r="M169" s="48"/>
      <c r="N169" s="48"/>
      <c r="O169" s="48"/>
      <c r="P169" s="48"/>
    </row>
    <row r="170" spans="13:16" ht="12.75">
      <c r="M170" s="48"/>
      <c r="N170" s="48"/>
      <c r="O170" s="48"/>
      <c r="P170" s="48"/>
    </row>
    <row r="171" spans="13:16" ht="12.75">
      <c r="M171" s="48"/>
      <c r="N171" s="48"/>
      <c r="O171" s="48"/>
      <c r="P171" s="48"/>
    </row>
    <row r="172" spans="13:16" ht="12.75">
      <c r="M172" s="48"/>
      <c r="N172" s="48"/>
      <c r="O172" s="48"/>
      <c r="P172" s="48"/>
    </row>
    <row r="173" spans="13:16" ht="12.75">
      <c r="M173" s="48"/>
      <c r="N173" s="48"/>
      <c r="O173" s="48"/>
      <c r="P173" s="48"/>
    </row>
    <row r="174" spans="13:16" ht="12.75">
      <c r="M174" s="48"/>
      <c r="N174" s="48"/>
      <c r="O174" s="48"/>
      <c r="P174" s="48"/>
    </row>
    <row r="175" spans="13:16" ht="12.75">
      <c r="M175" s="48"/>
      <c r="N175" s="48"/>
      <c r="O175" s="48"/>
      <c r="P175" s="48"/>
    </row>
    <row r="176" spans="13:16" ht="12.75">
      <c r="M176" s="48"/>
      <c r="N176" s="48"/>
      <c r="O176" s="48"/>
      <c r="P176" s="48"/>
    </row>
    <row r="177" spans="13:16" ht="12.75">
      <c r="M177" s="48"/>
      <c r="N177" s="48"/>
      <c r="O177" s="48"/>
      <c r="P177" s="48"/>
    </row>
    <row r="178" spans="13:16" ht="12.75">
      <c r="M178" s="48"/>
      <c r="N178" s="48"/>
      <c r="O178" s="48"/>
      <c r="P178" s="48"/>
    </row>
    <row r="179" spans="13:16" ht="12.75">
      <c r="M179" s="48"/>
      <c r="N179" s="48"/>
      <c r="O179" s="48"/>
      <c r="P179" s="48"/>
    </row>
    <row r="180" spans="13:16" ht="12.75">
      <c r="M180" s="48"/>
      <c r="N180" s="48"/>
      <c r="O180" s="48"/>
      <c r="P180" s="48"/>
    </row>
    <row r="181" spans="13:16" ht="12.75">
      <c r="M181" s="48"/>
      <c r="N181" s="48"/>
      <c r="O181" s="48"/>
      <c r="P181" s="48"/>
    </row>
    <row r="182" spans="13:16" ht="12.75">
      <c r="M182" s="48"/>
      <c r="N182" s="48"/>
      <c r="O182" s="48"/>
      <c r="P182" s="48"/>
    </row>
    <row r="183" spans="13:16" ht="12.75">
      <c r="M183" s="48"/>
      <c r="N183" s="48"/>
      <c r="O183" s="48"/>
      <c r="P183" s="48"/>
    </row>
    <row r="184" spans="13:16" ht="12.75">
      <c r="M184" s="48"/>
      <c r="N184" s="48"/>
      <c r="O184" s="48"/>
      <c r="P184" s="48"/>
    </row>
    <row r="185" spans="13:16" ht="12.75">
      <c r="M185" s="48"/>
      <c r="N185" s="48"/>
      <c r="O185" s="48"/>
      <c r="P185" s="48"/>
    </row>
    <row r="186" spans="13:16" ht="12.75">
      <c r="M186" s="48"/>
      <c r="N186" s="48"/>
      <c r="O186" s="48"/>
      <c r="P186" s="48"/>
    </row>
    <row r="187" spans="13:16" ht="12.75">
      <c r="M187" s="48"/>
      <c r="N187" s="48"/>
      <c r="O187" s="48"/>
      <c r="P187" s="48"/>
    </row>
    <row r="188" spans="13:16" ht="12.75">
      <c r="M188" s="48"/>
      <c r="N188" s="48"/>
      <c r="O188" s="48"/>
      <c r="P188" s="48"/>
    </row>
    <row r="189" spans="13:16" ht="12.75">
      <c r="M189" s="48"/>
      <c r="N189" s="48"/>
      <c r="O189" s="48"/>
      <c r="P189" s="48"/>
    </row>
    <row r="190" spans="13:16" ht="12.75">
      <c r="M190" s="48"/>
      <c r="N190" s="48"/>
      <c r="O190" s="48"/>
      <c r="P190" s="48"/>
    </row>
    <row r="191" spans="13:16" ht="12.75">
      <c r="M191" s="48"/>
      <c r="N191" s="48"/>
      <c r="O191" s="48"/>
      <c r="P191" s="48"/>
    </row>
    <row r="192" spans="13:16" ht="12.75">
      <c r="M192" s="48"/>
      <c r="N192" s="48"/>
      <c r="O192" s="48"/>
      <c r="P192" s="48"/>
    </row>
    <row r="193" spans="13:16" ht="12.75">
      <c r="M193" s="48"/>
      <c r="N193" s="48"/>
      <c r="O193" s="48"/>
      <c r="P193" s="48"/>
    </row>
    <row r="194" spans="13:16" ht="12.75">
      <c r="M194" s="48"/>
      <c r="N194" s="48"/>
      <c r="O194" s="48"/>
      <c r="P194" s="48"/>
    </row>
    <row r="195" spans="13:16" ht="12.75">
      <c r="M195" s="48"/>
      <c r="N195" s="48"/>
      <c r="O195" s="48"/>
      <c r="P195" s="48"/>
    </row>
    <row r="196" spans="13:16" ht="12.75">
      <c r="M196" s="48"/>
      <c r="N196" s="48"/>
      <c r="O196" s="48"/>
      <c r="P196" s="48"/>
    </row>
    <row r="197" spans="13:16" ht="12.75">
      <c r="M197" s="48"/>
      <c r="N197" s="48"/>
      <c r="O197" s="48"/>
      <c r="P197" s="48"/>
    </row>
    <row r="198" spans="13:16" ht="12.75">
      <c r="M198" s="48"/>
      <c r="N198" s="48"/>
      <c r="O198" s="48"/>
      <c r="P198" s="48"/>
    </row>
    <row r="199" spans="13:16" ht="12.75">
      <c r="M199" s="48"/>
      <c r="N199" s="48"/>
      <c r="O199" s="48"/>
      <c r="P199" s="48"/>
    </row>
    <row r="200" spans="13:16" ht="12.75">
      <c r="M200" s="48"/>
      <c r="N200" s="48"/>
      <c r="O200" s="48"/>
      <c r="P200" s="48"/>
    </row>
    <row r="201" spans="13:16" ht="12.75">
      <c r="M201" s="48"/>
      <c r="N201" s="48"/>
      <c r="O201" s="48"/>
      <c r="P201" s="48"/>
    </row>
    <row r="202" spans="13:16" ht="12.75">
      <c r="M202" s="48"/>
      <c r="N202" s="48"/>
      <c r="O202" s="48"/>
      <c r="P202" s="48"/>
    </row>
    <row r="203" spans="13:16" ht="12.75">
      <c r="M203" s="48"/>
      <c r="N203" s="48"/>
      <c r="O203" s="48"/>
      <c r="P203" s="48"/>
    </row>
    <row r="204" spans="13:16" ht="12.75">
      <c r="M204" s="48"/>
      <c r="N204" s="48"/>
      <c r="O204" s="48"/>
      <c r="P204" s="48"/>
    </row>
    <row r="205" spans="13:16" ht="12.75">
      <c r="M205" s="48"/>
      <c r="N205" s="48"/>
      <c r="O205" s="48"/>
      <c r="P205" s="48"/>
    </row>
    <row r="206" spans="13:16" ht="12.75">
      <c r="M206" s="48"/>
      <c r="N206" s="48"/>
      <c r="O206" s="48"/>
      <c r="P206" s="48"/>
    </row>
    <row r="207" spans="13:16" ht="12.75">
      <c r="M207" s="48"/>
      <c r="N207" s="48"/>
      <c r="O207" s="48"/>
      <c r="P207" s="48"/>
    </row>
    <row r="208" spans="13:16" ht="12.75">
      <c r="M208" s="48"/>
      <c r="N208" s="48"/>
      <c r="O208" s="48"/>
      <c r="P208" s="48"/>
    </row>
    <row r="209" spans="13:16" ht="12.75">
      <c r="M209" s="48"/>
      <c r="N209" s="48"/>
      <c r="O209" s="48"/>
      <c r="P209" s="48"/>
    </row>
    <row r="210" spans="13:16" ht="12.75">
      <c r="M210" s="48"/>
      <c r="N210" s="48"/>
      <c r="O210" s="48"/>
      <c r="P210" s="48"/>
    </row>
    <row r="211" spans="13:16" ht="12.75">
      <c r="M211" s="48"/>
      <c r="N211" s="48"/>
      <c r="O211" s="48"/>
      <c r="P211" s="48"/>
    </row>
    <row r="212" spans="13:16" ht="12.75">
      <c r="M212" s="48"/>
      <c r="N212" s="48"/>
      <c r="O212" s="48"/>
      <c r="P212" s="48"/>
    </row>
    <row r="213" spans="13:16" ht="12.75">
      <c r="M213" s="48"/>
      <c r="N213" s="48"/>
      <c r="O213" s="48"/>
      <c r="P213" s="48"/>
    </row>
    <row r="214" spans="13:16" ht="12.75">
      <c r="M214" s="48"/>
      <c r="N214" s="48"/>
      <c r="O214" s="48"/>
      <c r="P214" s="48"/>
    </row>
    <row r="215" spans="13:16" ht="12.75">
      <c r="M215" s="48"/>
      <c r="N215" s="48"/>
      <c r="O215" s="48"/>
      <c r="P215" s="48"/>
    </row>
    <row r="216" spans="13:16" ht="12.75">
      <c r="M216" s="48"/>
      <c r="N216" s="48"/>
      <c r="O216" s="48"/>
      <c r="P216" s="48"/>
    </row>
    <row r="217" spans="13:16" ht="12.75">
      <c r="M217" s="48"/>
      <c r="N217" s="48"/>
      <c r="O217" s="48"/>
      <c r="P217" s="48"/>
    </row>
    <row r="218" spans="13:16" ht="12.75">
      <c r="M218" s="48"/>
      <c r="N218" s="48"/>
      <c r="O218" s="48"/>
      <c r="P218" s="48"/>
    </row>
    <row r="219" spans="13:16" ht="12.75">
      <c r="M219" s="48"/>
      <c r="N219" s="48"/>
      <c r="O219" s="48"/>
      <c r="P219" s="48"/>
    </row>
    <row r="220" spans="13:16" ht="12.75">
      <c r="M220" s="48"/>
      <c r="N220" s="48"/>
      <c r="O220" s="48"/>
      <c r="P220" s="48"/>
    </row>
    <row r="221" spans="13:16" ht="12.75">
      <c r="M221" s="48"/>
      <c r="N221" s="48"/>
      <c r="O221" s="48"/>
      <c r="P221" s="48"/>
    </row>
    <row r="222" spans="13:16" ht="12.75">
      <c r="M222" s="48"/>
      <c r="N222" s="48"/>
      <c r="O222" s="48"/>
      <c r="P222" s="48"/>
    </row>
    <row r="223" spans="13:16" ht="12.75">
      <c r="M223" s="48"/>
      <c r="N223" s="48"/>
      <c r="O223" s="48"/>
      <c r="P223" s="48"/>
    </row>
    <row r="224" spans="13:16" ht="12.75">
      <c r="M224" s="48"/>
      <c r="N224" s="48"/>
      <c r="O224" s="48"/>
      <c r="P224" s="48"/>
    </row>
    <row r="225" spans="13:16" ht="12.75">
      <c r="M225" s="48"/>
      <c r="N225" s="48"/>
      <c r="O225" s="48"/>
      <c r="P225" s="48"/>
    </row>
    <row r="226" spans="13:16" ht="12.75">
      <c r="M226" s="48"/>
      <c r="N226" s="48"/>
      <c r="O226" s="48"/>
      <c r="P226" s="48"/>
    </row>
    <row r="227" spans="13:16" ht="12.75">
      <c r="M227" s="48"/>
      <c r="N227" s="48"/>
      <c r="O227" s="48"/>
      <c r="P227" s="48"/>
    </row>
    <row r="228" spans="13:16" ht="12.75">
      <c r="M228" s="48"/>
      <c r="N228" s="48"/>
      <c r="O228" s="48"/>
      <c r="P228" s="48"/>
    </row>
    <row r="229" spans="13:16" ht="12.75">
      <c r="M229" s="48"/>
      <c r="N229" s="48"/>
      <c r="O229" s="48"/>
      <c r="P229" s="48"/>
    </row>
    <row r="230" spans="13:16" ht="12.75">
      <c r="M230" s="48"/>
      <c r="N230" s="48"/>
      <c r="O230" s="48"/>
      <c r="P230" s="48"/>
    </row>
    <row r="231" spans="13:16" ht="12.75">
      <c r="M231" s="48"/>
      <c r="N231" s="48"/>
      <c r="O231" s="48"/>
      <c r="P231" s="48"/>
    </row>
    <row r="232" spans="13:16" ht="12.75">
      <c r="M232" s="48"/>
      <c r="N232" s="48"/>
      <c r="O232" s="48"/>
      <c r="P232" s="48"/>
    </row>
    <row r="233" spans="13:16" ht="12.75">
      <c r="M233" s="48"/>
      <c r="N233" s="48"/>
      <c r="O233" s="48"/>
      <c r="P233" s="48"/>
    </row>
    <row r="234" spans="13:16" ht="12.75">
      <c r="M234" s="48"/>
      <c r="N234" s="48"/>
      <c r="O234" s="48"/>
      <c r="P234" s="48"/>
    </row>
    <row r="235" spans="13:16" ht="12.75">
      <c r="M235" s="48"/>
      <c r="N235" s="48"/>
      <c r="O235" s="48"/>
      <c r="P235" s="48"/>
    </row>
    <row r="236" spans="13:16" ht="12.75">
      <c r="M236" s="48"/>
      <c r="N236" s="48"/>
      <c r="O236" s="48"/>
      <c r="P236" s="48"/>
    </row>
    <row r="237" spans="13:16" ht="12.75">
      <c r="M237" s="48"/>
      <c r="N237" s="48"/>
      <c r="O237" s="48"/>
      <c r="P237" s="48"/>
    </row>
    <row r="238" spans="13:16" ht="12.75">
      <c r="M238" s="48"/>
      <c r="N238" s="48"/>
      <c r="O238" s="48"/>
      <c r="P238" s="48"/>
    </row>
    <row r="239" spans="13:16" ht="12.75">
      <c r="M239" s="48"/>
      <c r="N239" s="48"/>
      <c r="O239" s="48"/>
      <c r="P239" s="48"/>
    </row>
    <row r="240" spans="13:16" ht="12.75">
      <c r="M240" s="48"/>
      <c r="N240" s="48"/>
      <c r="O240" s="48"/>
      <c r="P240" s="48"/>
    </row>
    <row r="241" spans="13:16" ht="12.75">
      <c r="M241" s="48"/>
      <c r="N241" s="48"/>
      <c r="O241" s="48"/>
      <c r="P241" s="48"/>
    </row>
    <row r="242" spans="13:16" ht="12.75">
      <c r="M242" s="48"/>
      <c r="N242" s="48"/>
      <c r="O242" s="48"/>
      <c r="P242" s="48"/>
    </row>
    <row r="243" spans="13:16" ht="12.75">
      <c r="M243" s="48"/>
      <c r="N243" s="48"/>
      <c r="O243" s="48"/>
      <c r="P243" s="48"/>
    </row>
    <row r="244" spans="13:16" ht="12.75">
      <c r="M244" s="48"/>
      <c r="N244" s="48"/>
      <c r="O244" s="48"/>
      <c r="P244" s="48"/>
    </row>
    <row r="245" spans="13:16" ht="12.75">
      <c r="M245" s="48"/>
      <c r="N245" s="48"/>
      <c r="O245" s="48"/>
      <c r="P245" s="48"/>
    </row>
    <row r="246" spans="13:16" ht="12.75">
      <c r="M246" s="48"/>
      <c r="N246" s="48"/>
      <c r="O246" s="48"/>
      <c r="P246" s="48"/>
    </row>
    <row r="247" spans="13:16" ht="12.75">
      <c r="M247" s="48"/>
      <c r="N247" s="48"/>
      <c r="O247" s="48"/>
      <c r="P247" s="48"/>
    </row>
    <row r="248" spans="13:16" ht="12.75">
      <c r="M248" s="48"/>
      <c r="N248" s="48"/>
      <c r="O248" s="48"/>
      <c r="P248" s="48"/>
    </row>
    <row r="249" spans="13:16" ht="12.75">
      <c r="M249" s="48"/>
      <c r="N249" s="48"/>
      <c r="O249" s="48"/>
      <c r="P249" s="48"/>
    </row>
    <row r="250" spans="13:16" ht="12.75">
      <c r="M250" s="48"/>
      <c r="N250" s="48"/>
      <c r="O250" s="48"/>
      <c r="P250" s="48"/>
    </row>
    <row r="251" spans="13:16" ht="12.75">
      <c r="M251" s="48"/>
      <c r="N251" s="48"/>
      <c r="O251" s="48"/>
      <c r="P251" s="48"/>
    </row>
    <row r="252" spans="13:16" ht="12.75">
      <c r="M252" s="48"/>
      <c r="N252" s="48"/>
      <c r="O252" s="48"/>
      <c r="P252" s="48"/>
    </row>
    <row r="253" spans="13:16" ht="12.75">
      <c r="M253" s="48"/>
      <c r="N253" s="48"/>
      <c r="O253" s="48"/>
      <c r="P253" s="48"/>
    </row>
    <row r="254" spans="13:16" ht="12.75">
      <c r="M254" s="48"/>
      <c r="N254" s="48"/>
      <c r="O254" s="48"/>
      <c r="P254" s="48"/>
    </row>
    <row r="255" spans="13:16" ht="12.75">
      <c r="M255" s="48"/>
      <c r="N255" s="48"/>
      <c r="O255" s="48"/>
      <c r="P255" s="48"/>
    </row>
    <row r="256" spans="13:16" ht="12.75">
      <c r="M256" s="48"/>
      <c r="N256" s="48"/>
      <c r="O256" s="48"/>
      <c r="P256" s="48"/>
    </row>
    <row r="257" spans="13:16" ht="12.75">
      <c r="M257" s="48"/>
      <c r="N257" s="48"/>
      <c r="O257" s="48"/>
      <c r="P257" s="48"/>
    </row>
    <row r="258" spans="13:16" ht="12.75">
      <c r="M258" s="48"/>
      <c r="N258" s="48"/>
      <c r="O258" s="48"/>
      <c r="P258" s="48"/>
    </row>
    <row r="259" spans="13:16" ht="12.75">
      <c r="M259" s="48"/>
      <c r="N259" s="48"/>
      <c r="O259" s="48"/>
      <c r="P259" s="48"/>
    </row>
    <row r="260" spans="13:16" ht="12.75">
      <c r="M260" s="48"/>
      <c r="N260" s="48"/>
      <c r="O260" s="48"/>
      <c r="P260" s="48"/>
    </row>
    <row r="261" spans="13:16" ht="12.75">
      <c r="M261" s="48"/>
      <c r="N261" s="48"/>
      <c r="O261" s="48"/>
      <c r="P261" s="48"/>
    </row>
    <row r="262" spans="13:16" ht="12.75">
      <c r="M262" s="48"/>
      <c r="N262" s="48"/>
      <c r="O262" s="48"/>
      <c r="P262" s="48"/>
    </row>
    <row r="263" spans="13:16" ht="12.75">
      <c r="M263" s="48"/>
      <c r="N263" s="48"/>
      <c r="O263" s="48"/>
      <c r="P263" s="48"/>
    </row>
    <row r="264" spans="13:16" ht="12.75">
      <c r="M264" s="48"/>
      <c r="N264" s="48"/>
      <c r="O264" s="48"/>
      <c r="P264" s="48"/>
    </row>
    <row r="265" spans="13:16" ht="12.75">
      <c r="M265" s="48"/>
      <c r="N265" s="48"/>
      <c r="O265" s="48"/>
      <c r="P265" s="48"/>
    </row>
    <row r="266" spans="13:16" ht="12.75">
      <c r="M266" s="48"/>
      <c r="N266" s="48"/>
      <c r="O266" s="48"/>
      <c r="P266" s="48"/>
    </row>
    <row r="267" spans="13:16" ht="12.75">
      <c r="M267" s="48"/>
      <c r="N267" s="48"/>
      <c r="O267" s="48"/>
      <c r="P267" s="48"/>
    </row>
    <row r="268" spans="13:16" ht="12.75">
      <c r="M268" s="48"/>
      <c r="N268" s="48"/>
      <c r="O268" s="48"/>
      <c r="P268" s="48"/>
    </row>
    <row r="269" spans="13:16" ht="12.75">
      <c r="M269" s="48"/>
      <c r="N269" s="48"/>
      <c r="O269" s="48"/>
      <c r="P269" s="48"/>
    </row>
    <row r="270" spans="13:16" ht="12.75">
      <c r="M270" s="48"/>
      <c r="N270" s="48"/>
      <c r="O270" s="48"/>
      <c r="P270" s="48"/>
    </row>
    <row r="271" spans="13:16" ht="12.75">
      <c r="M271" s="48"/>
      <c r="N271" s="48"/>
      <c r="O271" s="48"/>
      <c r="P271" s="48"/>
    </row>
    <row r="272" spans="13:16" ht="12.75">
      <c r="M272" s="48"/>
      <c r="N272" s="48"/>
      <c r="O272" s="48"/>
      <c r="P272" s="48"/>
    </row>
    <row r="273" spans="13:16" ht="12.75">
      <c r="M273" s="48"/>
      <c r="N273" s="48"/>
      <c r="O273" s="48"/>
      <c r="P273" s="48"/>
    </row>
    <row r="274" spans="13:16" ht="12.75">
      <c r="M274" s="48"/>
      <c r="N274" s="48"/>
      <c r="O274" s="48"/>
      <c r="P274" s="48"/>
    </row>
    <row r="275" spans="13:16" ht="12.75">
      <c r="M275" s="48"/>
      <c r="N275" s="48"/>
      <c r="O275" s="48"/>
      <c r="P275" s="48"/>
    </row>
    <row r="276" spans="13:16" ht="12.75">
      <c r="M276" s="48"/>
      <c r="N276" s="48"/>
      <c r="O276" s="48"/>
      <c r="P276" s="48"/>
    </row>
    <row r="277" spans="13:16" ht="12.75">
      <c r="M277" s="48"/>
      <c r="N277" s="48"/>
      <c r="O277" s="48"/>
      <c r="P277" s="48"/>
    </row>
    <row r="278" spans="13:16" ht="12.75">
      <c r="M278" s="48"/>
      <c r="N278" s="48"/>
      <c r="O278" s="48"/>
      <c r="P278" s="48"/>
    </row>
    <row r="279" spans="13:16" ht="12.75">
      <c r="M279" s="48"/>
      <c r="N279" s="48"/>
      <c r="O279" s="48"/>
      <c r="P279" s="48"/>
    </row>
    <row r="280" spans="13:16" ht="12.75">
      <c r="M280" s="48"/>
      <c r="N280" s="48"/>
      <c r="O280" s="48"/>
      <c r="P280" s="48"/>
    </row>
    <row r="281" spans="13:16" ht="12.75">
      <c r="M281" s="48"/>
      <c r="N281" s="48"/>
      <c r="O281" s="48"/>
      <c r="P281" s="48"/>
    </row>
    <row r="282" spans="13:16" ht="12.75">
      <c r="M282" s="48"/>
      <c r="N282" s="48"/>
      <c r="O282" s="48"/>
      <c r="P282" s="48"/>
    </row>
    <row r="283" spans="13:16" ht="12.75">
      <c r="M283" s="48"/>
      <c r="N283" s="48"/>
      <c r="O283" s="48"/>
      <c r="P283" s="48"/>
    </row>
    <row r="284" spans="13:16" ht="12.75">
      <c r="M284" s="48"/>
      <c r="N284" s="48"/>
      <c r="O284" s="48"/>
      <c r="P284" s="48"/>
    </row>
    <row r="285" spans="13:16" ht="12.75">
      <c r="M285" s="48"/>
      <c r="N285" s="48"/>
      <c r="O285" s="48"/>
      <c r="P285" s="48"/>
    </row>
    <row r="286" spans="13:16" ht="12.75">
      <c r="M286" s="48"/>
      <c r="N286" s="48"/>
      <c r="O286" s="48"/>
      <c r="P286" s="48"/>
    </row>
    <row r="287" spans="13:16" ht="12.75">
      <c r="M287" s="48"/>
      <c r="N287" s="48"/>
      <c r="O287" s="48"/>
      <c r="P287" s="48"/>
    </row>
    <row r="288" spans="13:16" ht="12.75">
      <c r="M288" s="48"/>
      <c r="N288" s="48"/>
      <c r="O288" s="48"/>
      <c r="P288" s="48"/>
    </row>
    <row r="289" spans="13:16" ht="12.75">
      <c r="M289" s="48"/>
      <c r="N289" s="48"/>
      <c r="O289" s="48"/>
      <c r="P289" s="48"/>
    </row>
    <row r="290" spans="13:16" ht="12.75">
      <c r="M290" s="48"/>
      <c r="N290" s="48"/>
      <c r="O290" s="48"/>
      <c r="P290" s="48"/>
    </row>
    <row r="291" spans="13:16" ht="12.75">
      <c r="M291" s="48"/>
      <c r="N291" s="48"/>
      <c r="O291" s="48"/>
      <c r="P291" s="48"/>
    </row>
    <row r="292" spans="13:16" ht="12.75">
      <c r="M292" s="48"/>
      <c r="N292" s="48"/>
      <c r="O292" s="48"/>
      <c r="P292" s="48"/>
    </row>
    <row r="293" spans="13:16" ht="12.75">
      <c r="M293" s="48"/>
      <c r="N293" s="48"/>
      <c r="O293" s="48"/>
      <c r="P293" s="48"/>
    </row>
    <row r="294" spans="13:16" ht="12.75">
      <c r="M294" s="48"/>
      <c r="N294" s="48"/>
      <c r="O294" s="48"/>
      <c r="P294" s="48"/>
    </row>
    <row r="295" spans="13:16" ht="12.75">
      <c r="M295" s="48"/>
      <c r="N295" s="48"/>
      <c r="O295" s="48"/>
      <c r="P295" s="48"/>
    </row>
    <row r="296" spans="13:16" ht="12.75">
      <c r="M296" s="48"/>
      <c r="N296" s="48"/>
      <c r="O296" s="48"/>
      <c r="P296" s="48"/>
    </row>
    <row r="297" spans="13:16" ht="12.75">
      <c r="M297" s="48"/>
      <c r="N297" s="48"/>
      <c r="O297" s="48"/>
      <c r="P297" s="48"/>
    </row>
  </sheetData>
  <sheetProtection password="C935" sheet="1" objects="1" scenarios="1"/>
  <mergeCells count="9">
    <mergeCell ref="C7:F7"/>
    <mergeCell ref="A1:P1"/>
    <mergeCell ref="A3:P3"/>
    <mergeCell ref="A4:P4"/>
    <mergeCell ref="H7:I7"/>
    <mergeCell ref="M6:P6"/>
    <mergeCell ref="M7:P7"/>
    <mergeCell ref="C6:J6"/>
    <mergeCell ref="G7:G9"/>
  </mergeCells>
  <printOptions horizontalCentered="1"/>
  <pageMargins left="0.47" right="0.59" top="0.83" bottom="1" header="0.67" footer="0.5"/>
  <pageSetup fitToHeight="1" fitToWidth="1" horizontalDpi="600" verticalDpi="600" orientation="landscape" scale="77" r:id="rId1"/>
  <headerFooter alignWithMargins="0">
    <oddFooter>&amp;L&amp;"Arial,Italic"&amp;9MSDE-DBS    11  / 2006.
&amp;C- 6 -&amp;R&amp;"Arial,Italic"&amp;9Selected Financial Data-Part 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D4">
      <selection activeCell="B16" sqref="B16"/>
    </sheetView>
  </sheetViews>
  <sheetFormatPr defaultColWidth="9.140625" defaultRowHeight="12.75"/>
  <cols>
    <col min="1" max="1" width="14.421875" style="264" customWidth="1"/>
    <col min="2" max="2" width="15.00390625" style="266" bestFit="1" customWidth="1"/>
    <col min="3" max="3" width="15.421875" style="265" customWidth="1"/>
    <col min="4" max="4" width="16.140625" style="264" customWidth="1"/>
    <col min="5" max="5" width="13.8515625" style="264" customWidth="1"/>
    <col min="6" max="6" width="12.28125" style="265" customWidth="1"/>
    <col min="7" max="7" width="1.421875" style="264" customWidth="1"/>
    <col min="8" max="8" width="13.7109375" style="264" customWidth="1"/>
    <col min="9" max="9" width="12.00390625" style="264" customWidth="1"/>
    <col min="10" max="10" width="11.7109375" style="264" customWidth="1"/>
    <col min="11" max="11" width="13.421875" style="264" customWidth="1"/>
    <col min="12" max="12" width="10.421875" style="264" bestFit="1" customWidth="1"/>
    <col min="13" max="13" width="11.7109375" style="264" customWidth="1"/>
    <col min="14" max="14" width="11.421875" style="264" bestFit="1" customWidth="1"/>
    <col min="16" max="16" width="12.57421875" style="0" customWidth="1"/>
  </cols>
  <sheetData>
    <row r="1" spans="1:14" s="43" customFormat="1" ht="12.75">
      <c r="A1" s="376" t="s">
        <v>52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2:6" s="43" customFormat="1" ht="12.75">
      <c r="B2" s="326"/>
      <c r="C2" s="270"/>
      <c r="F2" s="270"/>
    </row>
    <row r="3" spans="1:14" s="43" customFormat="1" ht="12.75">
      <c r="A3" s="391" t="s">
        <v>283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2:14" s="43" customFormat="1" ht="13.5" thickBot="1">
      <c r="B4" s="196"/>
      <c r="C4" s="270"/>
      <c r="D4" s="323"/>
      <c r="E4" s="323"/>
      <c r="F4" s="327"/>
      <c r="G4" s="323"/>
      <c r="H4" s="323"/>
      <c r="I4" s="323"/>
      <c r="J4" s="323"/>
      <c r="K4" s="323"/>
      <c r="L4" s="323"/>
      <c r="M4" s="86"/>
      <c r="N4" s="86"/>
    </row>
    <row r="5" spans="1:14" s="43" customFormat="1" ht="15" customHeight="1" thickTop="1">
      <c r="A5" s="101"/>
      <c r="B5" s="328"/>
      <c r="C5" s="329"/>
      <c r="D5" s="392" t="s">
        <v>56</v>
      </c>
      <c r="E5" s="392"/>
      <c r="F5" s="392"/>
      <c r="G5" s="392"/>
      <c r="H5" s="392"/>
      <c r="I5" s="392"/>
      <c r="J5" s="392"/>
      <c r="K5" s="392"/>
      <c r="L5" s="392"/>
      <c r="M5" s="387"/>
      <c r="N5" s="387"/>
    </row>
    <row r="6" spans="1:14" s="43" customFormat="1" ht="12.75">
      <c r="A6" s="86"/>
      <c r="B6" s="330"/>
      <c r="C6" s="331" t="s">
        <v>53</v>
      </c>
      <c r="D6" s="390" t="s">
        <v>57</v>
      </c>
      <c r="E6" s="390"/>
      <c r="F6" s="390"/>
      <c r="G6" s="332"/>
      <c r="H6" s="390" t="s">
        <v>29</v>
      </c>
      <c r="I6" s="390"/>
      <c r="J6" s="390"/>
      <c r="K6" s="393" t="s">
        <v>212</v>
      </c>
      <c r="L6" s="390" t="s">
        <v>254</v>
      </c>
      <c r="M6" s="390"/>
      <c r="N6" s="390"/>
    </row>
    <row r="7" spans="1:14" s="43" customFormat="1" ht="12.75">
      <c r="A7" s="86" t="s">
        <v>101</v>
      </c>
      <c r="B7" s="149" t="s">
        <v>53</v>
      </c>
      <c r="C7" s="331" t="s">
        <v>64</v>
      </c>
      <c r="D7" s="93"/>
      <c r="E7" s="302" t="s">
        <v>285</v>
      </c>
      <c r="F7" s="396" t="s">
        <v>284</v>
      </c>
      <c r="G7" s="93"/>
      <c r="H7" s="86"/>
      <c r="I7" s="86"/>
      <c r="J7" s="93" t="s">
        <v>180</v>
      </c>
      <c r="K7" s="394"/>
      <c r="L7" s="93" t="s">
        <v>30</v>
      </c>
      <c r="M7" s="93" t="s">
        <v>31</v>
      </c>
      <c r="N7" s="86"/>
    </row>
    <row r="8" spans="1:14" s="43" customFormat="1" ht="12.75">
      <c r="A8" s="86" t="s">
        <v>41</v>
      </c>
      <c r="B8" s="333" t="s">
        <v>54</v>
      </c>
      <c r="C8" s="331" t="s">
        <v>65</v>
      </c>
      <c r="D8" s="93" t="s">
        <v>58</v>
      </c>
      <c r="E8" s="302" t="s">
        <v>286</v>
      </c>
      <c r="F8" s="397"/>
      <c r="G8" s="93"/>
      <c r="H8" s="93"/>
      <c r="I8" s="93"/>
      <c r="J8" s="93" t="s">
        <v>28</v>
      </c>
      <c r="K8" s="394"/>
      <c r="L8" s="93" t="s">
        <v>59</v>
      </c>
      <c r="M8" s="93" t="s">
        <v>60</v>
      </c>
      <c r="N8" s="93" t="s">
        <v>32</v>
      </c>
    </row>
    <row r="9" spans="1:14" s="43" customFormat="1" ht="13.5" thickBot="1">
      <c r="A9" s="107" t="s">
        <v>154</v>
      </c>
      <c r="B9" s="141" t="s">
        <v>55</v>
      </c>
      <c r="C9" s="334" t="s">
        <v>63</v>
      </c>
      <c r="D9" s="108" t="s">
        <v>25</v>
      </c>
      <c r="E9" s="303" t="s">
        <v>287</v>
      </c>
      <c r="F9" s="395"/>
      <c r="G9" s="109"/>
      <c r="H9" s="109" t="s">
        <v>25</v>
      </c>
      <c r="I9" s="109" t="s">
        <v>180</v>
      </c>
      <c r="J9" s="109" t="s">
        <v>181</v>
      </c>
      <c r="K9" s="395"/>
      <c r="L9" s="109" t="s">
        <v>50</v>
      </c>
      <c r="M9" s="109" t="s">
        <v>61</v>
      </c>
      <c r="N9" s="109" t="s">
        <v>33</v>
      </c>
    </row>
    <row r="10" spans="1:14" s="43" customFormat="1" ht="12.75">
      <c r="A10" s="86" t="s">
        <v>0</v>
      </c>
      <c r="B10" s="335">
        <f>SUM(B12:B39)</f>
        <v>3729352016.98</v>
      </c>
      <c r="C10" s="336">
        <f aca="true" t="shared" si="0" ref="C10:J10">SUM(C12:C39)</f>
        <v>3580706403.06</v>
      </c>
      <c r="D10" s="336">
        <f>SUM(D12:D39)</f>
        <v>2135929266.3700001</v>
      </c>
      <c r="E10" s="336">
        <f>SUM(E12:E39)</f>
        <v>1488141</v>
      </c>
      <c r="F10" s="337">
        <f t="shared" si="0"/>
        <v>37745003.24</v>
      </c>
      <c r="G10" s="336">
        <f t="shared" si="0"/>
        <v>0</v>
      </c>
      <c r="H10" s="336">
        <f>SUM(H12:H39)</f>
        <v>479654102.82000005</v>
      </c>
      <c r="I10" s="336">
        <f>SUM(I12:I39)</f>
        <v>0</v>
      </c>
      <c r="J10" s="336">
        <f t="shared" si="0"/>
        <v>15962.7</v>
      </c>
      <c r="K10" s="338">
        <f>SUM(K12:K39)</f>
        <v>403179150</v>
      </c>
      <c r="L10" s="336">
        <f>SUM(L12:L39)</f>
        <v>0</v>
      </c>
      <c r="M10" s="336">
        <f>SUM(M12:M39)</f>
        <v>0</v>
      </c>
      <c r="N10" s="336">
        <f>SUM(N12:N39)</f>
        <v>0</v>
      </c>
    </row>
    <row r="11" spans="1:14" s="43" customFormat="1" ht="12.75">
      <c r="A11" s="86"/>
      <c r="B11" s="339"/>
      <c r="C11" s="270"/>
      <c r="D11" s="340"/>
      <c r="E11" s="340"/>
      <c r="F11" s="331"/>
      <c r="G11" s="340"/>
      <c r="H11" s="340"/>
      <c r="I11" s="340"/>
      <c r="J11" s="340"/>
      <c r="L11" s="340"/>
      <c r="M11" s="340"/>
      <c r="N11" s="340"/>
    </row>
    <row r="12" spans="1:14" s="43" customFormat="1" ht="12.75">
      <c r="A12" s="43" t="s">
        <v>1</v>
      </c>
      <c r="B12" s="326">
        <f>+C12+state5!B11+state5!F11+state5!J11</f>
        <v>56382018.96</v>
      </c>
      <c r="C12" s="270">
        <f>SUM(D12:N12)+SUM(state2!B12:L12)+SUM(state3!B13:K13)+SUM(state4!B12:N12)+SUM(state4a!B13:R13)</f>
        <v>55522656.29</v>
      </c>
      <c r="D12" s="293">
        <v>32339637</v>
      </c>
      <c r="E12" s="293">
        <v>0</v>
      </c>
      <c r="F12" s="293">
        <v>0</v>
      </c>
      <c r="G12" s="94"/>
      <c r="H12" s="293">
        <v>9996181</v>
      </c>
      <c r="I12" s="293">
        <v>0</v>
      </c>
      <c r="J12" s="293">
        <v>0</v>
      </c>
      <c r="K12" s="164">
        <v>4206214</v>
      </c>
      <c r="L12" s="293">
        <v>0</v>
      </c>
      <c r="M12" s="293">
        <v>0</v>
      </c>
      <c r="N12" s="293">
        <v>0</v>
      </c>
    </row>
    <row r="13" spans="1:14" s="43" customFormat="1" ht="12.75">
      <c r="A13" s="43" t="s">
        <v>2</v>
      </c>
      <c r="B13" s="326">
        <f>+C13+state5!B12+state5!F12+state5!J12</f>
        <v>240421592.41000003</v>
      </c>
      <c r="C13" s="270">
        <f>SUM(D13:N13)+SUM(state2!B13:L13)+SUM(state3!B14:K14)+SUM(state4!B13:N13)+SUM(state4a!B14:R14)</f>
        <v>228090077.41000003</v>
      </c>
      <c r="D13" s="293">
        <v>138652954</v>
      </c>
      <c r="E13" s="293">
        <v>0</v>
      </c>
      <c r="F13" s="293">
        <v>0</v>
      </c>
      <c r="G13" s="279"/>
      <c r="H13" s="293">
        <v>14880824</v>
      </c>
      <c r="I13" s="293">
        <v>0</v>
      </c>
      <c r="J13" s="293">
        <v>0</v>
      </c>
      <c r="K13" s="164">
        <v>32189217</v>
      </c>
      <c r="L13" s="293">
        <v>0</v>
      </c>
      <c r="M13" s="293">
        <v>0</v>
      </c>
      <c r="N13" s="293">
        <v>0</v>
      </c>
    </row>
    <row r="14" spans="1:14" s="43" customFormat="1" ht="12.75">
      <c r="A14" s="43" t="s">
        <v>3</v>
      </c>
      <c r="B14" s="326">
        <f>+C14+state5!B13+state5!F13+state5!J13</f>
        <v>655315600.6899999</v>
      </c>
      <c r="C14" s="270">
        <f>SUM(D14:N14)+SUM(state2!B14:L14)+SUM(state3!B15:K15)+SUM(state4!B14:N14)+SUM(state4a!B15:R15)</f>
        <v>646685860.76</v>
      </c>
      <c r="D14" s="91">
        <v>335292439.96</v>
      </c>
      <c r="E14" s="293">
        <v>0</v>
      </c>
      <c r="F14" s="341">
        <v>37729951</v>
      </c>
      <c r="G14" s="279"/>
      <c r="H14" s="293">
        <v>171108084.97</v>
      </c>
      <c r="I14" s="293">
        <v>0</v>
      </c>
      <c r="J14" s="293">
        <v>0</v>
      </c>
      <c r="K14" s="164">
        <v>46339455</v>
      </c>
      <c r="L14" s="293">
        <v>0</v>
      </c>
      <c r="M14" s="293">
        <v>0</v>
      </c>
      <c r="N14" s="293">
        <v>0</v>
      </c>
    </row>
    <row r="15" spans="1:14" s="43" customFormat="1" ht="12.75">
      <c r="A15" s="43" t="s">
        <v>4</v>
      </c>
      <c r="B15" s="326">
        <f>+C15+state5!B14+state5!F14+state5!J14</f>
        <v>411026690.39</v>
      </c>
      <c r="C15" s="270">
        <f>SUM(D15:N15)+SUM(state2!B15:L15)+SUM(state3!B16:K16)+SUM(state4!B15:N15)+SUM(state4a!B16:R16)</f>
        <v>395036935.74</v>
      </c>
      <c r="D15" s="293">
        <v>241586294</v>
      </c>
      <c r="E15" s="293">
        <v>0</v>
      </c>
      <c r="F15" s="293">
        <v>0</v>
      </c>
      <c r="G15" s="279"/>
      <c r="H15" s="293">
        <v>40246479</v>
      </c>
      <c r="I15" s="293">
        <v>0</v>
      </c>
      <c r="J15" s="293">
        <v>0</v>
      </c>
      <c r="K15" s="164">
        <v>49476521</v>
      </c>
      <c r="L15" s="293">
        <v>0</v>
      </c>
      <c r="M15" s="293">
        <v>0</v>
      </c>
      <c r="N15" s="293">
        <v>0</v>
      </c>
    </row>
    <row r="16" spans="1:14" s="43" customFormat="1" ht="12.75">
      <c r="A16" s="43" t="s">
        <v>5</v>
      </c>
      <c r="B16" s="326">
        <f>+C16+state5!B15+state5!F15+state5!J15</f>
        <v>72148432.88000001</v>
      </c>
      <c r="C16" s="270">
        <f>SUM(D16:N16)+SUM(state2!B16:L16)+SUM(state3!B17:K17)+SUM(state4!B16:N16)+SUM(state4a!B17:R17)</f>
        <v>67594961.84</v>
      </c>
      <c r="D16" s="293">
        <v>47313831</v>
      </c>
      <c r="E16" s="293">
        <v>0</v>
      </c>
      <c r="F16" s="293">
        <v>0</v>
      </c>
      <c r="G16" s="279"/>
      <c r="H16" s="293">
        <v>3593679</v>
      </c>
      <c r="I16" s="293">
        <v>0</v>
      </c>
      <c r="J16" s="293">
        <v>0</v>
      </c>
      <c r="K16" s="164">
        <v>7669075</v>
      </c>
      <c r="L16" s="293">
        <v>0</v>
      </c>
      <c r="M16" s="293">
        <v>0</v>
      </c>
      <c r="N16" s="293">
        <v>0</v>
      </c>
    </row>
    <row r="17" spans="2:14" s="43" customFormat="1" ht="12.75">
      <c r="B17" s="326"/>
      <c r="C17" s="270"/>
      <c r="D17" s="293"/>
      <c r="E17" s="293"/>
      <c r="F17" s="342"/>
      <c r="G17" s="279"/>
      <c r="H17" s="293"/>
      <c r="I17" s="293"/>
      <c r="J17" s="293"/>
      <c r="K17" s="164"/>
      <c r="L17" s="293"/>
      <c r="M17" s="293"/>
      <c r="N17" s="293"/>
    </row>
    <row r="18" spans="1:14" s="43" customFormat="1" ht="12.75">
      <c r="A18" s="43" t="s">
        <v>6</v>
      </c>
      <c r="B18" s="326">
        <f>+C18+state5!B17+state5!F17+state5!J17</f>
        <v>31287325.279999997</v>
      </c>
      <c r="C18" s="270">
        <f>SUM(D18:N18)+SUM(state2!B18:L18)+SUM(state3!B19:K19)+SUM(state4!B18:N18)+SUM(state4a!B19:R19)</f>
        <v>31032030.27</v>
      </c>
      <c r="D18" s="293">
        <v>17959710</v>
      </c>
      <c r="E18" s="293">
        <v>274169</v>
      </c>
      <c r="F18" s="293">
        <v>0</v>
      </c>
      <c r="G18" s="279"/>
      <c r="H18" s="293">
        <v>5203223</v>
      </c>
      <c r="I18" s="293">
        <v>0</v>
      </c>
      <c r="J18" s="293">
        <v>0</v>
      </c>
      <c r="K18" s="164">
        <v>2351696</v>
      </c>
      <c r="L18" s="293">
        <v>0</v>
      </c>
      <c r="M18" s="293">
        <v>0</v>
      </c>
      <c r="N18" s="293">
        <v>0</v>
      </c>
    </row>
    <row r="19" spans="1:14" s="43" customFormat="1" ht="12.75">
      <c r="A19" s="43" t="s">
        <v>7</v>
      </c>
      <c r="B19" s="326">
        <f>+C19+state5!B18+state5!F18+state5!J18</f>
        <v>124718496.31</v>
      </c>
      <c r="C19" s="270">
        <f>SUM(D19:N19)+SUM(state2!B19:L19)+SUM(state3!B20:K20)+SUM(state4!B19:N19)+SUM(state4a!B20:R20)</f>
        <v>112829755.31</v>
      </c>
      <c r="D19" s="293">
        <v>80871798</v>
      </c>
      <c r="E19" s="293">
        <v>0</v>
      </c>
      <c r="F19" s="293">
        <v>0</v>
      </c>
      <c r="G19" s="279"/>
      <c r="H19" s="293">
        <v>4405070</v>
      </c>
      <c r="I19" s="293">
        <v>0</v>
      </c>
      <c r="J19" s="293">
        <v>0</v>
      </c>
      <c r="K19" s="164">
        <v>11582831</v>
      </c>
      <c r="L19" s="293">
        <v>0</v>
      </c>
      <c r="M19" s="293">
        <v>0</v>
      </c>
      <c r="N19" s="293">
        <v>0</v>
      </c>
    </row>
    <row r="20" spans="1:14" s="43" customFormat="1" ht="12.75">
      <c r="A20" s="43" t="s">
        <v>8</v>
      </c>
      <c r="B20" s="326">
        <f>+C20+state5!B19+state5!F19+state5!J19</f>
        <v>74367935.53999999</v>
      </c>
      <c r="C20" s="270">
        <f>SUM(D20:N20)+SUM(state2!B20:L20)+SUM(state3!B21:K21)+SUM(state4!B20:N20)+SUM(state4a!B21:R21)</f>
        <v>74038628.22999999</v>
      </c>
      <c r="D20" s="293">
        <v>49408575</v>
      </c>
      <c r="E20" s="293">
        <v>0</v>
      </c>
      <c r="F20" s="293">
        <v>0</v>
      </c>
      <c r="G20" s="279"/>
      <c r="H20" s="293">
        <v>7362488</v>
      </c>
      <c r="I20" s="293">
        <v>0</v>
      </c>
      <c r="J20" s="293">
        <v>0</v>
      </c>
      <c r="K20" s="164">
        <v>6826204</v>
      </c>
      <c r="L20" s="293">
        <v>0</v>
      </c>
      <c r="M20" s="293">
        <v>0</v>
      </c>
      <c r="N20" s="293">
        <v>0</v>
      </c>
    </row>
    <row r="21" spans="1:14" s="43" customFormat="1" ht="12.75">
      <c r="A21" s="43" t="s">
        <v>9</v>
      </c>
      <c r="B21" s="326">
        <f>+C21+state5!B20+state5!F20+state5!J20</f>
        <v>119305132.43</v>
      </c>
      <c r="C21" s="270">
        <f>SUM(D21:N21)+SUM(state2!B21:L21)+SUM(state3!B22:K22)+SUM(state4!B21:N21)+SUM(state4a!B22:R22)</f>
        <v>108213780.05000001</v>
      </c>
      <c r="D21" s="293">
        <v>73744501</v>
      </c>
      <c r="E21" s="293">
        <v>0</v>
      </c>
      <c r="F21" s="293">
        <v>0</v>
      </c>
      <c r="G21" s="279"/>
      <c r="H21" s="293">
        <v>9162627</v>
      </c>
      <c r="I21" s="293">
        <v>0</v>
      </c>
      <c r="J21" s="293">
        <v>0</v>
      </c>
      <c r="K21" s="164">
        <v>10181678</v>
      </c>
      <c r="L21" s="293">
        <v>0</v>
      </c>
      <c r="M21" s="293">
        <v>0</v>
      </c>
      <c r="N21" s="293">
        <v>0</v>
      </c>
    </row>
    <row r="22" spans="1:14" s="43" customFormat="1" ht="12.75">
      <c r="A22" s="43" t="s">
        <v>10</v>
      </c>
      <c r="B22" s="326">
        <f>+C22+state5!B21+state5!F21+state5!J21</f>
        <v>24182318.45</v>
      </c>
      <c r="C22" s="270">
        <f>SUM(D22:N22)+SUM(state2!B22:L22)+SUM(state3!B23:K23)+SUM(state4!B22:N22)+SUM(state4a!B23:R23)</f>
        <v>23660930.45</v>
      </c>
      <c r="D22" s="343">
        <v>13803779</v>
      </c>
      <c r="E22" s="343">
        <v>17566</v>
      </c>
      <c r="F22" s="343">
        <v>0</v>
      </c>
      <c r="G22" s="326"/>
      <c r="H22" s="343">
        <v>3917281</v>
      </c>
      <c r="I22" s="343">
        <v>0</v>
      </c>
      <c r="J22" s="343">
        <v>0</v>
      </c>
      <c r="K22" s="164">
        <v>2125281</v>
      </c>
      <c r="L22" s="343">
        <v>0</v>
      </c>
      <c r="M22" s="343">
        <v>0</v>
      </c>
      <c r="N22" s="343">
        <v>0</v>
      </c>
    </row>
    <row r="23" spans="2:14" s="43" customFormat="1" ht="12.75">
      <c r="B23" s="326"/>
      <c r="C23" s="270"/>
      <c r="D23" s="293"/>
      <c r="E23" s="293"/>
      <c r="F23" s="293"/>
      <c r="G23" s="279"/>
      <c r="H23" s="293"/>
      <c r="I23" s="293"/>
      <c r="J23" s="293"/>
      <c r="K23" s="164"/>
      <c r="L23" s="293"/>
      <c r="M23" s="293"/>
      <c r="N23" s="293"/>
    </row>
    <row r="24" spans="1:14" s="43" customFormat="1" ht="12.75">
      <c r="A24" s="43" t="s">
        <v>11</v>
      </c>
      <c r="B24" s="326">
        <f>+C24+state5!B23+state5!F23+state5!J23</f>
        <v>159847629.45000005</v>
      </c>
      <c r="C24" s="270">
        <f>SUM(D24:N24)+SUM(state2!B24:L24)+SUM(state3!B25:K25)+SUM(state4!B24:N24)+SUM(state4a!B25:R25)</f>
        <v>147518577.45000005</v>
      </c>
      <c r="D24" s="293">
        <v>105526451</v>
      </c>
      <c r="E24" s="293">
        <v>0</v>
      </c>
      <c r="F24" s="293">
        <v>0</v>
      </c>
      <c r="G24" s="279"/>
      <c r="H24" s="293">
        <v>8226646</v>
      </c>
      <c r="I24" s="293">
        <v>0</v>
      </c>
      <c r="J24" s="293">
        <v>0</v>
      </c>
      <c r="K24" s="164">
        <v>15511293</v>
      </c>
      <c r="L24" s="293">
        <v>0</v>
      </c>
      <c r="M24" s="293">
        <v>0</v>
      </c>
      <c r="N24" s="293">
        <v>0</v>
      </c>
    </row>
    <row r="25" spans="1:14" s="43" customFormat="1" ht="12.75">
      <c r="A25" s="43" t="s">
        <v>12</v>
      </c>
      <c r="B25" s="326">
        <f>+C25+state5!B24+state5!F24+state5!J24</f>
        <v>22468913.259999998</v>
      </c>
      <c r="C25" s="270">
        <f>SUM(D25:N25)+SUM(state2!B25:L25)+SUM(state3!B26:K26)+SUM(state4!B25:N25)+SUM(state4a!B26:R26)</f>
        <v>22376001.259999998</v>
      </c>
      <c r="D25" s="293">
        <v>12924893</v>
      </c>
      <c r="E25" s="293">
        <v>0</v>
      </c>
      <c r="F25" s="293">
        <v>0</v>
      </c>
      <c r="G25" s="279"/>
      <c r="H25" s="293">
        <v>3301789</v>
      </c>
      <c r="I25" s="293">
        <v>0</v>
      </c>
      <c r="J25" s="293">
        <v>0</v>
      </c>
      <c r="K25" s="164">
        <v>2124810</v>
      </c>
      <c r="L25" s="293">
        <v>0</v>
      </c>
      <c r="M25" s="293">
        <v>0</v>
      </c>
      <c r="N25" s="293">
        <v>0</v>
      </c>
    </row>
    <row r="26" spans="1:14" s="43" customFormat="1" ht="12.75">
      <c r="A26" s="43" t="s">
        <v>13</v>
      </c>
      <c r="B26" s="326">
        <f>+C26+state5!B25+state5!F25+state5!J25</f>
        <v>172938613.75999996</v>
      </c>
      <c r="C26" s="270">
        <f>SUM(D26:N26)+SUM(state2!B26:L26)+SUM(state3!B27:K27)+SUM(state4!B26:N26)+SUM(state4a!B27:R27)</f>
        <v>160728292.75999996</v>
      </c>
      <c r="D26" s="293">
        <v>111673135</v>
      </c>
      <c r="E26" s="293">
        <v>0</v>
      </c>
      <c r="F26" s="293">
        <v>0</v>
      </c>
      <c r="G26" s="279"/>
      <c r="H26" s="293">
        <v>10813313</v>
      </c>
      <c r="I26" s="293">
        <v>0</v>
      </c>
      <c r="J26" s="293">
        <v>0</v>
      </c>
      <c r="K26" s="164">
        <v>16172006</v>
      </c>
      <c r="L26" s="293">
        <v>0</v>
      </c>
      <c r="M26" s="293">
        <v>0</v>
      </c>
      <c r="N26" s="293">
        <v>0</v>
      </c>
    </row>
    <row r="27" spans="1:14" s="43" customFormat="1" ht="12.75">
      <c r="A27" s="43" t="s">
        <v>14</v>
      </c>
      <c r="B27" s="326">
        <f>+C27+state5!B26+state5!F26+state5!J26</f>
        <v>159300166.87999997</v>
      </c>
      <c r="C27" s="270">
        <f>SUM(D27:N27)+SUM(state2!B27:L27)+SUM(state3!B28:K28)+SUM(state4!B27:N27)+SUM(state4a!B28:R28)</f>
        <v>150388222.87999997</v>
      </c>
      <c r="D27" s="293">
        <v>97615003</v>
      </c>
      <c r="E27" s="293">
        <v>0</v>
      </c>
      <c r="F27" s="352">
        <v>15052.24</v>
      </c>
      <c r="G27" s="279"/>
      <c r="H27" s="293">
        <v>5937694</v>
      </c>
      <c r="I27" s="293">
        <v>0</v>
      </c>
      <c r="J27" s="293">
        <v>0</v>
      </c>
      <c r="K27" s="164">
        <v>24280894</v>
      </c>
      <c r="L27" s="293">
        <v>0</v>
      </c>
      <c r="M27" s="293">
        <v>0</v>
      </c>
      <c r="N27" s="293">
        <v>0</v>
      </c>
    </row>
    <row r="28" spans="1:14" s="43" customFormat="1" ht="12.75">
      <c r="A28" s="43" t="s">
        <v>15</v>
      </c>
      <c r="B28" s="326">
        <f>+C28+state5!B27+state5!F27+state5!J27</f>
        <v>10660978.17</v>
      </c>
      <c r="C28" s="270">
        <f>SUM(D28:N28)+SUM(state2!B28:L28)+SUM(state3!B29:K29)+SUM(state4!B28:N28)+SUM(state4a!B29:R29)</f>
        <v>9772373.17</v>
      </c>
      <c r="D28" s="293">
        <v>4594995</v>
      </c>
      <c r="E28" s="293">
        <v>0</v>
      </c>
      <c r="F28" s="343">
        <v>0</v>
      </c>
      <c r="G28" s="279"/>
      <c r="H28" s="293">
        <v>1180578</v>
      </c>
      <c r="I28" s="343">
        <v>0</v>
      </c>
      <c r="J28" s="343">
        <v>0</v>
      </c>
      <c r="K28" s="164">
        <v>1377577</v>
      </c>
      <c r="L28" s="343">
        <v>0</v>
      </c>
      <c r="M28" s="343">
        <v>0</v>
      </c>
      <c r="N28" s="343">
        <v>0</v>
      </c>
    </row>
    <row r="29" spans="2:14" s="43" customFormat="1" ht="12.75">
      <c r="B29" s="326"/>
      <c r="C29" s="270"/>
      <c r="D29" s="293"/>
      <c r="E29" s="293"/>
      <c r="F29" s="293"/>
      <c r="G29" s="279"/>
      <c r="H29" s="293"/>
      <c r="I29" s="293"/>
      <c r="J29" s="293"/>
      <c r="K29" s="279"/>
      <c r="L29" s="293"/>
      <c r="M29" s="293"/>
      <c r="N29" s="293"/>
    </row>
    <row r="30" spans="1:14" s="43" customFormat="1" ht="12.75">
      <c r="A30" s="43" t="s">
        <v>16</v>
      </c>
      <c r="B30" s="326">
        <f>+C30+state5!B29+state5!F29+state5!J29</f>
        <v>366868732.54999995</v>
      </c>
      <c r="C30" s="270">
        <f>SUM(D30:N30)+SUM(state2!B30:L30)+SUM(state3!B31:K31)+SUM(state4!B30:N30)+SUM(state4a!B31:R31)</f>
        <v>357243311.86999995</v>
      </c>
      <c r="D30" s="293">
        <v>162482206</v>
      </c>
      <c r="E30" s="293">
        <v>0</v>
      </c>
      <c r="F30" s="293">
        <v>0</v>
      </c>
      <c r="G30" s="279"/>
      <c r="H30" s="343">
        <v>35497166</v>
      </c>
      <c r="I30" s="293">
        <v>0</v>
      </c>
      <c r="J30" s="293">
        <v>0</v>
      </c>
      <c r="K30" s="164">
        <v>81937339</v>
      </c>
      <c r="L30" s="293">
        <v>0</v>
      </c>
      <c r="M30" s="293">
        <v>0</v>
      </c>
      <c r="N30" s="293">
        <v>0</v>
      </c>
    </row>
    <row r="31" spans="1:14" s="43" customFormat="1" ht="12.75">
      <c r="A31" s="43" t="s">
        <v>17</v>
      </c>
      <c r="B31" s="326">
        <f>+C31+state5!B30+state5!F30+state5!J30</f>
        <v>713986554.8399999</v>
      </c>
      <c r="C31" s="270">
        <f>SUM(D31:N31)+SUM(state2!B31:L31)+SUM(state3!B32:K32)+SUM(state4!B31:N31)+SUM(state4a!B32:R32)</f>
        <v>688744722.05</v>
      </c>
      <c r="D31" s="293">
        <v>424893752.41</v>
      </c>
      <c r="E31" s="293">
        <v>0</v>
      </c>
      <c r="F31" s="293">
        <v>0</v>
      </c>
      <c r="G31" s="279"/>
      <c r="H31" s="293">
        <v>106687911.85</v>
      </c>
      <c r="I31" s="293">
        <v>0</v>
      </c>
      <c r="J31" s="293">
        <v>0</v>
      </c>
      <c r="K31" s="164">
        <v>57096339</v>
      </c>
      <c r="L31" s="293">
        <v>0</v>
      </c>
      <c r="M31" s="293">
        <v>0</v>
      </c>
      <c r="N31" s="293">
        <v>0</v>
      </c>
    </row>
    <row r="32" spans="1:14" s="43" customFormat="1" ht="12.75">
      <c r="A32" s="43" t="s">
        <v>18</v>
      </c>
      <c r="B32" s="326">
        <f>+C32+state5!B31+state5!F31+state5!J31</f>
        <v>25342051.93</v>
      </c>
      <c r="C32" s="270">
        <f>SUM(D32:N32)+SUM(state2!B32:L32)+SUM(state3!B33:K33)+SUM(state4!B32:N32)+SUM(state4a!B33:R33)</f>
        <v>24975818.34</v>
      </c>
      <c r="D32" s="293">
        <v>15496103</v>
      </c>
      <c r="E32" s="293">
        <v>0</v>
      </c>
      <c r="F32" s="293">
        <v>0</v>
      </c>
      <c r="G32" s="279"/>
      <c r="H32" s="293">
        <v>1376501</v>
      </c>
      <c r="I32" s="293">
        <v>0</v>
      </c>
      <c r="J32" s="293">
        <v>0</v>
      </c>
      <c r="K32" s="164">
        <v>3078267</v>
      </c>
      <c r="L32" s="293">
        <v>0</v>
      </c>
      <c r="M32" s="293">
        <v>0</v>
      </c>
      <c r="N32" s="293">
        <v>0</v>
      </c>
    </row>
    <row r="33" spans="1:14" s="43" customFormat="1" ht="12.75">
      <c r="A33" s="43" t="s">
        <v>19</v>
      </c>
      <c r="B33" s="326">
        <f>+C33+state5!B32+state5!F32+state5!J32</f>
        <v>71429646.32000001</v>
      </c>
      <c r="C33" s="270">
        <f>SUM(D33:N33)+SUM(state2!B33:L33)+SUM(state3!B34:K34)+SUM(state4!B33:N33)+SUM(state4a!B34:R34)</f>
        <v>68286115.72</v>
      </c>
      <c r="D33" s="293">
        <v>45473504</v>
      </c>
      <c r="E33" s="293">
        <v>0</v>
      </c>
      <c r="F33" s="293">
        <v>0</v>
      </c>
      <c r="G33" s="279"/>
      <c r="H33" s="293">
        <v>5856242</v>
      </c>
      <c r="I33" s="293">
        <v>0</v>
      </c>
      <c r="J33" s="293">
        <v>0</v>
      </c>
      <c r="K33" s="164">
        <v>6675959</v>
      </c>
      <c r="L33" s="293">
        <v>0</v>
      </c>
      <c r="M33" s="293">
        <v>0</v>
      </c>
      <c r="N33" s="293">
        <v>0</v>
      </c>
    </row>
    <row r="34" spans="1:14" s="43" customFormat="1" ht="12.75">
      <c r="A34" s="43" t="s">
        <v>20</v>
      </c>
      <c r="B34" s="326">
        <f>+C34+state5!B33+state5!F33+state5!J33</f>
        <v>17572488.54</v>
      </c>
      <c r="C34" s="270">
        <f>SUM(D34:N34)+SUM(state2!B34:L34)+SUM(state3!B35:K35)+SUM(state4!B34:N34)+SUM(state4a!B35:R35)</f>
        <v>17517389.57</v>
      </c>
      <c r="D34" s="293">
        <v>9495838</v>
      </c>
      <c r="E34" s="293">
        <v>306419</v>
      </c>
      <c r="F34" s="343">
        <v>0</v>
      </c>
      <c r="G34" s="279"/>
      <c r="H34" s="293">
        <v>3671757</v>
      </c>
      <c r="I34" s="343">
        <v>0</v>
      </c>
      <c r="J34" s="343">
        <v>0</v>
      </c>
      <c r="K34" s="164">
        <v>1409021</v>
      </c>
      <c r="L34" s="343">
        <v>0</v>
      </c>
      <c r="M34" s="343">
        <v>0</v>
      </c>
      <c r="N34" s="343">
        <v>0</v>
      </c>
    </row>
    <row r="35" spans="2:14" s="43" customFormat="1" ht="12.75">
      <c r="B35" s="344"/>
      <c r="C35" s="270"/>
      <c r="D35" s="345"/>
      <c r="E35" s="345"/>
      <c r="F35" s="345"/>
      <c r="G35" s="346"/>
      <c r="H35" s="345"/>
      <c r="I35" s="345"/>
      <c r="J35" s="345"/>
      <c r="K35" s="347"/>
      <c r="L35" s="345"/>
      <c r="M35" s="345"/>
      <c r="N35" s="345"/>
    </row>
    <row r="36" spans="1:14" s="43" customFormat="1" ht="12.75">
      <c r="A36" s="43" t="s">
        <v>21</v>
      </c>
      <c r="B36" s="326">
        <f>+C36+state5!B35+state5!F35+state5!J35</f>
        <v>11347504.419999998</v>
      </c>
      <c r="C36" s="270">
        <f>SUM(D36:N36)+SUM(state2!B36:L36)+SUM(state3!B37:K37)+SUM(state4!B36:N36)+SUM(state4a!B37:R37)</f>
        <v>11059777.439999998</v>
      </c>
      <c r="D36" s="293">
        <v>5092647</v>
      </c>
      <c r="E36" s="293">
        <v>0</v>
      </c>
      <c r="F36" s="293">
        <v>0</v>
      </c>
      <c r="G36" s="279"/>
      <c r="H36" s="293">
        <v>1460534</v>
      </c>
      <c r="I36" s="293">
        <v>0</v>
      </c>
      <c r="J36" s="293">
        <v>0</v>
      </c>
      <c r="K36" s="164">
        <v>2034542</v>
      </c>
      <c r="L36" s="293">
        <v>0</v>
      </c>
      <c r="M36" s="293">
        <v>0</v>
      </c>
      <c r="N36" s="293">
        <v>0</v>
      </c>
    </row>
    <row r="37" spans="1:14" s="43" customFormat="1" ht="12.75">
      <c r="A37" s="43" t="s">
        <v>22</v>
      </c>
      <c r="B37" s="326">
        <f>+C37+state5!B36+state5!F36+state5!J36</f>
        <v>91369164.30999999</v>
      </c>
      <c r="C37" s="270">
        <f>SUM(D37:N37)+SUM(state2!B37:L37)+SUM(state3!B38:K38)+SUM(state4!B37:N37)+SUM(state4a!B38:R38)</f>
        <v>88758481.30999999</v>
      </c>
      <c r="D37" s="293">
        <v>57366603</v>
      </c>
      <c r="E37" s="293">
        <v>0</v>
      </c>
      <c r="F37" s="293">
        <v>0</v>
      </c>
      <c r="G37" s="279"/>
      <c r="H37" s="293">
        <v>10946206</v>
      </c>
      <c r="I37" s="293">
        <v>0</v>
      </c>
      <c r="J37" s="291">
        <v>15962.7</v>
      </c>
      <c r="K37" s="164">
        <v>8491439</v>
      </c>
      <c r="L37" s="293">
        <v>0</v>
      </c>
      <c r="M37" s="293">
        <v>0</v>
      </c>
      <c r="N37" s="293">
        <v>0</v>
      </c>
    </row>
    <row r="38" spans="1:14" s="43" customFormat="1" ht="12.75">
      <c r="A38" s="43" t="s">
        <v>23</v>
      </c>
      <c r="B38" s="326">
        <f>+C38+state5!B37+state5!F37+state5!J37</f>
        <v>76934902.83</v>
      </c>
      <c r="C38" s="270">
        <f>SUM(D38:N38)+SUM(state2!B38:L38)+SUM(state3!B39:K39)+SUM(state4!B38:N38)+SUM(state4a!B39:R39)</f>
        <v>72998938.03999999</v>
      </c>
      <c r="D38" s="293">
        <v>44572054</v>
      </c>
      <c r="E38" s="293">
        <v>889987</v>
      </c>
      <c r="F38" s="293">
        <v>0</v>
      </c>
      <c r="G38" s="279"/>
      <c r="H38" s="293">
        <v>12196203</v>
      </c>
      <c r="I38" s="293">
        <v>0</v>
      </c>
      <c r="J38" s="293">
        <v>0</v>
      </c>
      <c r="K38" s="164">
        <v>6468103</v>
      </c>
      <c r="L38" s="293">
        <v>0</v>
      </c>
      <c r="M38" s="293">
        <v>0</v>
      </c>
      <c r="N38" s="293">
        <v>0</v>
      </c>
    </row>
    <row r="39" spans="1:14" s="43" customFormat="1" ht="12.75">
      <c r="A39" s="118" t="s">
        <v>24</v>
      </c>
      <c r="B39" s="277">
        <f>+C39+state5!B38+state5!F38+state5!J38</f>
        <v>20129126.380000003</v>
      </c>
      <c r="C39" s="348">
        <f>SUM(D39:N39)+SUM(state2!B39:L39)+SUM(state3!B40:K40)+SUM(state4!B39:N39)+SUM(state4a!B40:R40)</f>
        <v>17632764.85</v>
      </c>
      <c r="D39" s="316">
        <v>7748563</v>
      </c>
      <c r="E39" s="119">
        <v>0</v>
      </c>
      <c r="F39" s="119">
        <v>0</v>
      </c>
      <c r="G39" s="98"/>
      <c r="H39" s="349">
        <v>2625625</v>
      </c>
      <c r="I39" s="119">
        <v>0</v>
      </c>
      <c r="J39" s="119">
        <v>0</v>
      </c>
      <c r="K39" s="277">
        <v>3573389</v>
      </c>
      <c r="L39" s="119">
        <v>0</v>
      </c>
      <c r="M39" s="119">
        <v>0</v>
      </c>
      <c r="N39" s="119">
        <v>0</v>
      </c>
    </row>
    <row r="40" spans="2:9" s="43" customFormat="1" ht="12.75">
      <c r="B40" s="196"/>
      <c r="C40" s="270"/>
      <c r="F40" s="270"/>
      <c r="H40" s="350"/>
      <c r="I40" s="350"/>
    </row>
    <row r="41" spans="2:9" s="43" customFormat="1" ht="12.75">
      <c r="B41" s="196"/>
      <c r="C41" s="270"/>
      <c r="F41" s="270"/>
      <c r="H41" s="350"/>
      <c r="I41" s="350"/>
    </row>
    <row r="42" spans="2:9" s="43" customFormat="1" ht="12.75">
      <c r="B42" s="196"/>
      <c r="C42" s="270"/>
      <c r="F42" s="270"/>
      <c r="H42" s="350"/>
      <c r="I42" s="350"/>
    </row>
    <row r="43" spans="2:9" s="43" customFormat="1" ht="12.75">
      <c r="B43" s="196"/>
      <c r="C43" s="270"/>
      <c r="F43" s="270"/>
      <c r="H43" s="350"/>
      <c r="I43" s="350"/>
    </row>
    <row r="44" spans="2:9" s="43" customFormat="1" ht="12.75">
      <c r="B44" s="196"/>
      <c r="C44" s="270"/>
      <c r="F44" s="270"/>
      <c r="H44" s="350"/>
      <c r="I44" s="350"/>
    </row>
    <row r="45" spans="2:9" s="43" customFormat="1" ht="12.75">
      <c r="B45" s="196"/>
      <c r="C45" s="270"/>
      <c r="F45" s="270"/>
      <c r="H45" s="350"/>
      <c r="I45" s="350"/>
    </row>
    <row r="46" spans="2:9" s="43" customFormat="1" ht="12.75">
      <c r="B46" s="196"/>
      <c r="C46" s="270"/>
      <c r="F46" s="270"/>
      <c r="H46" s="350"/>
      <c r="I46" s="350"/>
    </row>
    <row r="47" spans="8:9" ht="12.75">
      <c r="H47" s="267"/>
      <c r="I47" s="267"/>
    </row>
    <row r="48" spans="8:9" ht="12.75">
      <c r="H48" s="267"/>
      <c r="I48" s="267"/>
    </row>
    <row r="49" spans="8:9" ht="12.75">
      <c r="H49" s="267"/>
      <c r="I49" s="267"/>
    </row>
    <row r="50" spans="8:9" ht="12.75">
      <c r="H50" s="267"/>
      <c r="I50" s="267"/>
    </row>
    <row r="51" spans="8:9" ht="12.75">
      <c r="H51" s="268"/>
      <c r="I51" s="268"/>
    </row>
  </sheetData>
  <sheetProtection password="C935" sheet="1" objects="1" scenarios="1"/>
  <mergeCells count="8">
    <mergeCell ref="L6:N6"/>
    <mergeCell ref="A1:N1"/>
    <mergeCell ref="A3:N3"/>
    <mergeCell ref="D5:N5"/>
    <mergeCell ref="D6:F6"/>
    <mergeCell ref="H6:J6"/>
    <mergeCell ref="K6:K9"/>
    <mergeCell ref="F7:F9"/>
  </mergeCells>
  <printOptions horizontalCentered="1"/>
  <pageMargins left="0.34" right="0.27" top="0.83" bottom="1" header="0.67" footer="0.5"/>
  <pageSetup fitToHeight="1" fitToWidth="1" horizontalDpi="600" verticalDpi="600" orientation="landscape" scale="78" r:id="rId1"/>
  <headerFooter alignWithMargins="0">
    <oddFooter>&amp;L&amp;"Arial,Italic"&amp;9MSDE-DBS 11 / 2006
&amp;C- 7 -&amp;R&amp;"Arial,Italic"&amp;9Selected Financial Data-Part 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0"/>
  <sheetViews>
    <sheetView workbookViewId="0" topLeftCell="A1">
      <selection activeCell="I29" sqref="I29"/>
    </sheetView>
  </sheetViews>
  <sheetFormatPr defaultColWidth="9.140625" defaultRowHeight="12.75"/>
  <cols>
    <col min="1" max="1" width="14.140625" style="0" customWidth="1"/>
    <col min="2" max="2" width="11.8515625" style="0" customWidth="1"/>
    <col min="3" max="3" width="12.00390625" style="0" customWidth="1"/>
    <col min="4" max="4" width="14.00390625" style="0" bestFit="1" customWidth="1"/>
    <col min="5" max="5" width="1.57421875" style="0" customWidth="1"/>
    <col min="6" max="6" width="13.140625" style="0" customWidth="1"/>
    <col min="7" max="7" width="15.00390625" style="0" bestFit="1" customWidth="1"/>
    <col min="8" max="8" width="13.421875" style="0" customWidth="1"/>
    <col min="9" max="9" width="11.00390625" style="0" customWidth="1"/>
    <col min="10" max="10" width="14.57421875" style="0" customWidth="1"/>
    <col min="11" max="11" width="12.28125" style="0" bestFit="1" customWidth="1"/>
    <col min="12" max="12" width="13.8515625" style="0" bestFit="1" customWidth="1"/>
  </cols>
  <sheetData>
    <row r="1" spans="1:12" ht="12.75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3" spans="1:12" s="43" customFormat="1" ht="12.75">
      <c r="A3" s="376" t="s">
        <v>281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ht="13.5" thickBot="1"/>
    <row r="5" spans="1:12" ht="15" customHeight="1" thickTop="1">
      <c r="A5" s="6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6" spans="1:36" ht="12.75">
      <c r="A6" s="3"/>
      <c r="B6" s="365"/>
      <c r="C6" s="365"/>
      <c r="D6" s="365"/>
      <c r="E6" s="4"/>
      <c r="F6" s="365" t="s">
        <v>307</v>
      </c>
      <c r="G6" s="365"/>
      <c r="H6" s="365"/>
      <c r="I6" s="398" t="s">
        <v>211</v>
      </c>
      <c r="J6" s="365" t="s">
        <v>142</v>
      </c>
      <c r="K6" s="365"/>
      <c r="L6" s="36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 customHeight="1">
      <c r="A7" s="3" t="s">
        <v>101</v>
      </c>
      <c r="B7" s="140" t="s">
        <v>143</v>
      </c>
      <c r="C7" s="393" t="s">
        <v>255</v>
      </c>
      <c r="D7" s="140" t="s">
        <v>182</v>
      </c>
      <c r="E7" s="140"/>
      <c r="F7" s="86"/>
      <c r="G7" s="93"/>
      <c r="H7" s="398" t="s">
        <v>250</v>
      </c>
      <c r="I7" s="399"/>
      <c r="J7" s="93" t="s">
        <v>36</v>
      </c>
      <c r="K7" s="93" t="s">
        <v>39</v>
      </c>
      <c r="L7" s="9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12" ht="12.75">
      <c r="A8" s="3" t="s">
        <v>41</v>
      </c>
      <c r="B8" s="140" t="s">
        <v>152</v>
      </c>
      <c r="C8" s="399"/>
      <c r="D8" s="140" t="s">
        <v>183</v>
      </c>
      <c r="E8" s="140"/>
      <c r="F8" s="86"/>
      <c r="G8" s="93" t="s">
        <v>34</v>
      </c>
      <c r="H8" s="399"/>
      <c r="I8" s="400"/>
      <c r="J8" s="93" t="s">
        <v>37</v>
      </c>
      <c r="K8" s="93" t="s">
        <v>40</v>
      </c>
      <c r="L8" s="138" t="s">
        <v>137</v>
      </c>
    </row>
    <row r="9" spans="1:12" ht="13.5" thickBot="1">
      <c r="A9" s="7" t="s">
        <v>154</v>
      </c>
      <c r="B9" s="141" t="s">
        <v>153</v>
      </c>
      <c r="C9" s="401"/>
      <c r="D9" s="141" t="s">
        <v>27</v>
      </c>
      <c r="E9" s="141"/>
      <c r="F9" s="109" t="s">
        <v>25</v>
      </c>
      <c r="G9" s="109" t="s">
        <v>35</v>
      </c>
      <c r="H9" s="401"/>
      <c r="I9" s="401"/>
      <c r="J9" s="109" t="s">
        <v>38</v>
      </c>
      <c r="K9" s="109" t="s">
        <v>41</v>
      </c>
      <c r="L9" s="109" t="s">
        <v>138</v>
      </c>
    </row>
    <row r="10" spans="1:12" s="313" customFormat="1" ht="12.75">
      <c r="A10" s="311" t="s">
        <v>0</v>
      </c>
      <c r="B10" s="287">
        <f aca="true" t="shared" si="0" ref="B10:H10">SUM(B12:B39)</f>
        <v>77318</v>
      </c>
      <c r="C10" s="336">
        <f>SUM(C12:C39)</f>
        <v>0</v>
      </c>
      <c r="D10" s="287">
        <f t="shared" si="0"/>
        <v>5706684</v>
      </c>
      <c r="E10" s="287">
        <f t="shared" si="0"/>
        <v>0</v>
      </c>
      <c r="F10" s="287">
        <f t="shared" si="0"/>
        <v>134731884.36</v>
      </c>
      <c r="G10" s="287">
        <f t="shared" si="0"/>
        <v>75785045.17000002</v>
      </c>
      <c r="H10" s="287">
        <f t="shared" si="0"/>
        <v>2214560.4</v>
      </c>
      <c r="I10" s="336">
        <f>SUM(I12:I39)</f>
        <v>0</v>
      </c>
      <c r="J10" s="287">
        <f>SUM(J12:J39)</f>
        <v>653426.29</v>
      </c>
      <c r="K10" s="336">
        <f>SUM(K12:K39)</f>
        <v>0</v>
      </c>
      <c r="L10" s="287">
        <f>SUM(L12:L39)</f>
        <v>12921.97</v>
      </c>
    </row>
    <row r="11" spans="1:12" s="43" customFormat="1" ht="12.75">
      <c r="A11" s="86"/>
      <c r="B11" s="288"/>
      <c r="C11" s="340"/>
      <c r="D11" s="288"/>
      <c r="E11" s="288"/>
      <c r="F11" s="94"/>
      <c r="G11" s="94"/>
      <c r="H11" s="94"/>
      <c r="I11" s="340"/>
      <c r="J11" s="289"/>
      <c r="K11" s="340"/>
      <c r="L11" s="288"/>
    </row>
    <row r="12" spans="1:12" s="43" customFormat="1" ht="12.75">
      <c r="A12" s="43" t="s">
        <v>1</v>
      </c>
      <c r="B12" s="293">
        <v>0</v>
      </c>
      <c r="C12" s="293">
        <v>0</v>
      </c>
      <c r="D12" s="288">
        <v>0</v>
      </c>
      <c r="E12" s="288"/>
      <c r="F12" s="290">
        <v>2864263</v>
      </c>
      <c r="G12" s="290">
        <v>917049.14</v>
      </c>
      <c r="H12" s="291">
        <v>76440</v>
      </c>
      <c r="I12" s="293">
        <v>0</v>
      </c>
      <c r="J12" s="293">
        <v>0</v>
      </c>
      <c r="K12" s="293">
        <v>0</v>
      </c>
      <c r="L12" s="293">
        <v>0</v>
      </c>
    </row>
    <row r="13" spans="1:12" s="43" customFormat="1" ht="12.75">
      <c r="A13" s="43" t="s">
        <v>2</v>
      </c>
      <c r="B13" s="293">
        <v>0</v>
      </c>
      <c r="C13" s="293">
        <v>0</v>
      </c>
      <c r="D13" s="292">
        <v>364055</v>
      </c>
      <c r="E13" s="288"/>
      <c r="F13" s="290">
        <v>10974046</v>
      </c>
      <c r="G13" s="291">
        <v>10151501.67</v>
      </c>
      <c r="H13" s="291">
        <v>525877.89</v>
      </c>
      <c r="I13" s="293">
        <v>0</v>
      </c>
      <c r="J13" s="291">
        <v>41247.67</v>
      </c>
      <c r="K13" s="293">
        <v>0</v>
      </c>
      <c r="L13" s="293">
        <v>0</v>
      </c>
    </row>
    <row r="14" spans="1:12" s="43" customFormat="1" ht="12.75">
      <c r="A14" s="43" t="s">
        <v>3</v>
      </c>
      <c r="B14" s="293">
        <v>0</v>
      </c>
      <c r="C14" s="293">
        <v>0</v>
      </c>
      <c r="D14" s="288">
        <v>0</v>
      </c>
      <c r="E14" s="288"/>
      <c r="F14" s="290">
        <v>16954091.36</v>
      </c>
      <c r="G14" s="290">
        <v>0</v>
      </c>
      <c r="H14" s="288">
        <v>0</v>
      </c>
      <c r="I14" s="293">
        <v>0</v>
      </c>
      <c r="J14" s="291">
        <v>72523.94</v>
      </c>
      <c r="K14" s="293">
        <v>0</v>
      </c>
      <c r="L14" s="293">
        <v>0</v>
      </c>
    </row>
    <row r="15" spans="1:12" s="43" customFormat="1" ht="12.75">
      <c r="A15" s="43" t="s">
        <v>4</v>
      </c>
      <c r="B15" s="293">
        <v>0</v>
      </c>
      <c r="C15" s="293">
        <v>0</v>
      </c>
      <c r="D15" s="292">
        <v>4245694</v>
      </c>
      <c r="E15" s="288"/>
      <c r="F15" s="290">
        <v>14861455</v>
      </c>
      <c r="G15" s="290">
        <v>11322571</v>
      </c>
      <c r="H15" s="291">
        <v>785584.45</v>
      </c>
      <c r="I15" s="293">
        <v>0</v>
      </c>
      <c r="J15" s="293">
        <v>0</v>
      </c>
      <c r="K15" s="293">
        <v>0</v>
      </c>
      <c r="L15" s="293">
        <v>0</v>
      </c>
    </row>
    <row r="16" spans="1:12" s="43" customFormat="1" ht="12.75">
      <c r="A16" s="43" t="s">
        <v>5</v>
      </c>
      <c r="B16" s="293">
        <v>0</v>
      </c>
      <c r="C16" s="293">
        <v>0</v>
      </c>
      <c r="D16" s="288">
        <v>5587</v>
      </c>
      <c r="E16" s="288"/>
      <c r="F16" s="290">
        <v>2620486</v>
      </c>
      <c r="G16" s="290">
        <v>905494.89</v>
      </c>
      <c r="H16" s="288">
        <v>0</v>
      </c>
      <c r="I16" s="293">
        <v>0</v>
      </c>
      <c r="J16" s="291">
        <v>9964.48</v>
      </c>
      <c r="K16" s="293">
        <v>0</v>
      </c>
      <c r="L16" s="293">
        <v>0</v>
      </c>
    </row>
    <row r="17" spans="2:12" s="43" customFormat="1" ht="12.75">
      <c r="B17" s="293"/>
      <c r="C17" s="293"/>
      <c r="D17" s="288"/>
      <c r="E17" s="288"/>
      <c r="F17" s="291"/>
      <c r="G17" s="291"/>
      <c r="H17" s="291"/>
      <c r="I17" s="293"/>
      <c r="J17" s="291"/>
      <c r="K17" s="293"/>
      <c r="L17" s="293"/>
    </row>
    <row r="18" spans="1:12" s="43" customFormat="1" ht="12.75">
      <c r="A18" s="43" t="s">
        <v>6</v>
      </c>
      <c r="B18" s="293">
        <v>0</v>
      </c>
      <c r="C18" s="293">
        <v>0</v>
      </c>
      <c r="D18" s="288">
        <v>0</v>
      </c>
      <c r="E18" s="288"/>
      <c r="F18" s="290">
        <v>1245846</v>
      </c>
      <c r="G18" s="291">
        <v>207433.19</v>
      </c>
      <c r="H18" s="291">
        <v>26000</v>
      </c>
      <c r="I18" s="293">
        <v>0</v>
      </c>
      <c r="J18" s="293">
        <v>0</v>
      </c>
      <c r="K18" s="293">
        <v>0</v>
      </c>
      <c r="L18" s="293">
        <v>0</v>
      </c>
    </row>
    <row r="19" spans="1:12" s="43" customFormat="1" ht="12.75">
      <c r="A19" s="43" t="s">
        <v>7</v>
      </c>
      <c r="B19" s="293">
        <v>0</v>
      </c>
      <c r="C19" s="293">
        <v>0</v>
      </c>
      <c r="D19" s="288">
        <v>45113.3</v>
      </c>
      <c r="E19" s="288"/>
      <c r="F19" s="290">
        <v>4590268</v>
      </c>
      <c r="G19" s="293">
        <v>3100425.76</v>
      </c>
      <c r="H19" s="291">
        <v>170016.51</v>
      </c>
      <c r="I19" s="293">
        <v>0</v>
      </c>
      <c r="J19" s="291">
        <v>26866.57</v>
      </c>
      <c r="K19" s="293">
        <v>0</v>
      </c>
      <c r="L19" s="293">
        <v>0</v>
      </c>
    </row>
    <row r="20" spans="1:12" s="43" customFormat="1" ht="12.75">
      <c r="A20" s="43" t="s">
        <v>8</v>
      </c>
      <c r="B20" s="293">
        <v>0</v>
      </c>
      <c r="C20" s="293">
        <v>0</v>
      </c>
      <c r="D20" s="292">
        <v>0</v>
      </c>
      <c r="E20" s="288"/>
      <c r="F20" s="290">
        <v>3546115</v>
      </c>
      <c r="G20" s="293">
        <v>1694253.92</v>
      </c>
      <c r="H20" s="291">
        <v>55640</v>
      </c>
      <c r="I20" s="293">
        <v>0</v>
      </c>
      <c r="J20" s="290">
        <v>41270.07</v>
      </c>
      <c r="K20" s="293">
        <v>0</v>
      </c>
      <c r="L20" s="293">
        <v>0</v>
      </c>
    </row>
    <row r="21" spans="1:12" s="43" customFormat="1" ht="12.75">
      <c r="A21" s="43" t="s">
        <v>9</v>
      </c>
      <c r="B21" s="293">
        <v>0</v>
      </c>
      <c r="C21" s="293">
        <v>0</v>
      </c>
      <c r="D21" s="288">
        <v>15125</v>
      </c>
      <c r="E21" s="288"/>
      <c r="F21" s="290">
        <v>3719789</v>
      </c>
      <c r="G21" s="293">
        <v>1483273.31</v>
      </c>
      <c r="H21" s="288">
        <v>0</v>
      </c>
      <c r="I21" s="293">
        <v>0</v>
      </c>
      <c r="J21" s="291">
        <v>0</v>
      </c>
      <c r="K21" s="293">
        <v>0</v>
      </c>
      <c r="L21" s="293">
        <v>0</v>
      </c>
    </row>
    <row r="22" spans="1:12" s="43" customFormat="1" ht="12.75">
      <c r="A22" s="43" t="s">
        <v>10</v>
      </c>
      <c r="B22" s="343">
        <v>0</v>
      </c>
      <c r="C22" s="343">
        <v>0</v>
      </c>
      <c r="D22" s="292">
        <v>2580</v>
      </c>
      <c r="E22" s="288"/>
      <c r="F22" s="292">
        <v>859824</v>
      </c>
      <c r="G22" s="288">
        <v>26919</v>
      </c>
      <c r="H22" s="291">
        <v>37960</v>
      </c>
      <c r="I22" s="343">
        <v>0</v>
      </c>
      <c r="J22" s="290">
        <v>0</v>
      </c>
      <c r="K22" s="343">
        <v>0</v>
      </c>
      <c r="L22" s="343">
        <v>0</v>
      </c>
    </row>
    <row r="23" spans="2:12" s="43" customFormat="1" ht="12.75">
      <c r="B23" s="293"/>
      <c r="C23" s="293"/>
      <c r="D23" s="288"/>
      <c r="E23" s="288"/>
      <c r="F23" s="291"/>
      <c r="G23" s="291"/>
      <c r="H23" s="291"/>
      <c r="I23" s="293"/>
      <c r="J23" s="291"/>
      <c r="K23" s="293"/>
      <c r="L23" s="293"/>
    </row>
    <row r="24" spans="1:12" s="43" customFormat="1" ht="12.75">
      <c r="A24" s="43" t="s">
        <v>11</v>
      </c>
      <c r="B24" s="293">
        <v>0</v>
      </c>
      <c r="C24" s="293">
        <v>0</v>
      </c>
      <c r="D24" s="288">
        <v>15701</v>
      </c>
      <c r="E24" s="288"/>
      <c r="F24" s="290">
        <v>5647294</v>
      </c>
      <c r="G24" s="293">
        <v>1695918.4</v>
      </c>
      <c r="H24" s="288">
        <v>0</v>
      </c>
      <c r="I24" s="293">
        <v>0</v>
      </c>
      <c r="J24" s="291">
        <v>14937.62</v>
      </c>
      <c r="K24" s="293">
        <v>0</v>
      </c>
      <c r="L24" s="293">
        <v>0</v>
      </c>
    </row>
    <row r="25" spans="1:12" s="43" customFormat="1" ht="12.75">
      <c r="A25" s="43" t="s">
        <v>12</v>
      </c>
      <c r="B25" s="278">
        <v>18890</v>
      </c>
      <c r="C25" s="293">
        <v>0</v>
      </c>
      <c r="D25" s="292">
        <v>120896</v>
      </c>
      <c r="E25" s="288"/>
      <c r="F25" s="290">
        <v>980360</v>
      </c>
      <c r="G25" s="293">
        <v>49411.8</v>
      </c>
      <c r="H25" s="288">
        <v>0</v>
      </c>
      <c r="I25" s="293">
        <v>0</v>
      </c>
      <c r="J25" s="291">
        <v>0</v>
      </c>
      <c r="K25" s="293">
        <v>0</v>
      </c>
      <c r="L25" s="293">
        <v>0</v>
      </c>
    </row>
    <row r="26" spans="1:12" s="43" customFormat="1" ht="12.75">
      <c r="A26" s="43" t="s">
        <v>13</v>
      </c>
      <c r="B26" s="293">
        <v>0</v>
      </c>
      <c r="C26" s="293">
        <v>0</v>
      </c>
      <c r="D26" s="292">
        <v>101501.9</v>
      </c>
      <c r="E26" s="288"/>
      <c r="F26" s="290">
        <v>7617402</v>
      </c>
      <c r="G26" s="293">
        <v>3542998.85</v>
      </c>
      <c r="H26" s="288">
        <v>0</v>
      </c>
      <c r="I26" s="293">
        <v>0</v>
      </c>
      <c r="J26" s="291">
        <v>14124.7</v>
      </c>
      <c r="K26" s="293">
        <v>0</v>
      </c>
      <c r="L26" s="293">
        <v>0</v>
      </c>
    </row>
    <row r="27" spans="1:12" s="43" customFormat="1" ht="12.75">
      <c r="A27" s="43" t="s">
        <v>14</v>
      </c>
      <c r="B27" s="293">
        <v>0</v>
      </c>
      <c r="C27" s="293">
        <v>0</v>
      </c>
      <c r="D27" s="288">
        <v>270117</v>
      </c>
      <c r="E27" s="288"/>
      <c r="F27" s="290">
        <v>5151831</v>
      </c>
      <c r="G27" s="324">
        <v>3219758.71</v>
      </c>
      <c r="H27" s="291">
        <v>315592.52</v>
      </c>
      <c r="I27" s="293">
        <v>0</v>
      </c>
      <c r="J27" s="291">
        <v>80423.29</v>
      </c>
      <c r="K27" s="293">
        <v>0</v>
      </c>
      <c r="L27" s="293">
        <v>0</v>
      </c>
    </row>
    <row r="28" spans="1:12" s="43" customFormat="1" ht="12.75">
      <c r="A28" s="43" t="s">
        <v>15</v>
      </c>
      <c r="B28" s="343">
        <v>0</v>
      </c>
      <c r="C28" s="343">
        <v>0</v>
      </c>
      <c r="D28" s="292">
        <v>12090</v>
      </c>
      <c r="E28" s="288"/>
      <c r="F28" s="290">
        <v>434394</v>
      </c>
      <c r="G28" s="291">
        <v>0</v>
      </c>
      <c r="H28" s="291">
        <v>6420.82</v>
      </c>
      <c r="I28" s="343">
        <v>0</v>
      </c>
      <c r="J28" s="291">
        <v>940.43</v>
      </c>
      <c r="K28" s="343">
        <v>0</v>
      </c>
      <c r="L28" s="343">
        <v>0</v>
      </c>
    </row>
    <row r="29" spans="2:12" s="43" customFormat="1" ht="12.75">
      <c r="B29" s="293"/>
      <c r="C29" s="293"/>
      <c r="D29" s="292"/>
      <c r="E29" s="288"/>
      <c r="F29" s="291"/>
      <c r="G29" s="291"/>
      <c r="H29" s="291"/>
      <c r="I29" s="293"/>
      <c r="J29" s="291"/>
      <c r="K29" s="293"/>
      <c r="L29" s="293"/>
    </row>
    <row r="30" spans="1:12" s="43" customFormat="1" ht="12.75">
      <c r="A30" s="43" t="s">
        <v>16</v>
      </c>
      <c r="B30" s="293">
        <v>0</v>
      </c>
      <c r="C30" s="293">
        <v>0</v>
      </c>
      <c r="D30" s="288">
        <v>402233</v>
      </c>
      <c r="E30" s="288"/>
      <c r="F30" s="290">
        <v>16093816</v>
      </c>
      <c r="G30" s="293">
        <v>10978207</v>
      </c>
      <c r="H30" s="173">
        <v>0</v>
      </c>
      <c r="I30" s="293">
        <v>0</v>
      </c>
      <c r="J30" s="291">
        <v>0</v>
      </c>
      <c r="K30" s="293">
        <v>0</v>
      </c>
      <c r="L30" s="293">
        <v>0</v>
      </c>
    </row>
    <row r="31" spans="1:12" s="43" customFormat="1" ht="12.75">
      <c r="A31" s="43" t="s">
        <v>17</v>
      </c>
      <c r="B31" s="293">
        <v>0</v>
      </c>
      <c r="C31" s="293">
        <v>0</v>
      </c>
      <c r="D31" s="292">
        <v>24551.6</v>
      </c>
      <c r="E31" s="288"/>
      <c r="F31" s="290">
        <v>24148796</v>
      </c>
      <c r="G31" s="293">
        <v>23557078.39</v>
      </c>
      <c r="H31" s="173">
        <v>0</v>
      </c>
      <c r="I31" s="293">
        <v>0</v>
      </c>
      <c r="J31" s="291">
        <v>145510.19</v>
      </c>
      <c r="K31" s="293">
        <v>0</v>
      </c>
      <c r="L31" s="293">
        <v>0</v>
      </c>
    </row>
    <row r="32" spans="1:12" s="43" customFormat="1" ht="12.75">
      <c r="A32" s="43" t="s">
        <v>18</v>
      </c>
      <c r="B32" s="293">
        <v>0</v>
      </c>
      <c r="C32" s="293">
        <v>0</v>
      </c>
      <c r="D32" s="292">
        <v>28991.7</v>
      </c>
      <c r="E32" s="288"/>
      <c r="F32" s="290">
        <v>997339</v>
      </c>
      <c r="G32" s="293">
        <v>382616.23</v>
      </c>
      <c r="H32" s="291">
        <v>47943.67</v>
      </c>
      <c r="I32" s="293">
        <v>0</v>
      </c>
      <c r="J32" s="290">
        <v>13854.28</v>
      </c>
      <c r="K32" s="293">
        <v>0</v>
      </c>
      <c r="L32" s="293">
        <v>0</v>
      </c>
    </row>
    <row r="33" spans="1:12" s="43" customFormat="1" ht="12.75">
      <c r="A33" s="43" t="s">
        <v>19</v>
      </c>
      <c r="B33" s="293">
        <v>0</v>
      </c>
      <c r="C33" s="293">
        <v>0</v>
      </c>
      <c r="D33" s="293">
        <v>0</v>
      </c>
      <c r="E33" s="288"/>
      <c r="F33" s="290">
        <v>3242848</v>
      </c>
      <c r="G33" s="293">
        <v>878977.26</v>
      </c>
      <c r="H33" s="173">
        <v>0</v>
      </c>
      <c r="I33" s="293">
        <v>0</v>
      </c>
      <c r="J33" s="145">
        <v>34207.77</v>
      </c>
      <c r="K33" s="293">
        <v>0</v>
      </c>
      <c r="L33" s="293">
        <v>0</v>
      </c>
    </row>
    <row r="34" spans="1:12" s="43" customFormat="1" ht="12.75">
      <c r="A34" s="43" t="s">
        <v>20</v>
      </c>
      <c r="B34" s="343">
        <v>0</v>
      </c>
      <c r="C34" s="343">
        <v>0</v>
      </c>
      <c r="D34" s="293">
        <v>0</v>
      </c>
      <c r="E34" s="288"/>
      <c r="F34" s="290">
        <v>674205</v>
      </c>
      <c r="G34" s="293">
        <v>1233.34</v>
      </c>
      <c r="H34" s="291">
        <v>4324.54</v>
      </c>
      <c r="I34" s="343">
        <v>0</v>
      </c>
      <c r="J34" s="293">
        <v>0</v>
      </c>
      <c r="K34" s="343">
        <v>0</v>
      </c>
      <c r="L34" s="288">
        <v>12921.97</v>
      </c>
    </row>
    <row r="35" spans="2:12" s="43" customFormat="1" ht="12.75">
      <c r="B35" s="345"/>
      <c r="C35" s="345"/>
      <c r="D35" s="288"/>
      <c r="E35" s="288"/>
      <c r="F35" s="291"/>
      <c r="G35" s="293"/>
      <c r="H35" s="291"/>
      <c r="I35" s="345"/>
      <c r="J35" s="291"/>
      <c r="K35" s="345"/>
      <c r="L35" s="288"/>
    </row>
    <row r="36" spans="1:12" s="43" customFormat="1" ht="12.75">
      <c r="A36" s="43" t="s">
        <v>21</v>
      </c>
      <c r="B36" s="293">
        <v>0</v>
      </c>
      <c r="C36" s="293">
        <v>0</v>
      </c>
      <c r="D36" s="288">
        <v>2788</v>
      </c>
      <c r="E36" s="288"/>
      <c r="F36" s="290">
        <v>446611</v>
      </c>
      <c r="G36" s="293">
        <v>0</v>
      </c>
      <c r="H36" s="291">
        <v>28080</v>
      </c>
      <c r="I36" s="293">
        <v>0</v>
      </c>
      <c r="J36" s="290">
        <v>0</v>
      </c>
      <c r="K36" s="293">
        <v>0</v>
      </c>
      <c r="L36" s="293">
        <v>0</v>
      </c>
    </row>
    <row r="37" spans="1:12" s="43" customFormat="1" ht="12.75">
      <c r="A37" s="43" t="s">
        <v>22</v>
      </c>
      <c r="B37" s="288">
        <v>58428</v>
      </c>
      <c r="C37" s="293">
        <v>0</v>
      </c>
      <c r="D37" s="292">
        <v>22350</v>
      </c>
      <c r="E37" s="288"/>
      <c r="F37" s="290">
        <v>3757779</v>
      </c>
      <c r="G37" s="293">
        <v>1417981.52</v>
      </c>
      <c r="H37" s="291">
        <v>114400</v>
      </c>
      <c r="I37" s="293">
        <v>0</v>
      </c>
      <c r="J37" s="288">
        <v>63688.72</v>
      </c>
      <c r="K37" s="293">
        <v>0</v>
      </c>
      <c r="L37" s="293">
        <v>0</v>
      </c>
    </row>
    <row r="38" spans="1:12" s="43" customFormat="1" ht="12.75">
      <c r="A38" s="43" t="s">
        <v>23</v>
      </c>
      <c r="B38" s="293">
        <v>0</v>
      </c>
      <c r="C38" s="293">
        <v>0</v>
      </c>
      <c r="D38" s="292">
        <v>15972.5</v>
      </c>
      <c r="E38" s="288"/>
      <c r="F38" s="290">
        <v>2665426</v>
      </c>
      <c r="G38" s="293">
        <v>251941.79</v>
      </c>
      <c r="H38" s="173">
        <v>0</v>
      </c>
      <c r="I38" s="293">
        <v>0</v>
      </c>
      <c r="J38" s="291">
        <v>65425.06</v>
      </c>
      <c r="K38" s="293">
        <v>0</v>
      </c>
      <c r="L38" s="293">
        <v>0</v>
      </c>
    </row>
    <row r="39" spans="1:12" s="43" customFormat="1" ht="12.75">
      <c r="A39" s="118" t="s">
        <v>24</v>
      </c>
      <c r="B39" s="119">
        <v>0</v>
      </c>
      <c r="C39" s="119">
        <v>0</v>
      </c>
      <c r="D39" s="295">
        <v>11337</v>
      </c>
      <c r="E39" s="295"/>
      <c r="F39" s="320">
        <v>637600</v>
      </c>
      <c r="G39" s="119">
        <v>0</v>
      </c>
      <c r="H39" s="119">
        <v>20280</v>
      </c>
      <c r="I39" s="119">
        <v>0</v>
      </c>
      <c r="J39" s="119">
        <v>28441.5</v>
      </c>
      <c r="K39" s="119">
        <v>0</v>
      </c>
      <c r="L39" s="119">
        <v>0</v>
      </c>
    </row>
    <row r="40" spans="2:12" s="43" customFormat="1" ht="12.75">
      <c r="B40" s="159"/>
      <c r="C40" s="159"/>
      <c r="D40" s="159"/>
      <c r="E40" s="159"/>
      <c r="L40" s="91"/>
    </row>
    <row r="41" spans="2:12" s="43" customFormat="1" ht="12.75">
      <c r="B41" s="159"/>
      <c r="C41" s="159"/>
      <c r="D41" s="159"/>
      <c r="E41" s="159"/>
      <c r="J41" s="325"/>
      <c r="L41" s="91"/>
    </row>
    <row r="42" spans="2:12" s="43" customFormat="1" ht="12.75">
      <c r="B42" s="159"/>
      <c r="C42" s="159"/>
      <c r="D42" s="159"/>
      <c r="E42" s="159"/>
      <c r="G42" s="290"/>
      <c r="L42" s="91"/>
    </row>
    <row r="43" spans="2:12" s="43" customFormat="1" ht="12.75">
      <c r="B43" s="159"/>
      <c r="C43" s="159"/>
      <c r="D43" s="159"/>
      <c r="E43" s="159"/>
      <c r="L43" s="91"/>
    </row>
    <row r="44" spans="2:12" s="43" customFormat="1" ht="12.75">
      <c r="B44" s="159"/>
      <c r="C44" s="159"/>
      <c r="D44" s="159"/>
      <c r="E44" s="159"/>
      <c r="L44" s="91"/>
    </row>
    <row r="45" s="43" customFormat="1" ht="12.75">
      <c r="L45" s="91"/>
    </row>
    <row r="46" s="43" customFormat="1" ht="12.75">
      <c r="L46" s="91"/>
    </row>
    <row r="47" s="43" customFormat="1" ht="12.75">
      <c r="L47" s="91"/>
    </row>
    <row r="48" s="43" customFormat="1" ht="12.75">
      <c r="L48" s="91"/>
    </row>
    <row r="49" s="43" customFormat="1" ht="12.75">
      <c r="L49" s="91"/>
    </row>
    <row r="50" s="43" customFormat="1" ht="12.75">
      <c r="L50" s="91"/>
    </row>
    <row r="51" s="43" customFormat="1" ht="12.75">
      <c r="L51" s="91"/>
    </row>
    <row r="52" s="43" customFormat="1" ht="12.75">
      <c r="L52" s="91"/>
    </row>
    <row r="53" s="43" customFormat="1" ht="12.75">
      <c r="L53" s="91"/>
    </row>
    <row r="54" s="43" customFormat="1" ht="12.75">
      <c r="L54" s="91"/>
    </row>
    <row r="55" s="43" customFormat="1" ht="12.75">
      <c r="L55" s="91"/>
    </row>
    <row r="56" s="43" customFormat="1" ht="12.75">
      <c r="L56" s="91"/>
    </row>
    <row r="57" s="43" customFormat="1" ht="12.75">
      <c r="L57" s="91"/>
    </row>
    <row r="58" s="43" customFormat="1" ht="12.75">
      <c r="L58" s="91"/>
    </row>
    <row r="59" s="43" customFormat="1" ht="12.75">
      <c r="L59" s="91"/>
    </row>
    <row r="60" s="43" customFormat="1" ht="12.75">
      <c r="L60" s="91"/>
    </row>
    <row r="61" s="43" customFormat="1" ht="12.75">
      <c r="L61" s="91"/>
    </row>
    <row r="62" s="43" customFormat="1" ht="12.75">
      <c r="L62" s="91"/>
    </row>
    <row r="63" s="43" customFormat="1" ht="12.75">
      <c r="L63" s="91"/>
    </row>
    <row r="64" s="43" customFormat="1" ht="12.75">
      <c r="L64" s="91"/>
    </row>
    <row r="65" s="43" customFormat="1" ht="12.75">
      <c r="L65" s="91"/>
    </row>
    <row r="66" s="43" customFormat="1" ht="12.75">
      <c r="L66" s="91"/>
    </row>
    <row r="67" s="43" customFormat="1" ht="12.75">
      <c r="L67" s="91"/>
    </row>
    <row r="68" s="43" customFormat="1" ht="12.75">
      <c r="L68" s="91"/>
    </row>
    <row r="69" s="43" customFormat="1" ht="12.75">
      <c r="L69" s="91"/>
    </row>
    <row r="70" s="43" customFormat="1" ht="12.75">
      <c r="L70" s="91"/>
    </row>
    <row r="71" s="43" customFormat="1" ht="12.75">
      <c r="L71" s="91"/>
    </row>
    <row r="72" s="43" customFormat="1" ht="12.75">
      <c r="L72" s="91"/>
    </row>
    <row r="73" s="43" customFormat="1" ht="12.75">
      <c r="L73" s="91"/>
    </row>
    <row r="74" s="43" customFormat="1" ht="12.75">
      <c r="L74" s="91"/>
    </row>
    <row r="75" s="43" customFormat="1" ht="12.75">
      <c r="L75" s="91"/>
    </row>
    <row r="76" s="43" customFormat="1" ht="12.75">
      <c r="L76" s="91"/>
    </row>
    <row r="77" s="43" customFormat="1" ht="12.75">
      <c r="L77" s="91"/>
    </row>
    <row r="78" s="43" customFormat="1" ht="12.75">
      <c r="L78" s="91"/>
    </row>
    <row r="79" s="43" customFormat="1" ht="12.75">
      <c r="L79" s="91"/>
    </row>
    <row r="80" s="43" customFormat="1" ht="12.75">
      <c r="L80" s="91"/>
    </row>
    <row r="81" s="43" customFormat="1" ht="12.75">
      <c r="L81" s="91"/>
    </row>
    <row r="82" s="43" customFormat="1" ht="12.75">
      <c r="L82" s="91"/>
    </row>
    <row r="83" s="43" customFormat="1" ht="12.75">
      <c r="L83" s="91"/>
    </row>
    <row r="84" s="43" customFormat="1" ht="12.75">
      <c r="L84" s="91"/>
    </row>
    <row r="85" s="43" customFormat="1" ht="12.75">
      <c r="L85" s="91"/>
    </row>
    <row r="86" s="43" customFormat="1" ht="12.75">
      <c r="L86" s="91"/>
    </row>
    <row r="87" s="43" customFormat="1" ht="12.75">
      <c r="L87" s="91"/>
    </row>
    <row r="88" s="43" customFormat="1" ht="12.75">
      <c r="L88" s="91"/>
    </row>
    <row r="89" s="43" customFormat="1" ht="12.75">
      <c r="L89" s="91"/>
    </row>
    <row r="90" s="43" customFormat="1" ht="12.75">
      <c r="L90" s="91"/>
    </row>
    <row r="91" s="43" customFormat="1" ht="12.75">
      <c r="L91" s="91"/>
    </row>
    <row r="92" s="43" customFormat="1" ht="12.75">
      <c r="L92" s="91"/>
    </row>
    <row r="93" s="43" customFormat="1" ht="12.75">
      <c r="L93" s="91"/>
    </row>
    <row r="94" s="43" customFormat="1" ht="12.75">
      <c r="L94" s="91"/>
    </row>
    <row r="95" s="43" customFormat="1" ht="12.75">
      <c r="L95" s="91"/>
    </row>
    <row r="96" s="43" customFormat="1" ht="12.75">
      <c r="L96" s="91"/>
    </row>
    <row r="97" s="43" customFormat="1" ht="12.75">
      <c r="L97" s="91"/>
    </row>
    <row r="98" s="43" customFormat="1" ht="12.75">
      <c r="L98" s="91"/>
    </row>
    <row r="99" s="43" customFormat="1" ht="12.75">
      <c r="L99" s="91"/>
    </row>
    <row r="100" s="43" customFormat="1" ht="12.75">
      <c r="L100" s="91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  <row r="191" ht="12.75">
      <c r="L191" s="5"/>
    </row>
    <row r="192" ht="12.75">
      <c r="L192" s="5"/>
    </row>
    <row r="193" ht="12.75">
      <c r="L193" s="5"/>
    </row>
    <row r="194" ht="12.75">
      <c r="L194" s="5"/>
    </row>
    <row r="195" ht="12.75">
      <c r="L195" s="5"/>
    </row>
    <row r="196" ht="12.75">
      <c r="L196" s="5"/>
    </row>
    <row r="197" ht="12.75">
      <c r="L197" s="5"/>
    </row>
    <row r="198" ht="12.75">
      <c r="L198" s="5"/>
    </row>
    <row r="199" ht="12.75">
      <c r="L199" s="5"/>
    </row>
    <row r="200" ht="12.75">
      <c r="L200" s="5"/>
    </row>
    <row r="201" ht="12.75">
      <c r="L201" s="5"/>
    </row>
    <row r="202" ht="12.75">
      <c r="L202" s="5"/>
    </row>
    <row r="203" ht="12.75">
      <c r="L203" s="5"/>
    </row>
    <row r="204" ht="12.75">
      <c r="L204" s="5"/>
    </row>
    <row r="205" ht="12.75">
      <c r="L205" s="5"/>
    </row>
    <row r="206" ht="12.75">
      <c r="L206" s="5"/>
    </row>
    <row r="207" ht="12.75">
      <c r="L207" s="5"/>
    </row>
    <row r="208" ht="12.75">
      <c r="L208" s="5"/>
    </row>
    <row r="209" ht="12.75">
      <c r="L209" s="5"/>
    </row>
    <row r="210" ht="12.75">
      <c r="L210" s="5"/>
    </row>
    <row r="211" ht="12.75">
      <c r="L211" s="5"/>
    </row>
    <row r="212" ht="12.75">
      <c r="L212" s="5"/>
    </row>
    <row r="213" ht="12.75">
      <c r="L213" s="5"/>
    </row>
    <row r="214" ht="12.75">
      <c r="L214" s="5"/>
    </row>
    <row r="215" ht="12.75">
      <c r="L215" s="5"/>
    </row>
    <row r="216" ht="12.75">
      <c r="L216" s="5"/>
    </row>
    <row r="217" ht="12.75">
      <c r="L217" s="5"/>
    </row>
    <row r="218" ht="12.75">
      <c r="L218" s="5"/>
    </row>
    <row r="219" ht="12.75">
      <c r="L219" s="5"/>
    </row>
    <row r="220" ht="12.75">
      <c r="L220" s="5"/>
    </row>
    <row r="221" ht="12.75">
      <c r="L221" s="5"/>
    </row>
    <row r="222" ht="12.75">
      <c r="L222" s="5"/>
    </row>
    <row r="223" ht="12.75">
      <c r="L223" s="5"/>
    </row>
    <row r="224" ht="12.75">
      <c r="L224" s="5"/>
    </row>
    <row r="225" ht="12.75">
      <c r="L225" s="5"/>
    </row>
    <row r="226" ht="12.75">
      <c r="L226" s="5"/>
    </row>
    <row r="227" ht="12.75">
      <c r="L227" s="5"/>
    </row>
    <row r="228" ht="12.75">
      <c r="L228" s="5"/>
    </row>
    <row r="229" ht="12.75">
      <c r="L229" s="5"/>
    </row>
    <row r="230" ht="12.75">
      <c r="L230" s="5"/>
    </row>
    <row r="231" ht="12.75">
      <c r="L231" s="5"/>
    </row>
    <row r="232" ht="12.75">
      <c r="L232" s="5"/>
    </row>
    <row r="233" ht="12.75">
      <c r="L233" s="5"/>
    </row>
    <row r="234" ht="12.75">
      <c r="L234" s="5"/>
    </row>
    <row r="235" ht="12.75">
      <c r="L235" s="5"/>
    </row>
    <row r="236" ht="12.75">
      <c r="L236" s="5"/>
    </row>
    <row r="237" ht="12.75">
      <c r="L237" s="5"/>
    </row>
    <row r="238" ht="12.75">
      <c r="L238" s="5"/>
    </row>
    <row r="239" ht="12.75">
      <c r="L239" s="5"/>
    </row>
    <row r="240" ht="12.75">
      <c r="L240" s="5"/>
    </row>
    <row r="241" ht="12.75">
      <c r="L241" s="5"/>
    </row>
    <row r="242" ht="12.75">
      <c r="L242" s="5"/>
    </row>
    <row r="243" ht="12.75">
      <c r="L243" s="5"/>
    </row>
    <row r="244" ht="12.75">
      <c r="L244" s="5"/>
    </row>
    <row r="245" ht="12.75">
      <c r="L245" s="5"/>
    </row>
    <row r="246" ht="12.75">
      <c r="L246" s="5"/>
    </row>
    <row r="247" ht="12.75">
      <c r="L247" s="5"/>
    </row>
    <row r="248" ht="12.75">
      <c r="L248" s="5"/>
    </row>
    <row r="249" ht="12.75">
      <c r="L249" s="5"/>
    </row>
    <row r="250" ht="12.75">
      <c r="L250" s="5"/>
    </row>
    <row r="251" ht="12.75">
      <c r="L251" s="5"/>
    </row>
    <row r="252" ht="12.75">
      <c r="L252" s="5"/>
    </row>
    <row r="253" ht="12.75">
      <c r="L253" s="5"/>
    </row>
    <row r="254" ht="12.75">
      <c r="L254" s="5"/>
    </row>
    <row r="255" ht="12.75">
      <c r="L255" s="5"/>
    </row>
    <row r="256" ht="12.75">
      <c r="L256" s="5"/>
    </row>
    <row r="257" ht="12.75">
      <c r="L257" s="5"/>
    </row>
    <row r="258" ht="12.75">
      <c r="L258" s="5"/>
    </row>
    <row r="259" ht="12.75">
      <c r="L259" s="5"/>
    </row>
    <row r="260" ht="12.75">
      <c r="L260" s="5"/>
    </row>
    <row r="261" ht="12.75">
      <c r="L261" s="5"/>
    </row>
    <row r="262" ht="12.75">
      <c r="L262" s="5"/>
    </row>
    <row r="263" ht="12.75">
      <c r="L263" s="5"/>
    </row>
    <row r="264" ht="12.75">
      <c r="L264" s="5"/>
    </row>
    <row r="265" ht="12.75">
      <c r="L265" s="5"/>
    </row>
    <row r="266" ht="12.75">
      <c r="L266" s="5"/>
    </row>
    <row r="267" ht="12.75">
      <c r="L267" s="5"/>
    </row>
    <row r="268" ht="12.75">
      <c r="L268" s="5"/>
    </row>
    <row r="269" ht="12.75">
      <c r="L269" s="5"/>
    </row>
    <row r="270" ht="12.75">
      <c r="L270" s="5"/>
    </row>
    <row r="271" ht="12.75">
      <c r="L271" s="5"/>
    </row>
    <row r="272" ht="12.75">
      <c r="L272" s="5"/>
    </row>
    <row r="273" ht="12.75">
      <c r="L273" s="5"/>
    </row>
    <row r="274" ht="12.75">
      <c r="L274" s="5"/>
    </row>
    <row r="275" ht="12.75">
      <c r="L275" s="5"/>
    </row>
    <row r="276" ht="12.75">
      <c r="L276" s="5"/>
    </row>
    <row r="277" ht="12.75">
      <c r="L277" s="5"/>
    </row>
    <row r="278" ht="12.75">
      <c r="L278" s="5"/>
    </row>
    <row r="279" ht="12.75">
      <c r="L279" s="5"/>
    </row>
    <row r="280" ht="12.75">
      <c r="L280" s="5"/>
    </row>
    <row r="281" ht="12.75">
      <c r="L281" s="5"/>
    </row>
    <row r="282" ht="12.75">
      <c r="L282" s="5"/>
    </row>
    <row r="283" ht="12.75">
      <c r="L283" s="5"/>
    </row>
    <row r="284" ht="12.75">
      <c r="L284" s="5"/>
    </row>
    <row r="285" ht="12.75">
      <c r="L285" s="5"/>
    </row>
    <row r="286" ht="12.75">
      <c r="L286" s="5"/>
    </row>
    <row r="287" ht="12.75">
      <c r="L287" s="5"/>
    </row>
    <row r="288" ht="12.75">
      <c r="L288" s="5"/>
    </row>
    <row r="289" ht="12.75">
      <c r="L289" s="5"/>
    </row>
    <row r="290" ht="12.75">
      <c r="L290" s="5"/>
    </row>
    <row r="291" ht="12.75">
      <c r="L291" s="5"/>
    </row>
    <row r="292" ht="12.75">
      <c r="L292" s="5"/>
    </row>
    <row r="293" ht="12.75">
      <c r="L293" s="5"/>
    </row>
    <row r="294" ht="12.75">
      <c r="L294" s="5"/>
    </row>
    <row r="295" ht="12.75">
      <c r="L295" s="5"/>
    </row>
    <row r="296" ht="12.75">
      <c r="L296" s="5"/>
    </row>
    <row r="297" ht="12.75">
      <c r="L297" s="5"/>
    </row>
    <row r="298" ht="12.75">
      <c r="L298" s="5"/>
    </row>
    <row r="299" ht="12.75">
      <c r="L299" s="5"/>
    </row>
    <row r="300" ht="12.75">
      <c r="L300" s="5"/>
    </row>
    <row r="301" ht="12.75">
      <c r="L301" s="5"/>
    </row>
    <row r="302" ht="12.75">
      <c r="L302" s="5"/>
    </row>
    <row r="303" ht="12.75">
      <c r="L303" s="5"/>
    </row>
    <row r="304" ht="12.75">
      <c r="L304" s="5"/>
    </row>
    <row r="305" ht="12.75">
      <c r="L305" s="5"/>
    </row>
    <row r="306" ht="12.75">
      <c r="L306" s="5"/>
    </row>
    <row r="307" ht="12.75">
      <c r="L307" s="5"/>
    </row>
    <row r="308" ht="12.75">
      <c r="L308" s="5"/>
    </row>
    <row r="309" ht="12.75">
      <c r="L309" s="5"/>
    </row>
    <row r="310" ht="12.75">
      <c r="L310" s="5"/>
    </row>
    <row r="311" ht="12.75">
      <c r="L311" s="5"/>
    </row>
    <row r="312" ht="12.75">
      <c r="L312" s="5"/>
    </row>
    <row r="313" ht="12.75">
      <c r="L313" s="5"/>
    </row>
    <row r="314" ht="12.75">
      <c r="L314" s="5"/>
    </row>
    <row r="315" ht="12.75">
      <c r="L315" s="5"/>
    </row>
    <row r="316" ht="12.75">
      <c r="L316" s="5"/>
    </row>
    <row r="317" ht="12.75">
      <c r="L317" s="5"/>
    </row>
    <row r="318" ht="12.75">
      <c r="L318" s="5"/>
    </row>
    <row r="319" ht="12.75">
      <c r="L319" s="5"/>
    </row>
    <row r="320" ht="12.75">
      <c r="L320" s="5"/>
    </row>
    <row r="321" ht="12.75">
      <c r="L321" s="5"/>
    </row>
    <row r="322" ht="12.75">
      <c r="L322" s="5"/>
    </row>
    <row r="323" ht="12.75">
      <c r="L323" s="5"/>
    </row>
    <row r="324" ht="12.75">
      <c r="L324" s="5"/>
    </row>
    <row r="325" ht="12.75">
      <c r="L325" s="5"/>
    </row>
    <row r="326" ht="12.75">
      <c r="L326" s="5"/>
    </row>
    <row r="327" ht="12.75">
      <c r="L327" s="5"/>
    </row>
    <row r="328" ht="12.75">
      <c r="L328" s="5"/>
    </row>
    <row r="329" ht="12.75">
      <c r="L329" s="5"/>
    </row>
    <row r="330" ht="12.75">
      <c r="L330" s="5"/>
    </row>
    <row r="331" ht="12.75">
      <c r="L331" s="5"/>
    </row>
    <row r="332" ht="12.75">
      <c r="L332" s="5"/>
    </row>
    <row r="333" ht="12.75">
      <c r="L333" s="5"/>
    </row>
    <row r="334" ht="12.75">
      <c r="L334" s="5"/>
    </row>
    <row r="335" ht="12.75">
      <c r="L335" s="5"/>
    </row>
    <row r="336" ht="12.75">
      <c r="L336" s="5"/>
    </row>
    <row r="337" ht="12.75">
      <c r="L337" s="5"/>
    </row>
    <row r="338" ht="12.75">
      <c r="L338" s="5"/>
    </row>
    <row r="339" ht="12.75">
      <c r="L339" s="5"/>
    </row>
    <row r="340" ht="12.75">
      <c r="L340" s="5"/>
    </row>
  </sheetData>
  <sheetProtection password="C935" sheet="1" objects="1" scenarios="1"/>
  <mergeCells count="9">
    <mergeCell ref="A1:L1"/>
    <mergeCell ref="J6:L6"/>
    <mergeCell ref="B5:L5"/>
    <mergeCell ref="I6:I9"/>
    <mergeCell ref="B6:D6"/>
    <mergeCell ref="F6:H6"/>
    <mergeCell ref="H7:H9"/>
    <mergeCell ref="C7:C9"/>
    <mergeCell ref="A3:L3"/>
  </mergeCells>
  <printOptions horizontalCentered="1"/>
  <pageMargins left="0.68" right="0.61" top="0.83" bottom="1" header="0.67" footer="0.5"/>
  <pageSetup fitToHeight="1" fitToWidth="1" horizontalDpi="600" verticalDpi="600" orientation="landscape" scale="86" r:id="rId1"/>
  <headerFooter alignWithMargins="0">
    <oddFooter>&amp;L&amp;"Arial,Italic"&amp;9MSDE-DBS 11 / 2006
&amp;C- 8 -&amp;R&amp;"Arial,Italic"&amp;9Selected Financial Data-Part 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workbookViewId="0" topLeftCell="A1">
      <selection activeCell="A1" sqref="A1:K1"/>
    </sheetView>
  </sheetViews>
  <sheetFormatPr defaultColWidth="9.140625" defaultRowHeight="12.75"/>
  <cols>
    <col min="1" max="1" width="14.140625" style="0" customWidth="1"/>
    <col min="2" max="2" width="12.57421875" style="0" customWidth="1"/>
    <col min="3" max="3" width="13.28125" style="0" customWidth="1"/>
    <col min="4" max="4" width="14.421875" style="0" customWidth="1"/>
    <col min="5" max="5" width="14.7109375" style="0" customWidth="1"/>
    <col min="6" max="6" width="11.57421875" style="0" customWidth="1"/>
    <col min="7" max="7" width="11.28125" style="0" customWidth="1"/>
    <col min="8" max="8" width="12.421875" style="0" customWidth="1"/>
    <col min="9" max="9" width="11.7109375" style="0" customWidth="1"/>
    <col min="10" max="10" width="10.57421875" style="0" customWidth="1"/>
    <col min="11" max="11" width="14.00390625" style="0" customWidth="1"/>
  </cols>
  <sheetData>
    <row r="1" spans="1:11" ht="12.75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43"/>
    </row>
    <row r="3" spans="1:11" s="80" customFormat="1" ht="12.75">
      <c r="A3" s="406" t="s">
        <v>281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1" ht="13.5" thickBo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ht="15" customHeight="1" thickTop="1">
      <c r="A5" s="387" t="s">
        <v>62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</row>
    <row r="6" spans="1:35" ht="12.75">
      <c r="A6" s="404" t="s">
        <v>142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6" ht="12.75" customHeight="1">
      <c r="A7" s="394" t="s">
        <v>225</v>
      </c>
      <c r="B7" s="402" t="s">
        <v>222</v>
      </c>
      <c r="C7" s="402" t="s">
        <v>227</v>
      </c>
      <c r="D7" s="402" t="s">
        <v>305</v>
      </c>
      <c r="E7" s="402" t="s">
        <v>228</v>
      </c>
      <c r="F7" s="402" t="s">
        <v>229</v>
      </c>
      <c r="G7" s="402" t="s">
        <v>238</v>
      </c>
      <c r="H7" s="402" t="s">
        <v>230</v>
      </c>
      <c r="I7" s="402" t="s">
        <v>235</v>
      </c>
      <c r="J7" s="402" t="s">
        <v>231</v>
      </c>
      <c r="K7" s="402" t="s">
        <v>253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97"/>
      <c r="B8" s="397"/>
      <c r="C8" s="397"/>
      <c r="D8" s="403"/>
      <c r="E8" s="403"/>
      <c r="F8" s="397"/>
      <c r="G8" s="397"/>
      <c r="H8" s="397"/>
      <c r="I8" s="397"/>
      <c r="J8" s="397"/>
      <c r="K8" s="40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11" ht="12.75" customHeight="1">
      <c r="A9" s="397"/>
      <c r="B9" s="397"/>
      <c r="C9" s="397"/>
      <c r="D9" s="397"/>
      <c r="E9" s="397"/>
      <c r="F9" s="397"/>
      <c r="G9" s="397"/>
      <c r="H9" s="397"/>
      <c r="I9" s="397"/>
      <c r="J9" s="397"/>
      <c r="K9" s="397"/>
    </row>
    <row r="10" spans="1:11" ht="13.5" thickBot="1">
      <c r="A10" s="395"/>
      <c r="B10" s="395"/>
      <c r="C10" s="395"/>
      <c r="D10" s="395"/>
      <c r="E10" s="395"/>
      <c r="F10" s="395"/>
      <c r="G10" s="395"/>
      <c r="H10" s="395"/>
      <c r="I10" s="395"/>
      <c r="J10" s="395"/>
      <c r="K10" s="395"/>
    </row>
    <row r="11" spans="1:11" s="55" customFormat="1" ht="12.75">
      <c r="A11" s="311" t="s">
        <v>0</v>
      </c>
      <c r="B11" s="319">
        <f aca="true" t="shared" si="0" ref="B11:K11">SUM(B13:B40)</f>
        <v>213162.99</v>
      </c>
      <c r="C11" s="319">
        <f t="shared" si="0"/>
        <v>5048654.07</v>
      </c>
      <c r="D11" s="319">
        <f>SUM(D13:D40)</f>
        <v>540578.29</v>
      </c>
      <c r="E11" s="319">
        <f>SUM(E13:E40)</f>
        <v>0</v>
      </c>
      <c r="F11" s="319">
        <f t="shared" si="0"/>
        <v>0</v>
      </c>
      <c r="G11" s="319">
        <f t="shared" si="0"/>
        <v>0</v>
      </c>
      <c r="H11" s="319">
        <f t="shared" si="0"/>
        <v>935949.8300000001</v>
      </c>
      <c r="I11" s="319">
        <f t="shared" si="0"/>
        <v>196347.44999999998</v>
      </c>
      <c r="J11" s="319">
        <f t="shared" si="0"/>
        <v>0</v>
      </c>
      <c r="K11" s="319">
        <f t="shared" si="0"/>
        <v>4030604.89</v>
      </c>
    </row>
    <row r="12" spans="1:11" ht="12.75">
      <c r="A12" s="86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2.75">
      <c r="A13" s="43" t="s">
        <v>1</v>
      </c>
      <c r="B13" s="291">
        <v>1486.84</v>
      </c>
      <c r="C13" s="91">
        <v>32350</v>
      </c>
      <c r="D13" s="291">
        <v>5853.64</v>
      </c>
      <c r="E13" s="291">
        <v>0</v>
      </c>
      <c r="F13" s="291">
        <v>0</v>
      </c>
      <c r="G13" s="291">
        <v>0</v>
      </c>
      <c r="H13" s="290">
        <v>0</v>
      </c>
      <c r="I13" s="291">
        <v>0</v>
      </c>
      <c r="J13" s="290">
        <v>0</v>
      </c>
      <c r="K13" s="291">
        <v>145350.88</v>
      </c>
    </row>
    <row r="14" spans="1:11" ht="12.75">
      <c r="A14" s="43" t="s">
        <v>2</v>
      </c>
      <c r="B14" s="291">
        <v>12286.09</v>
      </c>
      <c r="C14" s="290">
        <v>197157.36</v>
      </c>
      <c r="D14" s="290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1031435.08</v>
      </c>
    </row>
    <row r="15" spans="1:11" ht="12.75">
      <c r="A15" s="43" t="s">
        <v>3</v>
      </c>
      <c r="B15" s="291">
        <v>23484.95</v>
      </c>
      <c r="C15" s="291">
        <v>3420468.95</v>
      </c>
      <c r="D15" s="291">
        <v>0</v>
      </c>
      <c r="E15" s="291">
        <v>0</v>
      </c>
      <c r="F15" s="291">
        <v>0</v>
      </c>
      <c r="G15" s="291">
        <v>0</v>
      </c>
      <c r="H15" s="290">
        <v>928854.04</v>
      </c>
      <c r="I15" s="290">
        <v>0</v>
      </c>
      <c r="J15" s="291">
        <v>0</v>
      </c>
      <c r="K15" s="291">
        <v>0</v>
      </c>
    </row>
    <row r="16" spans="1:11" ht="12.75">
      <c r="A16" s="43" t="s">
        <v>4</v>
      </c>
      <c r="B16" s="291">
        <v>34690.37</v>
      </c>
      <c r="C16" s="291">
        <v>104689.82</v>
      </c>
      <c r="D16" s="291">
        <v>160608.75</v>
      </c>
      <c r="E16" s="290">
        <v>0</v>
      </c>
      <c r="F16" s="291">
        <v>0</v>
      </c>
      <c r="G16" s="291">
        <v>0</v>
      </c>
      <c r="H16" s="291">
        <v>0</v>
      </c>
      <c r="I16" s="291">
        <v>128680</v>
      </c>
      <c r="J16" s="291">
        <v>0</v>
      </c>
      <c r="K16" s="291">
        <v>52572.69</v>
      </c>
    </row>
    <row r="17" spans="1:12" ht="12.75">
      <c r="A17" s="43" t="s">
        <v>5</v>
      </c>
      <c r="B17" s="145">
        <v>4737.5</v>
      </c>
      <c r="C17" s="291">
        <v>0</v>
      </c>
      <c r="D17" s="145">
        <v>19838.55</v>
      </c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174"/>
    </row>
    <row r="18" spans="1:11" ht="12.75">
      <c r="A18" s="43"/>
      <c r="B18" s="291"/>
      <c r="C18" s="291"/>
      <c r="D18" s="145"/>
      <c r="E18" s="291"/>
      <c r="F18" s="291"/>
      <c r="G18" s="291"/>
      <c r="H18" s="43"/>
      <c r="I18" s="291"/>
      <c r="J18" s="291"/>
      <c r="K18" s="291"/>
    </row>
    <row r="19" spans="1:11" ht="12.75">
      <c r="A19" s="43" t="s">
        <v>6</v>
      </c>
      <c r="B19" s="291">
        <v>8391.65</v>
      </c>
      <c r="C19" s="291">
        <v>0</v>
      </c>
      <c r="D19" s="145">
        <v>2020</v>
      </c>
      <c r="E19" s="291">
        <v>0</v>
      </c>
      <c r="F19" s="291">
        <v>0</v>
      </c>
      <c r="G19" s="291">
        <v>0</v>
      </c>
      <c r="H19" s="290">
        <v>0</v>
      </c>
      <c r="I19" s="291">
        <v>0</v>
      </c>
      <c r="J19" s="291">
        <v>0</v>
      </c>
      <c r="K19" s="291">
        <v>316688.66</v>
      </c>
    </row>
    <row r="20" spans="1:11" ht="12.75">
      <c r="A20" s="43" t="s">
        <v>7</v>
      </c>
      <c r="B20" s="290">
        <v>6182.05</v>
      </c>
      <c r="C20" s="291">
        <v>0</v>
      </c>
      <c r="D20" s="145">
        <v>0</v>
      </c>
      <c r="E20" s="291">
        <v>0</v>
      </c>
      <c r="F20" s="291">
        <v>0</v>
      </c>
      <c r="G20" s="291">
        <v>0</v>
      </c>
      <c r="H20" s="290">
        <v>0</v>
      </c>
      <c r="I20" s="291">
        <v>0</v>
      </c>
      <c r="J20" s="291">
        <v>0</v>
      </c>
      <c r="K20" s="290">
        <v>0</v>
      </c>
    </row>
    <row r="21" spans="1:11" ht="12.75">
      <c r="A21" s="43" t="s">
        <v>8</v>
      </c>
      <c r="B21" s="291">
        <v>7250</v>
      </c>
      <c r="C21" s="291">
        <v>0</v>
      </c>
      <c r="D21" s="145">
        <v>20487.74</v>
      </c>
      <c r="E21" s="291">
        <v>0</v>
      </c>
      <c r="F21" s="291">
        <v>0</v>
      </c>
      <c r="G21" s="291">
        <v>0</v>
      </c>
      <c r="H21" s="290">
        <v>0</v>
      </c>
      <c r="I21" s="291">
        <v>0</v>
      </c>
      <c r="J21" s="290">
        <v>0</v>
      </c>
      <c r="K21" s="291">
        <v>0</v>
      </c>
    </row>
    <row r="22" spans="1:11" ht="12.75">
      <c r="A22" s="43" t="s">
        <v>9</v>
      </c>
      <c r="B22" s="291">
        <v>10990.41</v>
      </c>
      <c r="C22" s="291">
        <v>0</v>
      </c>
      <c r="D22" s="145">
        <v>26341.38</v>
      </c>
      <c r="E22" s="291">
        <v>0</v>
      </c>
      <c r="F22" s="291">
        <v>0</v>
      </c>
      <c r="G22" s="291">
        <v>0</v>
      </c>
      <c r="H22" s="290">
        <v>0</v>
      </c>
      <c r="I22" s="290">
        <v>34281.81</v>
      </c>
      <c r="J22" s="291">
        <v>0</v>
      </c>
      <c r="K22" s="291">
        <v>101260.01</v>
      </c>
    </row>
    <row r="23" spans="1:11" ht="12.75">
      <c r="A23" s="43" t="s">
        <v>10</v>
      </c>
      <c r="B23" s="291">
        <v>2896.3</v>
      </c>
      <c r="C23" s="291">
        <v>0</v>
      </c>
      <c r="D23" s="291">
        <v>2720.42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0">
        <v>0</v>
      </c>
      <c r="K23" s="290">
        <v>142567.65</v>
      </c>
    </row>
    <row r="24" spans="1:11" ht="12.75">
      <c r="A24" s="43"/>
      <c r="B24" s="291"/>
      <c r="C24" s="291"/>
      <c r="D24" s="291"/>
      <c r="E24" s="291"/>
      <c r="F24" s="291"/>
      <c r="G24" s="291"/>
      <c r="H24" s="291"/>
      <c r="I24" s="291"/>
      <c r="J24" s="291"/>
      <c r="K24" s="291"/>
    </row>
    <row r="25" spans="1:11" ht="12.75">
      <c r="A25" s="43" t="s">
        <v>11</v>
      </c>
      <c r="B25" s="291">
        <v>7500</v>
      </c>
      <c r="C25" s="291">
        <v>39768.11</v>
      </c>
      <c r="D25" s="291">
        <v>55663.97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</row>
    <row r="26" spans="1:11" ht="12.75">
      <c r="A26" s="43" t="s">
        <v>12</v>
      </c>
      <c r="B26" s="291">
        <v>5983.43</v>
      </c>
      <c r="C26" s="291">
        <v>0</v>
      </c>
      <c r="D26" s="291">
        <v>2926.82</v>
      </c>
      <c r="E26" s="291">
        <v>0</v>
      </c>
      <c r="F26" s="291">
        <v>0</v>
      </c>
      <c r="G26" s="291">
        <v>0</v>
      </c>
      <c r="H26" s="290">
        <v>0</v>
      </c>
      <c r="I26" s="291">
        <v>28027.31</v>
      </c>
      <c r="J26" s="291">
        <v>0</v>
      </c>
      <c r="K26" s="291">
        <v>0</v>
      </c>
    </row>
    <row r="27" spans="1:11" ht="12.75">
      <c r="A27" s="43" t="s">
        <v>13</v>
      </c>
      <c r="B27" s="291">
        <v>13272.38</v>
      </c>
      <c r="C27" s="291">
        <v>23624.79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</row>
    <row r="28" spans="1:11" ht="12.75">
      <c r="A28" s="43" t="s">
        <v>14</v>
      </c>
      <c r="B28" s="291">
        <v>902.77</v>
      </c>
      <c r="C28" s="291">
        <v>0</v>
      </c>
      <c r="D28" s="291">
        <v>121072.8</v>
      </c>
      <c r="E28" s="291">
        <v>0</v>
      </c>
      <c r="F28" s="291">
        <v>0</v>
      </c>
      <c r="G28" s="291">
        <v>0</v>
      </c>
      <c r="H28" s="290">
        <v>0</v>
      </c>
      <c r="I28" s="290">
        <v>0</v>
      </c>
      <c r="J28" s="291">
        <v>0</v>
      </c>
      <c r="K28" s="291">
        <v>0</v>
      </c>
    </row>
    <row r="29" spans="1:11" ht="12.75">
      <c r="A29" s="43" t="s">
        <v>15</v>
      </c>
      <c r="B29" s="291">
        <v>13250</v>
      </c>
      <c r="C29" s="291">
        <v>0</v>
      </c>
      <c r="D29" s="291">
        <v>5853.64</v>
      </c>
      <c r="E29" s="291">
        <v>0</v>
      </c>
      <c r="F29" s="291">
        <v>0</v>
      </c>
      <c r="G29" s="291">
        <v>0</v>
      </c>
      <c r="H29" s="291">
        <v>0</v>
      </c>
      <c r="I29" s="291">
        <v>0</v>
      </c>
      <c r="J29" s="291">
        <v>0</v>
      </c>
      <c r="K29" s="291">
        <v>0</v>
      </c>
    </row>
    <row r="30" spans="1:11" ht="12.75">
      <c r="A30" s="43"/>
      <c r="B30" s="291"/>
      <c r="C30" s="291"/>
      <c r="D30" s="91"/>
      <c r="E30" s="291"/>
      <c r="F30" s="291"/>
      <c r="G30" s="291"/>
      <c r="H30" s="291"/>
      <c r="I30" s="291"/>
      <c r="J30" s="291"/>
      <c r="K30" s="291"/>
    </row>
    <row r="31" spans="1:11" ht="12.75">
      <c r="A31" s="43" t="s">
        <v>16</v>
      </c>
      <c r="B31" s="291">
        <v>23580.05</v>
      </c>
      <c r="C31" s="291">
        <v>248029</v>
      </c>
      <c r="D31" s="291">
        <v>0</v>
      </c>
      <c r="E31" s="291">
        <v>0</v>
      </c>
      <c r="F31" s="291">
        <v>0</v>
      </c>
      <c r="G31" s="291">
        <v>0</v>
      </c>
      <c r="H31" s="290">
        <v>0</v>
      </c>
      <c r="I31" s="291">
        <v>0</v>
      </c>
      <c r="J31" s="291">
        <v>0</v>
      </c>
      <c r="K31" s="291">
        <v>850213.41</v>
      </c>
    </row>
    <row r="32" spans="1:11" ht="12.75">
      <c r="A32" s="43" t="s">
        <v>17</v>
      </c>
      <c r="B32" s="291">
        <v>12987.95</v>
      </c>
      <c r="C32" s="291">
        <v>945812.89</v>
      </c>
      <c r="D32" s="145">
        <v>22683.37</v>
      </c>
      <c r="E32" s="291">
        <v>0</v>
      </c>
      <c r="F32" s="288">
        <v>0</v>
      </c>
      <c r="G32" s="291">
        <v>0</v>
      </c>
      <c r="H32" s="291">
        <v>0</v>
      </c>
      <c r="I32" s="291">
        <v>0</v>
      </c>
      <c r="J32" s="291">
        <v>0</v>
      </c>
      <c r="K32" s="291">
        <v>1189683.32</v>
      </c>
    </row>
    <row r="33" spans="1:11" ht="12.75">
      <c r="A33" s="43" t="s">
        <v>18</v>
      </c>
      <c r="B33" s="291">
        <v>7173.84</v>
      </c>
      <c r="C33" s="291">
        <v>0</v>
      </c>
      <c r="D33" s="291">
        <v>2921.82</v>
      </c>
      <c r="E33" s="291">
        <v>0</v>
      </c>
      <c r="F33" s="291">
        <v>0</v>
      </c>
      <c r="G33" s="291">
        <v>0</v>
      </c>
      <c r="H33" s="291">
        <v>7095.79</v>
      </c>
      <c r="I33" s="291">
        <v>0</v>
      </c>
      <c r="J33" s="291">
        <v>0</v>
      </c>
      <c r="K33" s="291">
        <v>0</v>
      </c>
    </row>
    <row r="34" spans="1:11" ht="12.75">
      <c r="A34" s="43" t="s">
        <v>19</v>
      </c>
      <c r="B34" s="291">
        <v>1950.67</v>
      </c>
      <c r="C34" s="291">
        <v>30729.65</v>
      </c>
      <c r="D34" s="291">
        <v>13420.4</v>
      </c>
      <c r="E34" s="291">
        <v>0</v>
      </c>
      <c r="F34" s="291">
        <v>0</v>
      </c>
      <c r="G34" s="291">
        <v>0</v>
      </c>
      <c r="H34" s="290">
        <v>0</v>
      </c>
      <c r="I34" s="291">
        <v>0</v>
      </c>
      <c r="J34" s="290">
        <v>0</v>
      </c>
      <c r="K34" s="291">
        <v>0</v>
      </c>
    </row>
    <row r="35" spans="1:11" ht="12.75">
      <c r="A35" s="43" t="s">
        <v>20</v>
      </c>
      <c r="B35" s="291">
        <v>2179.85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5358.33</v>
      </c>
      <c r="J35" s="291">
        <v>0</v>
      </c>
      <c r="K35" s="291">
        <v>0</v>
      </c>
    </row>
    <row r="36" spans="1:11" ht="12.75">
      <c r="A36" s="43"/>
      <c r="B36" s="291"/>
      <c r="C36" s="291"/>
      <c r="D36" s="291"/>
      <c r="E36" s="291"/>
      <c r="F36" s="291"/>
      <c r="G36" s="291"/>
      <c r="H36" s="291"/>
      <c r="I36" s="291"/>
      <c r="J36" s="291"/>
      <c r="K36" s="291"/>
    </row>
    <row r="37" spans="1:11" ht="12.75">
      <c r="A37" s="43" t="s">
        <v>21</v>
      </c>
      <c r="B37" s="291">
        <v>7324.86</v>
      </c>
      <c r="C37" s="291">
        <v>6023.5</v>
      </c>
      <c r="D37" s="291">
        <v>7624.84</v>
      </c>
      <c r="E37" s="291">
        <v>0</v>
      </c>
      <c r="F37" s="291">
        <v>0</v>
      </c>
      <c r="G37" s="291">
        <v>0</v>
      </c>
      <c r="H37" s="290">
        <v>0</v>
      </c>
      <c r="I37" s="291">
        <v>0</v>
      </c>
      <c r="J37" s="291">
        <v>0</v>
      </c>
      <c r="K37" s="291">
        <v>0</v>
      </c>
    </row>
    <row r="38" spans="1:11" ht="12.75">
      <c r="A38" s="43" t="s">
        <v>22</v>
      </c>
      <c r="B38" s="291">
        <v>2364.69</v>
      </c>
      <c r="C38" s="291">
        <v>0</v>
      </c>
      <c r="D38" s="291">
        <v>46829.12</v>
      </c>
      <c r="E38" s="291">
        <v>0</v>
      </c>
      <c r="F38" s="291">
        <v>0</v>
      </c>
      <c r="G38" s="291">
        <v>0</v>
      </c>
      <c r="H38" s="291">
        <v>0</v>
      </c>
      <c r="I38" s="291">
        <v>0</v>
      </c>
      <c r="J38" s="291">
        <v>0</v>
      </c>
      <c r="K38" s="291">
        <v>200833.19</v>
      </c>
    </row>
    <row r="39" spans="1:11" ht="12.75">
      <c r="A39" s="43" t="s">
        <v>23</v>
      </c>
      <c r="B39" s="291">
        <v>1937.73</v>
      </c>
      <c r="C39" s="291">
        <v>0</v>
      </c>
      <c r="D39" s="291">
        <v>23711.03</v>
      </c>
      <c r="E39" s="291">
        <v>0</v>
      </c>
      <c r="F39" s="291">
        <v>0</v>
      </c>
      <c r="G39" s="291">
        <v>0</v>
      </c>
      <c r="H39" s="291">
        <v>0</v>
      </c>
      <c r="I39" s="291">
        <v>0</v>
      </c>
      <c r="J39" s="291">
        <v>0</v>
      </c>
      <c r="K39" s="290">
        <v>0</v>
      </c>
    </row>
    <row r="40" spans="1:11" ht="12.75">
      <c r="A40" s="118" t="s">
        <v>24</v>
      </c>
      <c r="B40" s="119">
        <v>358.61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</row>
    <row r="41" spans="1:11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1:11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1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1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1:11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1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1:1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1:1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</sheetData>
  <sheetProtection password="C935" sheet="1" objects="1" scenarios="1"/>
  <mergeCells count="15">
    <mergeCell ref="J7:J10"/>
    <mergeCell ref="A6:K6"/>
    <mergeCell ref="A5:K5"/>
    <mergeCell ref="A3:K3"/>
    <mergeCell ref="I7:I10"/>
    <mergeCell ref="A1:K1"/>
    <mergeCell ref="G7:G10"/>
    <mergeCell ref="K7:K10"/>
    <mergeCell ref="A7:A10"/>
    <mergeCell ref="B7:B10"/>
    <mergeCell ref="C7:C10"/>
    <mergeCell ref="E7:E10"/>
    <mergeCell ref="F7:F10"/>
    <mergeCell ref="D7:D10"/>
    <mergeCell ref="H7:H10"/>
  </mergeCells>
  <printOptions horizontalCentered="1"/>
  <pageMargins left="0.44" right="0.37" top="0.83" bottom="1" header="0.67" footer="0.5"/>
  <pageSetup fitToHeight="1" fitToWidth="1" horizontalDpi="600" verticalDpi="600" orientation="landscape" scale="94" r:id="rId1"/>
  <headerFooter alignWithMargins="0">
    <oddFooter>&amp;L&amp;"Arial,Italic"&amp;9MSDE-DBS  11 / 2006
&amp;C- 9 -&amp;R&amp;"Arial,Italic"&amp;9Selected Financial Data-Part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2003 PART 1 as of 6-4-2004</dc:title>
  <dc:subject/>
  <dc:creator>Kathy Hiatt/Anita Finn/Ron Ieng</dc:creator>
  <cp:keywords/>
  <dc:description/>
  <cp:lastModifiedBy>rieng</cp:lastModifiedBy>
  <cp:lastPrinted>2007-01-16T15:21:21Z</cp:lastPrinted>
  <dcterms:created xsi:type="dcterms:W3CDTF">1998-03-02T22:29:13Z</dcterms:created>
  <dcterms:modified xsi:type="dcterms:W3CDTF">2007-01-16T15:48:49Z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