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605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'1'!$A$1:$M$41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'15'!$A$1:$M$42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'2'!$A$1:$M$40</definedName>
    <definedName name="_xlnm.Print_Area" localSheetId="2">'3'!$A$1:$M$40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fullCalcOnLoad="1"/>
</workbook>
</file>

<file path=xl/sharedStrings.xml><?xml version="1.0" encoding="utf-8"?>
<sst xmlns="http://schemas.openxmlformats.org/spreadsheetml/2006/main" count="1543" uniqueCount="262">
  <si>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</si>
  <si>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</si>
  <si>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</si>
  <si>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</si>
  <si>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</si>
  <si>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</si>
  <si>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</si>
  <si>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</si>
  <si>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</si>
  <si>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</si>
  <si>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</si>
  <si>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</si>
  <si>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</si>
  <si>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</si>
  <si>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</si>
  <si>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</si>
  <si>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</si>
  <si>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</si>
  <si>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</si>
  <si>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</si>
  <si>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</si>
  <si>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</si>
  <si>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</si>
  <si>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</si>
  <si>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</si>
  <si>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</si>
  <si>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</si>
  <si>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</si>
  <si>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</si>
  <si>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</si>
  <si>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</si>
  <si>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</si>
  <si>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</si>
  <si>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</si>
  <si>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</si>
  <si>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</si>
  <si>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</si>
  <si>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</si>
  <si>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</si>
  <si>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</si>
  <si>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</si>
  <si>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</si>
  <si>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</si>
  <si>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</si>
  <si>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</si>
  <si>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</si>
  <si>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</si>
  <si>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</si>
  <si>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</si>
  <si>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</si>
  <si>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</si>
  <si>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</si>
  <si>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</si>
  <si>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</si>
  <si>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</si>
  <si>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</si>
  <si>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</si>
  <si>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</si>
  <si>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</si>
  <si>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</si>
  <si>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</si>
  <si>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</si>
  <si>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</si>
  <si>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</si>
  <si>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</si>
  <si>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</si>
  <si>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</si>
  <si>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</si>
  <si>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</si>
  <si>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</si>
  <si>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</si>
  <si>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</si>
  <si>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</si>
  <si>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</si>
  <si>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</si>
  <si>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</si>
  <si>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</si>
  <si>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</si>
  <si>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</si>
  <si>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</si>
  <si>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</si>
  <si>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* Half-time kindergarten pupils are expressed in full-time equivalents in arriving at per pupil costs.</t>
  </si>
  <si>
    <t xml:space="preserve">* Includes expenditures for administration, instruction, student personnel services, health services, transportation services, operation and maintenance of plant, and fixed 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</si>
  <si>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</si>
  <si>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</si>
  <si>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</si>
  <si>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</si>
  <si>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</si>
  <si>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</si>
  <si>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</si>
  <si>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</si>
  <si>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</si>
  <si>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</si>
  <si>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</si>
  <si>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</si>
  <si>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</si>
  <si>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</si>
  <si>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</si>
  <si>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</si>
  <si>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</si>
  <si>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</si>
  <si>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</si>
  <si>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</si>
  <si>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</si>
  <si>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</si>
  <si>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</si>
  <si>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</si>
  <si>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</si>
  <si>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</si>
  <si>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</si>
  <si>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</si>
  <si>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</si>
  <si>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</si>
  <si>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</si>
  <si>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</si>
  <si>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</si>
  <si>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</si>
  <si>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</si>
  <si>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</si>
  <si>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</si>
  <si>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</si>
  <si>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</si>
  <si>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</si>
  <si>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</si>
  <si>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</si>
  <si>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</si>
  <si>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</si>
  <si>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</si>
  <si>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</si>
  <si>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</si>
  <si>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</si>
  <si>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</si>
  <si>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</si>
  <si>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</si>
  <si>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</si>
  <si>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</si>
  <si>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</si>
  <si>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</si>
  <si>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</si>
  <si>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</si>
  <si>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</si>
  <si>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</si>
  <si>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</si>
  <si>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</si>
  <si>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</si>
  <si>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</si>
  <si>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</si>
  <si>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</si>
  <si>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</si>
  <si>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</si>
  <si>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</si>
  <si>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</si>
  <si>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</si>
  <si>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</si>
  <si>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</si>
  <si>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</si>
  <si>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</si>
  <si>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</si>
  <si>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</si>
  <si>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</si>
  <si>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</si>
  <si>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</si>
  <si>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</si>
  <si>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</si>
  <si>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</si>
  <si>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</si>
  <si>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</si>
  <si>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</si>
  <si>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</si>
  <si>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</si>
  <si>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 xml:space="preserve">*Half-day kindergarten and prekindergarten pupils have been equated to full-time. 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</si>
  <si>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</si>
  <si>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</si>
  <si>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</si>
  <si>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</si>
  <si>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</si>
  <si>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</si>
  <si>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</si>
  <si>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</si>
  <si>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</si>
  <si>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</si>
  <si>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</si>
  <si>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</si>
  <si>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</si>
  <si>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</si>
  <si>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</si>
  <si>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</si>
  <si>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</si>
  <si>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</si>
  <si>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</si>
  <si>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</si>
  <si>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</si>
  <si>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</si>
  <si>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</si>
  <si>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</si>
  <si>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</si>
  <si>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</si>
  <si>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</si>
  <si>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</si>
  <si>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</si>
  <si>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</si>
  <si>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</si>
  <si>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</si>
  <si>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</si>
  <si>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FY 2004 Part 2</t>
  </si>
  <si>
    <t>SFD FY 2005 Part 2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</si>
  <si>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</si>
  <si>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</si>
  <si>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</si>
  <si>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</si>
  <si>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</si>
  <si>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</si>
  <si>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</si>
  <si>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</si>
  <si>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</si>
  <si>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Maryland Public Schools:  1996-1997 to 2005-2006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</si>
  <si>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</si>
  <si>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</si>
  <si>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</si>
  <si>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</si>
  <si>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</si>
  <si>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</si>
  <si>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</si>
  <si>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Maryland Public Schools: 1996-1997 to 2005-2006</t>
  </si>
  <si>
    <t>SFD FY 2006 Part 2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</si>
  <si>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</si>
  <si>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</si>
  <si>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</si>
  <si>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</si>
  <si>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</si>
  <si>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</si>
  <si>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</si>
  <si>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>NOTE:  Includes state share of teachers' retirement.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</si>
  <si>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</si>
  <si>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</si>
  <si>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</si>
  <si>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</si>
  <si>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NOTE:  Excludes value of U.S.D.A. commodities.</t>
  </si>
  <si>
    <t>Source: Selected Financial Data Part 2, Table 1.</t>
  </si>
  <si>
    <t>*Includes all local expenditures except tuition payments by one Maryland LEA to another, but excludes State share of teachers' retirement.</t>
  </si>
  <si>
    <t>Expenditures for Prekindergarten to Grade 12 Instruction* in Thousands of Dollars</t>
  </si>
  <si>
    <t>* Excludes expenditures for adult education and equipment.</t>
  </si>
  <si>
    <t>Col U</t>
  </si>
  <si>
    <t>* Outgoing transfers and equipment are not included.</t>
  </si>
  <si>
    <t>* Included Transfers to institutions and other out-of-state placements</t>
  </si>
  <si>
    <t>* Includes salaries for regular and special education teachers, aides, principals, guidance counselors, school psychologists, and others providing instructional services. Excludes Adult Education.</t>
  </si>
  <si>
    <t>* Includes regular and special education for prekindergarten to grade 12. Excludes expenditures for Adult Education and instructional equipment.</t>
  </si>
  <si>
    <t>* Includes regular and special education for prekindergarten to grade 12</t>
  </si>
  <si>
    <t>* Includes regular and special education for prekindergarten to grade 12.</t>
  </si>
  <si>
    <t>** Percent change cannot be calculated.</t>
  </si>
  <si>
    <t>Cost per Pupil Belonging for Prekindergarten to Grade 12 Current Expenses*</t>
  </si>
  <si>
    <t xml:space="preserve">   charges. Excludes adult education, food services, community services, equipment, school construction and debt.</t>
  </si>
  <si>
    <t>Cost per Pupil Belonging for Prekindergarten to Grade 12 Instruction*</t>
  </si>
  <si>
    <t>* Includes local special education costs.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</si>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</sst>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  <numFmt numFmtId="193" formatCode="&quot;$&quot;#,##0.000\ ;\(&quot;$&quot;#,##0.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"/>
    <numFmt numFmtId="199" formatCode="0.000000"/>
    <numFmt numFmtId="200" formatCode="0.0000000"/>
  </numFmts>
  <fonts count="14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16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2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6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9" fontId="4" fillId="0" borderId="5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5" fillId="0" borderId="0" xfId="0" applyFont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5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3" fontId="4" fillId="0" borderId="2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Font="1" applyBorder="1" applyAlignment="1">
      <alignment/>
    </xf>
    <xf numFmtId="166" fontId="4" fillId="0" borderId="0" xfId="19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166" fontId="4" fillId="0" borderId="0" xfId="19" applyFont="1" applyBorder="1" applyAlignment="1">
      <alignment/>
    </xf>
    <xf numFmtId="166" fontId="4" fillId="0" borderId="0" xfId="19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19" applyFont="1" applyAlignment="1">
      <alignment/>
    </xf>
    <xf numFmtId="166" fontId="4" fillId="0" borderId="4" xfId="19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/>
    </xf>
    <xf numFmtId="166" fontId="4" fillId="0" borderId="0" xfId="19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3" fontId="4" fillId="0" borderId="7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4" fontId="0" fillId="0" borderId="0" xfId="15" applyNumberFormat="1" applyBorder="1" applyAlignment="1">
      <alignment horizontal="left"/>
    </xf>
    <xf numFmtId="174" fontId="0" fillId="0" borderId="2" xfId="15" applyNumberFormat="1" applyBorder="1" applyAlignment="1">
      <alignment horizontal="left"/>
    </xf>
    <xf numFmtId="172" fontId="0" fillId="0" borderId="0" xfId="19" applyNumberFormat="1" applyAlignment="1">
      <alignment horizontal="right"/>
    </xf>
    <xf numFmtId="3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15" applyFont="1" applyBorder="1" applyAlignment="1">
      <alignment/>
    </xf>
    <xf numFmtId="176" fontId="4" fillId="0" borderId="0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69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3" fontId="0" fillId="0" borderId="0" xfId="0" applyAlignment="1">
      <alignment horizontal="center"/>
    </xf>
    <xf numFmtId="176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10" fontId="4" fillId="0" borderId="0" xfId="30" applyFont="1" applyAlignment="1">
      <alignment/>
    </xf>
    <xf numFmtId="43" fontId="4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Border="1" applyAlignment="1">
      <alignment/>
    </xf>
    <xf numFmtId="3" fontId="4" fillId="0" borderId="0" xfId="0" applyFont="1" applyAlignment="1">
      <alignment/>
    </xf>
    <xf numFmtId="166" fontId="0" fillId="0" borderId="0" xfId="19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72" fontId="4" fillId="0" borderId="0" xfId="19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19" applyNumberFormat="1" applyFont="1" applyAlignment="1">
      <alignment/>
    </xf>
    <xf numFmtId="174" fontId="4" fillId="0" borderId="2" xfId="15" applyNumberFormat="1" applyFont="1" applyFill="1" applyBorder="1" applyAlignment="1">
      <alignment/>
    </xf>
    <xf numFmtId="3" fontId="4" fillId="0" borderId="3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15" applyNumberFormat="1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4" fontId="4" fillId="0" borderId="0" xfId="15" applyNumberFormat="1" applyFont="1" applyAlignment="1">
      <alignment/>
    </xf>
    <xf numFmtId="3" fontId="4" fillId="0" borderId="0" xfId="0" applyFont="1" applyFill="1" applyBorder="1" applyAlignment="1">
      <alignment horizontal="center"/>
    </xf>
    <xf numFmtId="174" fontId="4" fillId="0" borderId="2" xfId="15" applyNumberFormat="1" applyFont="1" applyBorder="1" applyAlignment="1">
      <alignment/>
    </xf>
    <xf numFmtId="10" fontId="4" fillId="0" borderId="0" xfId="30" applyNumberFormat="1" applyFont="1" applyBorder="1" applyAlignment="1">
      <alignment/>
    </xf>
    <xf numFmtId="171" fontId="4" fillId="0" borderId="0" xfId="30" applyNumberFormat="1" applyFont="1" applyBorder="1" applyAlignment="1">
      <alignment/>
    </xf>
    <xf numFmtId="3" fontId="5" fillId="0" borderId="3" xfId="0" applyFont="1" applyBorder="1" applyAlignment="1">
      <alignment horizontal="center"/>
    </xf>
    <xf numFmtId="3" fontId="5" fillId="0" borderId="0" xfId="0" applyFont="1" applyAlignment="1">
      <alignment/>
    </xf>
    <xf numFmtId="3" fontId="4" fillId="0" borderId="0" xfId="0" applyFont="1" applyAlignment="1">
      <alignment vertical="center"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42" fontId="4" fillId="0" borderId="0" xfId="19" applyNumberFormat="1" applyFont="1" applyFill="1" applyBorder="1" applyAlignment="1">
      <alignment horizontal="center"/>
    </xf>
    <xf numFmtId="0" fontId="4" fillId="0" borderId="0" xfId="29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>
      <alignment/>
      <protection/>
    </xf>
    <xf numFmtId="0" fontId="4" fillId="0" borderId="2" xfId="29" applyFont="1" applyBorder="1" applyAlignment="1">
      <alignment horizontal="centerContinuous"/>
      <protection/>
    </xf>
    <xf numFmtId="0" fontId="4" fillId="0" borderId="0" xfId="29" applyFont="1" applyBorder="1">
      <alignment/>
      <protection/>
    </xf>
    <xf numFmtId="0" fontId="4" fillId="0" borderId="0" xfId="29" applyFont="1" applyAlignment="1">
      <alignment horizontal="center"/>
      <protection/>
    </xf>
    <xf numFmtId="0" fontId="4" fillId="0" borderId="3" xfId="29" applyFont="1" applyBorder="1">
      <alignment/>
      <protection/>
    </xf>
    <xf numFmtId="0" fontId="4" fillId="0" borderId="3" xfId="29" applyFont="1" applyBorder="1" applyAlignment="1">
      <alignment horizontal="center"/>
      <protection/>
    </xf>
    <xf numFmtId="0" fontId="4" fillId="0" borderId="3" xfId="29" applyFont="1" applyBorder="1" applyAlignment="1">
      <alignment horizontal="center"/>
      <protection/>
    </xf>
    <xf numFmtId="170" fontId="4" fillId="0" borderId="0" xfId="17" applyNumberFormat="1" applyFont="1" applyAlignment="1">
      <alignment/>
    </xf>
    <xf numFmtId="3" fontId="4" fillId="0" borderId="0" xfId="29" applyNumberFormat="1" applyFont="1">
      <alignment/>
      <protection/>
    </xf>
    <xf numFmtId="184" fontId="4" fillId="0" borderId="0" xfId="21" applyNumberFormat="1" applyFont="1" applyAlignment="1">
      <alignment/>
    </xf>
    <xf numFmtId="184" fontId="4" fillId="0" borderId="0" xfId="17" applyNumberFormat="1" applyFont="1" applyAlignment="1">
      <alignment/>
    </xf>
    <xf numFmtId="170" fontId="4" fillId="0" borderId="0" xfId="21" applyNumberFormat="1" applyFont="1" applyAlignment="1">
      <alignment/>
    </xf>
    <xf numFmtId="170" fontId="4" fillId="0" borderId="0" xfId="29" applyNumberFormat="1" applyFont="1">
      <alignment/>
      <protection/>
    </xf>
    <xf numFmtId="183" fontId="4" fillId="0" borderId="0" xfId="17" applyNumberFormat="1" applyFont="1" applyBorder="1" applyAlignment="1">
      <alignment/>
    </xf>
    <xf numFmtId="4" fontId="4" fillId="0" borderId="0" xfId="21" applyNumberFormat="1" applyFont="1" applyAlignment="1">
      <alignment/>
    </xf>
    <xf numFmtId="183" fontId="4" fillId="0" borderId="0" xfId="17" applyNumberFormat="1" applyFont="1" applyAlignment="1">
      <alignment/>
    </xf>
    <xf numFmtId="184" fontId="4" fillId="0" borderId="0" xfId="29" applyNumberFormat="1" applyFont="1">
      <alignment/>
      <protection/>
    </xf>
    <xf numFmtId="0" fontId="4" fillId="0" borderId="2" xfId="29" applyFont="1" applyBorder="1">
      <alignment/>
      <protection/>
    </xf>
    <xf numFmtId="184" fontId="4" fillId="0" borderId="2" xfId="21" applyNumberFormat="1" applyFont="1" applyBorder="1" applyAlignment="1">
      <alignment/>
    </xf>
    <xf numFmtId="184" fontId="4" fillId="0" borderId="2" xfId="17" applyNumberFormat="1" applyFont="1" applyBorder="1" applyAlignment="1">
      <alignment/>
    </xf>
    <xf numFmtId="4" fontId="4" fillId="0" borderId="2" xfId="21" applyNumberFormat="1" applyFont="1" applyBorder="1" applyAlignment="1">
      <alignment/>
    </xf>
    <xf numFmtId="170" fontId="4" fillId="0" borderId="2" xfId="29" applyNumberFormat="1" applyFont="1" applyBorder="1">
      <alignment/>
      <protection/>
    </xf>
    <xf numFmtId="170" fontId="4" fillId="0" borderId="2" xfId="17" applyNumberFormat="1" applyFont="1" applyBorder="1" applyAlignment="1">
      <alignment/>
    </xf>
    <xf numFmtId="183" fontId="4" fillId="0" borderId="2" xfId="17" applyNumberFormat="1" applyFont="1" applyBorder="1" applyAlignment="1">
      <alignment/>
    </xf>
    <xf numFmtId="173" fontId="4" fillId="0" borderId="0" xfId="19" applyNumberFormat="1" applyFont="1" applyFill="1" applyAlignment="1">
      <alignment horizontal="right"/>
    </xf>
    <xf numFmtId="174" fontId="4" fillId="0" borderId="0" xfId="15" applyNumberFormat="1" applyFont="1" applyFill="1" applyAlignment="1">
      <alignment/>
    </xf>
    <xf numFmtId="4" fontId="4" fillId="0" borderId="0" xfId="15" applyFont="1" applyBorder="1" applyAlignment="1">
      <alignment horizontal="center"/>
    </xf>
    <xf numFmtId="174" fontId="4" fillId="0" borderId="0" xfId="15" applyNumberFormat="1" applyFont="1" applyBorder="1" applyAlignment="1">
      <alignment horizontal="center" vertical="center"/>
    </xf>
    <xf numFmtId="174" fontId="4" fillId="0" borderId="0" xfId="15" applyNumberFormat="1" applyFont="1" applyFill="1" applyAlignment="1">
      <alignment/>
    </xf>
    <xf numFmtId="174" fontId="10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Fill="1" applyAlignment="1" applyProtection="1">
      <alignment/>
      <protection locked="0"/>
    </xf>
    <xf numFmtId="174" fontId="4" fillId="0" borderId="2" xfId="15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166" fontId="5" fillId="0" borderId="0" xfId="19" applyFont="1" applyAlignment="1">
      <alignment/>
    </xf>
    <xf numFmtId="4" fontId="5" fillId="0" borderId="0" xfId="15" applyFont="1" applyAlignment="1">
      <alignment/>
    </xf>
    <xf numFmtId="174" fontId="4" fillId="0" borderId="0" xfId="15" applyNumberFormat="1" applyFont="1" applyFill="1" applyAlignment="1">
      <alignment/>
    </xf>
    <xf numFmtId="184" fontId="0" fillId="0" borderId="0" xfId="15" applyNumberFormat="1" applyAlignment="1">
      <alignment horizontal="right"/>
    </xf>
    <xf numFmtId="184" fontId="0" fillId="0" borderId="0" xfId="15" applyNumberFormat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Alignment="1">
      <alignment/>
    </xf>
    <xf numFmtId="184" fontId="4" fillId="0" borderId="2" xfId="15" applyNumberFormat="1" applyFont="1" applyBorder="1" applyAlignment="1">
      <alignment/>
    </xf>
    <xf numFmtId="0" fontId="4" fillId="0" borderId="0" xfId="29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174" fontId="4" fillId="0" borderId="2" xfId="15" applyNumberFormat="1" applyFont="1" applyBorder="1" applyAlignment="1">
      <alignment horizontal="center" vertical="center"/>
    </xf>
    <xf numFmtId="170" fontId="4" fillId="0" borderId="0" xfId="15" applyNumberFormat="1" applyAlignment="1">
      <alignment/>
    </xf>
    <xf numFmtId="10" fontId="4" fillId="0" borderId="0" xfId="30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84" fontId="4" fillId="0" borderId="0" xfId="15" applyNumberFormat="1" applyFont="1" applyAlignment="1">
      <alignment horizontal="right"/>
    </xf>
    <xf numFmtId="183" fontId="4" fillId="0" borderId="0" xfId="29" applyNumberFormat="1" applyFont="1">
      <alignment/>
      <protection/>
    </xf>
    <xf numFmtId="171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left" vertical="center"/>
    </xf>
    <xf numFmtId="3" fontId="4" fillId="0" borderId="6" xfId="0" applyFont="1" applyBorder="1" applyAlignment="1">
      <alignment/>
    </xf>
    <xf numFmtId="3" fontId="6" fillId="0" borderId="0" xfId="0" applyFont="1" applyAlignment="1">
      <alignment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8" xfId="0" applyFont="1" applyBorder="1" applyAlignment="1">
      <alignment horizontal="center"/>
    </xf>
    <xf numFmtId="3" fontId="5" fillId="0" borderId="9" xfId="0" applyFont="1" applyBorder="1" applyAlignment="1">
      <alignment/>
    </xf>
    <xf numFmtId="3" fontId="5" fillId="0" borderId="2" xfId="0" applyFont="1" applyBorder="1" applyAlignment="1">
      <alignment/>
    </xf>
    <xf numFmtId="4" fontId="0" fillId="0" borderId="1" xfId="15" applyBorder="1" applyAlignment="1">
      <alignment horizontal="center"/>
    </xf>
    <xf numFmtId="4" fontId="0" fillId="0" borderId="0" xfId="15" applyBorder="1" applyAlignment="1">
      <alignment horizontal="center"/>
    </xf>
    <xf numFmtId="4" fontId="0" fillId="0" borderId="2" xfId="15" applyBorder="1" applyAlignment="1">
      <alignment horizontal="center"/>
    </xf>
    <xf numFmtId="166" fontId="5" fillId="0" borderId="0" xfId="19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19" applyFont="1" applyBorder="1" applyAlignment="1">
      <alignment horizontal="center"/>
    </xf>
    <xf numFmtId="0" fontId="4" fillId="0" borderId="0" xfId="29" applyBorder="1">
      <alignment/>
      <protection/>
    </xf>
    <xf numFmtId="3" fontId="5" fillId="0" borderId="0" xfId="0" applyFont="1" applyAlignment="1">
      <alignment horizontal="centerContinuous" vertical="center"/>
    </xf>
    <xf numFmtId="3" fontId="4" fillId="0" borderId="0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/>
    </xf>
    <xf numFmtId="164" fontId="4" fillId="0" borderId="0" xfId="19" applyNumberFormat="1" applyFont="1" applyAlignment="1">
      <alignment/>
    </xf>
    <xf numFmtId="3" fontId="4" fillId="0" borderId="0" xfId="0" applyFont="1" applyAlignment="1">
      <alignment horizontal="left" vertical="center"/>
    </xf>
    <xf numFmtId="10" fontId="4" fillId="0" borderId="0" xfId="30" applyFont="1" applyAlignment="1">
      <alignment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4" fillId="0" borderId="0" xfId="0" applyFont="1" applyAlignment="1" applyProtection="1">
      <alignment horizontal="centerContinuous" vertical="center"/>
      <protection locked="0"/>
    </xf>
    <xf numFmtId="3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 horizontal="center"/>
    </xf>
    <xf numFmtId="3" fontId="6" fillId="0" borderId="2" xfId="0" applyFont="1" applyBorder="1" applyAlignment="1">
      <alignment horizontal="center"/>
    </xf>
    <xf numFmtId="176" fontId="0" fillId="0" borderId="0" xfId="15" applyNumberFormat="1" applyBorder="1" applyAlignment="1">
      <alignment/>
    </xf>
    <xf numFmtId="4" fontId="0" fillId="0" borderId="0" xfId="15" applyBorder="1" applyAlignment="1">
      <alignment/>
    </xf>
    <xf numFmtId="4" fontId="0" fillId="0" borderId="2" xfId="15" applyBorder="1" applyAlignment="1">
      <alignment/>
    </xf>
    <xf numFmtId="4" fontId="4" fillId="0" borderId="2" xfId="19" applyNumberFormat="1" applyFont="1" applyBorder="1" applyAlignment="1">
      <alignment/>
    </xf>
    <xf numFmtId="174" fontId="4" fillId="0" borderId="0" xfId="17" applyNumberFormat="1" applyFont="1" applyBorder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4" fontId="4" fillId="0" borderId="0" xfId="15" applyNumberFormat="1" applyFont="1" applyBorder="1" applyAlignment="1">
      <alignment horizontal="left"/>
    </xf>
    <xf numFmtId="174" fontId="4" fillId="0" borderId="0" xfId="15" applyNumberFormat="1" applyFont="1" applyFill="1" applyBorder="1" applyAlignment="1">
      <alignment horizontal="left"/>
    </xf>
    <xf numFmtId="174" fontId="4" fillId="0" borderId="2" xfId="15" applyNumberFormat="1" applyFont="1" applyBorder="1" applyAlignment="1">
      <alignment horizontal="left"/>
    </xf>
    <xf numFmtId="164" fontId="5" fillId="0" borderId="0" xfId="19" applyNumberFormat="1" applyFont="1" applyAlignment="1">
      <alignment/>
    </xf>
    <xf numFmtId="3" fontId="4" fillId="0" borderId="0" xfId="0" applyFont="1" applyBorder="1" applyAlignment="1">
      <alignment horizontal="centerContinuous"/>
    </xf>
    <xf numFmtId="3" fontId="5" fillId="0" borderId="0" xfId="0" applyFont="1" applyAlignment="1">
      <alignment horizontal="left"/>
    </xf>
    <xf numFmtId="174" fontId="13" fillId="0" borderId="0" xfId="15" applyNumberFormat="1" applyFont="1" applyFill="1" applyBorder="1" applyAlignment="1">
      <alignment/>
    </xf>
    <xf numFmtId="174" fontId="10" fillId="0" borderId="0" xfId="15" applyNumberFormat="1" applyFont="1" applyAlignment="1">
      <alignment/>
    </xf>
    <xf numFmtId="3" fontId="4" fillId="0" borderId="0" xfId="0" applyFont="1" applyBorder="1" applyAlignment="1">
      <alignment horizontal="centerContinuous"/>
    </xf>
    <xf numFmtId="3" fontId="4" fillId="0" borderId="10" xfId="0" applyFont="1" applyBorder="1" applyAlignment="1">
      <alignment horizontal="center"/>
    </xf>
    <xf numFmtId="3" fontId="4" fillId="0" borderId="11" xfId="0" applyFont="1" applyBorder="1" applyAlignment="1">
      <alignment horizontal="center"/>
    </xf>
    <xf numFmtId="3" fontId="4" fillId="0" borderId="12" xfId="0" applyFont="1" applyBorder="1" applyAlignment="1">
      <alignment horizontal="center"/>
    </xf>
    <xf numFmtId="3" fontId="4" fillId="0" borderId="9" xfId="0" applyFont="1" applyBorder="1" applyAlignment="1">
      <alignment horizontal="center"/>
    </xf>
    <xf numFmtId="3" fontId="4" fillId="0" borderId="13" xfId="0" applyFont="1" applyBorder="1" applyAlignment="1">
      <alignment horizontal="center"/>
    </xf>
    <xf numFmtId="3" fontId="4" fillId="0" borderId="14" xfId="0" applyFont="1" applyBorder="1" applyAlignment="1">
      <alignment horizontal="center"/>
    </xf>
    <xf numFmtId="3" fontId="4" fillId="0" borderId="15" xfId="0" applyFont="1" applyBorder="1" applyAlignment="1">
      <alignment horizontal="center"/>
    </xf>
    <xf numFmtId="3" fontId="4" fillId="0" borderId="16" xfId="0" applyFont="1" applyBorder="1" applyAlignment="1">
      <alignment horizontal="center"/>
    </xf>
    <xf numFmtId="3" fontId="4" fillId="0" borderId="17" xfId="0" applyFont="1" applyBorder="1" applyAlignment="1">
      <alignment horizontal="center"/>
    </xf>
    <xf numFmtId="164" fontId="8" fillId="0" borderId="0" xfId="19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 vertical="center" wrapText="1"/>
    </xf>
    <xf numFmtId="3" fontId="4" fillId="0" borderId="8" xfId="0" applyFont="1" applyBorder="1" applyAlignment="1">
      <alignment/>
    </xf>
    <xf numFmtId="4" fontId="5" fillId="0" borderId="0" xfId="0" applyNumberFormat="1" applyFont="1" applyAlignment="1">
      <alignment/>
    </xf>
    <xf numFmtId="0" fontId="4" fillId="0" borderId="0" xfId="29" applyFont="1" applyAlignment="1">
      <alignment horizontal="left" vertical="center"/>
      <protection/>
    </xf>
    <xf numFmtId="0" fontId="4" fillId="0" borderId="0" xfId="29" applyFont="1" applyAlignment="1">
      <alignment horizontal="left"/>
      <protection/>
    </xf>
    <xf numFmtId="0" fontId="4" fillId="0" borderId="0" xfId="29" applyBorder="1" applyAlignment="1">
      <alignment horizontal="left"/>
      <protection/>
    </xf>
    <xf numFmtId="174" fontId="4" fillId="0" borderId="0" xfId="17" applyNumberFormat="1" applyFont="1" applyBorder="1" applyAlignment="1">
      <alignment horizontal="centerContinuous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15" applyNumberFormat="1" applyFont="1" applyBorder="1" applyAlignment="1">
      <alignment/>
    </xf>
    <xf numFmtId="4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4" fontId="4" fillId="0" borderId="2" xfId="15" applyNumberFormat="1" applyFont="1" applyBorder="1" applyAlignment="1">
      <alignment/>
    </xf>
    <xf numFmtId="4" fontId="4" fillId="0" borderId="0" xfId="15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4" fontId="4" fillId="0" borderId="0" xfId="15" applyNumberFormat="1" applyFont="1" applyBorder="1" applyAlignment="1">
      <alignment/>
    </xf>
    <xf numFmtId="4" fontId="4" fillId="0" borderId="2" xfId="15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2" xfId="15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2" fontId="4" fillId="0" borderId="0" xfId="29" applyNumberFormat="1" applyFont="1">
      <alignment/>
      <protection/>
    </xf>
    <xf numFmtId="2" fontId="4" fillId="0" borderId="2" xfId="29" applyNumberFormat="1" applyFont="1" applyBorder="1">
      <alignment/>
      <protection/>
    </xf>
    <xf numFmtId="174" fontId="10" fillId="0" borderId="0" xfId="15" applyNumberFormat="1" applyFont="1" applyBorder="1" applyAlignment="1">
      <alignment/>
    </xf>
    <xf numFmtId="166" fontId="4" fillId="0" borderId="0" xfId="19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Font="1" applyAlignment="1">
      <alignment horizontal="center" vertical="center"/>
    </xf>
    <xf numFmtId="3" fontId="4" fillId="0" borderId="2" xfId="0" applyFont="1" applyBorder="1" applyAlignment="1">
      <alignment horizontal="center"/>
    </xf>
    <xf numFmtId="3" fontId="4" fillId="0" borderId="8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5" fillId="0" borderId="19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5" fillId="0" borderId="20" xfId="0" applyFont="1" applyBorder="1" applyAlignment="1">
      <alignment horizontal="center"/>
    </xf>
    <xf numFmtId="3" fontId="5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5" fillId="0" borderId="7" xfId="0" applyFont="1" applyBorder="1" applyAlignment="1">
      <alignment horizontal="center"/>
    </xf>
    <xf numFmtId="3" fontId="5" fillId="0" borderId="5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5" fillId="0" borderId="5" xfId="0" applyFont="1" applyBorder="1" applyAlignment="1">
      <alignment horizontal="center"/>
    </xf>
    <xf numFmtId="3" fontId="5" fillId="0" borderId="0" xfId="0" applyFont="1" applyAlignment="1">
      <alignment horizontal="left"/>
    </xf>
    <xf numFmtId="3" fontId="0" fillId="0" borderId="2" xfId="0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0" applyFont="1" applyAlignment="1">
      <alignment horizontal="center" vertical="center"/>
    </xf>
    <xf numFmtId="3" fontId="4" fillId="0" borderId="0" xfId="0" applyFont="1" applyAlignment="1">
      <alignment horizontal="center"/>
    </xf>
    <xf numFmtId="3" fontId="4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</cellXfs>
  <cellStyles count="18">
    <cellStyle name="Normal" xfId="0"/>
    <cellStyle name="Comma" xfId="15"/>
    <cellStyle name="Comma [0]" xfId="16"/>
    <cellStyle name="Comma_SFD2001PT4 TB19" xfId="17"/>
    <cellStyle name="Comma0" xfId="18"/>
    <cellStyle name="Currency" xfId="19"/>
    <cellStyle name="Currency [0]" xfId="20"/>
    <cellStyle name="Currency_SFD2001PT4 TB19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SFD2001PT4 TB19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workbookViewId="0" topLeftCell="AK4">
      <selection activeCell="AQ21" sqref="AQ21"/>
    </sheetView>
  </sheetViews>
  <sheetFormatPr defaultColWidth="9.00390625" defaultRowHeight="15.75"/>
  <cols>
    <col min="1" max="1" width="12.875" style="1" customWidth="1"/>
    <col min="2" max="3" width="12.625" style="1" customWidth="1"/>
    <col min="4" max="4" width="11.25390625" style="1" customWidth="1"/>
    <col min="5" max="11" width="12.625" style="1" customWidth="1"/>
    <col min="12" max="13" width="6.625" style="1" customWidth="1"/>
    <col min="14" max="14" width="10.50390625" style="1" customWidth="1"/>
    <col min="15" max="17" width="9.375" style="1" bestFit="1" customWidth="1"/>
    <col min="18" max="19" width="9.375" style="3" bestFit="1" customWidth="1"/>
    <col min="20" max="21" width="12.00390625" style="3" customWidth="1"/>
    <col min="22" max="22" width="10.125" style="1" customWidth="1"/>
    <col min="23" max="25" width="12.625" style="1" customWidth="1"/>
    <col min="26" max="26" width="5.50390625" style="3" customWidth="1"/>
    <col min="27" max="27" width="12.375" style="0" bestFit="1" customWidth="1"/>
    <col min="29" max="37" width="12.00390625" style="3" customWidth="1"/>
    <col min="38" max="38" width="11.125" style="3" bestFit="1" customWidth="1"/>
    <col min="39" max="16384" width="12.00390625" style="3" customWidth="1"/>
  </cols>
  <sheetData>
    <row r="1" spans="1:25" ht="15.75" customHeight="1">
      <c r="A1" s="289" t="s">
        <v>97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0"/>
      <c r="P1" s="2"/>
      <c r="Q1" s="2"/>
      <c r="V1" s="123"/>
      <c r="W1" s="123"/>
      <c r="X1" s="123"/>
      <c r="Y1" s="123"/>
    </row>
    <row r="2" spans="1:25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P2" s="2"/>
      <c r="Q2" s="2"/>
      <c r="V2" s="123"/>
      <c r="W2" s="123"/>
      <c r="X2" s="123"/>
      <c r="Y2" s="123"/>
    </row>
    <row r="3" spans="1:28" s="134" customFormat="1" ht="15.75">
      <c r="A3" s="123" t="s">
        <v>234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35"/>
      <c r="O3" s="102"/>
      <c r="P3" s="2"/>
      <c r="Q3" s="2"/>
      <c r="V3" s="123"/>
      <c r="W3" s="123"/>
      <c r="X3" s="123"/>
      <c r="Y3" s="123"/>
      <c r="AA3" s="93"/>
      <c r="AB3" s="93"/>
    </row>
    <row r="4" spans="1:25" ht="15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P4" s="2"/>
      <c r="Q4" s="2"/>
      <c r="V4" s="123"/>
      <c r="W4" s="123"/>
      <c r="X4" s="123"/>
      <c r="Y4" s="123"/>
    </row>
    <row r="5" spans="1:25" ht="16.5" thickBot="1">
      <c r="A5" s="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3"/>
      <c r="R5" s="23"/>
      <c r="S5" s="1"/>
      <c r="T5" s="23"/>
      <c r="V5" s="102"/>
      <c r="W5" s="102"/>
      <c r="X5" s="102"/>
      <c r="Y5" s="102"/>
    </row>
    <row r="6" spans="1:25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  <c r="W6" s="5"/>
      <c r="X6" s="5"/>
      <c r="Y6" s="5"/>
    </row>
    <row r="7" spans="12:21" ht="15.75">
      <c r="L7" s="6" t="s">
        <v>34</v>
      </c>
      <c r="M7" s="6"/>
      <c r="S7" s="1"/>
      <c r="T7" s="1"/>
      <c r="U7" s="1"/>
    </row>
    <row r="8" spans="1:40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S8" s="7"/>
      <c r="T8" s="1"/>
      <c r="U8" s="7"/>
      <c r="V8" s="7"/>
      <c r="W8" s="7"/>
      <c r="X8" s="7"/>
      <c r="Y8" s="7"/>
      <c r="AH8" s="21" t="s">
        <v>189</v>
      </c>
      <c r="AJ8" s="21" t="s">
        <v>189</v>
      </c>
      <c r="AL8" s="21" t="s">
        <v>189</v>
      </c>
      <c r="AN8" s="21" t="s">
        <v>189</v>
      </c>
    </row>
    <row r="9" spans="1:40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6" t="s">
        <v>181</v>
      </c>
      <c r="X9" s="36" t="s">
        <v>182</v>
      </c>
      <c r="Y9" s="36" t="s">
        <v>183</v>
      </c>
      <c r="AA9" s="9" t="s">
        <v>106</v>
      </c>
      <c r="AB9" s="9" t="s">
        <v>106</v>
      </c>
      <c r="AC9" s="9" t="s">
        <v>107</v>
      </c>
      <c r="AD9" s="9" t="s">
        <v>107</v>
      </c>
      <c r="AE9" s="133" t="s">
        <v>163</v>
      </c>
      <c r="AF9" s="133" t="s">
        <v>163</v>
      </c>
      <c r="AG9" s="21" t="s">
        <v>171</v>
      </c>
      <c r="AH9" s="21" t="s">
        <v>171</v>
      </c>
      <c r="AI9" s="21" t="s">
        <v>187</v>
      </c>
      <c r="AJ9" s="21" t="s">
        <v>187</v>
      </c>
      <c r="AK9" s="21" t="s">
        <v>197</v>
      </c>
      <c r="AL9" s="21" t="s">
        <v>197</v>
      </c>
      <c r="AM9" s="21" t="s">
        <v>213</v>
      </c>
      <c r="AN9" s="21" t="s">
        <v>213</v>
      </c>
    </row>
    <row r="10" spans="1:40" ht="13.5" thickTop="1">
      <c r="A10" s="7" t="s">
        <v>5</v>
      </c>
      <c r="B10" s="37">
        <f aca="true" t="shared" si="0" ref="B10:K10">SUM(B12:B43)</f>
        <v>6192537</v>
      </c>
      <c r="C10" s="37">
        <f t="shared" si="0"/>
        <v>6508317</v>
      </c>
      <c r="D10" s="37">
        <f t="shared" si="0"/>
        <v>6888280</v>
      </c>
      <c r="E10" s="37">
        <f t="shared" si="0"/>
        <v>7380283</v>
      </c>
      <c r="F10" s="37">
        <f t="shared" si="0"/>
        <v>7970074</v>
      </c>
      <c r="G10" s="37">
        <f t="shared" si="0"/>
        <v>8486727</v>
      </c>
      <c r="H10" s="37">
        <f t="shared" si="0"/>
        <v>8796946</v>
      </c>
      <c r="I10" s="37">
        <f t="shared" si="0"/>
        <v>8871421</v>
      </c>
      <c r="J10" s="37">
        <f t="shared" si="0"/>
        <v>9706868</v>
      </c>
      <c r="K10" s="37">
        <f t="shared" si="0"/>
        <v>10748937</v>
      </c>
      <c r="L10" s="270">
        <f>(K10-J10)*100/J10</f>
        <v>10.735378290917318</v>
      </c>
      <c r="M10" s="58">
        <f>(K10-Y10)*100/Y10</f>
        <v>84.50241044053921</v>
      </c>
      <c r="N10" s="14">
        <f>SUM(N12:N39)</f>
        <v>2708782</v>
      </c>
      <c r="O10" s="14">
        <f aca="true" t="shared" si="1" ref="O10:U10">SUM(O12:O39)</f>
        <v>2924289</v>
      </c>
      <c r="P10" s="14">
        <f t="shared" si="1"/>
        <v>3241664</v>
      </c>
      <c r="Q10" s="14">
        <f t="shared" si="1"/>
        <v>3533901</v>
      </c>
      <c r="R10" s="14">
        <f t="shared" si="1"/>
        <v>3853453</v>
      </c>
      <c r="S10" s="14">
        <f t="shared" si="1"/>
        <v>4337276</v>
      </c>
      <c r="T10" s="14">
        <f t="shared" si="1"/>
        <v>4603016</v>
      </c>
      <c r="U10" s="14">
        <f t="shared" si="1"/>
        <v>4671600</v>
      </c>
      <c r="V10" s="11">
        <f>SUM(V12:V43)</f>
        <v>4971938</v>
      </c>
      <c r="W10" s="37">
        <f>SUM(W12:W43)</f>
        <v>5232243</v>
      </c>
      <c r="X10" s="37">
        <f>SUM(X12:X43)</f>
        <v>5617081</v>
      </c>
      <c r="Y10" s="37">
        <f>SUM(Y12:Y43)</f>
        <v>5825906</v>
      </c>
      <c r="AA10" s="68">
        <f aca="true" t="shared" si="2" ref="AA10:AF10">SUM(AA12:AA43)</f>
        <v>7380281738</v>
      </c>
      <c r="AB10" s="68">
        <f t="shared" si="2"/>
        <v>7380281.738000001</v>
      </c>
      <c r="AC10" s="68">
        <f t="shared" si="2"/>
        <v>7970072299</v>
      </c>
      <c r="AD10" s="68">
        <f t="shared" si="2"/>
        <v>7970072.299000001</v>
      </c>
      <c r="AE10" s="68">
        <f t="shared" si="2"/>
        <v>8486725629</v>
      </c>
      <c r="AF10" s="68">
        <f t="shared" si="2"/>
        <v>8486725.628999999</v>
      </c>
      <c r="AG10" s="3">
        <v>8796944155</v>
      </c>
      <c r="AH10" s="3">
        <f>SUM(AH12:AH39)</f>
        <v>8796944.155</v>
      </c>
      <c r="AI10" s="3">
        <f>SUM(AI12:AI39)</f>
        <v>8871421850</v>
      </c>
      <c r="AJ10" s="3">
        <f>SUM(AJ12:AJ39)</f>
        <v>8871421.850000003</v>
      </c>
      <c r="AK10" s="3">
        <f>SUM(AK12:AK39)</f>
        <v>9706867576</v>
      </c>
      <c r="AL10" s="3">
        <f>AK10/1000</f>
        <v>9706867.576</v>
      </c>
      <c r="AM10" s="3">
        <f>SUM(AM12:AM39)</f>
        <v>10748933765</v>
      </c>
      <c r="AN10" s="3">
        <f>AM10/1000</f>
        <v>10748933.765</v>
      </c>
    </row>
    <row r="11" spans="2:37" ht="15.75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94"/>
      <c r="M11" s="195"/>
      <c r="O11" s="15"/>
      <c r="R11" s="15"/>
      <c r="S11" s="15"/>
      <c r="T11" s="1"/>
      <c r="U11" s="1"/>
      <c r="W11" s="32"/>
      <c r="X11" s="38"/>
      <c r="Y11" s="38"/>
      <c r="AB11" s="3"/>
      <c r="AK11" s="219"/>
    </row>
    <row r="12" spans="1:40" ht="15.75">
      <c r="A12" s="1" t="s">
        <v>6</v>
      </c>
      <c r="B12" s="38">
        <v>77600</v>
      </c>
      <c r="C12" s="38">
        <v>78292</v>
      </c>
      <c r="D12" s="38">
        <v>84288</v>
      </c>
      <c r="E12" s="85">
        <v>88134</v>
      </c>
      <c r="F12" s="85">
        <v>86729</v>
      </c>
      <c r="G12" s="85">
        <v>89967</v>
      </c>
      <c r="H12" s="85">
        <v>96068</v>
      </c>
      <c r="I12" s="85">
        <v>97244</v>
      </c>
      <c r="J12" s="85">
        <v>102199</v>
      </c>
      <c r="K12" s="85">
        <v>121410</v>
      </c>
      <c r="L12" s="270">
        <f>(K12-J12)*100/J12</f>
        <v>18.797639898629146</v>
      </c>
      <c r="M12" s="270">
        <f>(K12-Y12)*100/Y12</f>
        <v>65.64115857402076</v>
      </c>
      <c r="N12" s="15">
        <v>40216</v>
      </c>
      <c r="O12" s="15">
        <v>44130</v>
      </c>
      <c r="P12" s="15">
        <v>43732</v>
      </c>
      <c r="Q12" s="15">
        <v>46910</v>
      </c>
      <c r="R12" s="15">
        <v>50090</v>
      </c>
      <c r="S12" s="15">
        <v>52425</v>
      </c>
      <c r="T12" s="15">
        <v>56429</v>
      </c>
      <c r="U12" s="15">
        <v>67849</v>
      </c>
      <c r="V12" s="15">
        <v>61522</v>
      </c>
      <c r="W12" s="38">
        <v>65486</v>
      </c>
      <c r="X12" s="38">
        <v>69064</v>
      </c>
      <c r="Y12" s="38">
        <v>73297</v>
      </c>
      <c r="AA12">
        <v>88133764</v>
      </c>
      <c r="AB12" s="3">
        <f>AA12/1000</f>
        <v>88133.764</v>
      </c>
      <c r="AC12" s="3">
        <v>86728743</v>
      </c>
      <c r="AD12" s="3">
        <f>AC12/1000</f>
        <v>86728.743</v>
      </c>
      <c r="AE12" s="3">
        <v>89967487</v>
      </c>
      <c r="AF12" s="3">
        <f>AE12/1000</f>
        <v>89967.487</v>
      </c>
      <c r="AG12" s="3">
        <v>96068479</v>
      </c>
      <c r="AH12" s="3">
        <f>AG12/1000</f>
        <v>96068.479</v>
      </c>
      <c r="AI12" s="3">
        <v>97244376</v>
      </c>
      <c r="AJ12" s="3">
        <f>AI12/1000</f>
        <v>97244.376</v>
      </c>
      <c r="AK12" s="64">
        <v>102198899</v>
      </c>
      <c r="AL12" s="3">
        <f>AK12/1000</f>
        <v>102198.899</v>
      </c>
      <c r="AM12" s="3">
        <v>121409731</v>
      </c>
      <c r="AN12" s="3">
        <f>AM12/1000</f>
        <v>121409.731</v>
      </c>
    </row>
    <row r="13" spans="1:40" ht="15.75">
      <c r="A13" s="1" t="s">
        <v>7</v>
      </c>
      <c r="B13" s="38">
        <v>535596</v>
      </c>
      <c r="C13" s="38">
        <v>550200</v>
      </c>
      <c r="D13" s="38">
        <v>564022</v>
      </c>
      <c r="E13" s="85">
        <v>619799</v>
      </c>
      <c r="F13" s="85">
        <v>681194</v>
      </c>
      <c r="G13" s="85">
        <v>712514</v>
      </c>
      <c r="H13" s="85">
        <v>708910</v>
      </c>
      <c r="I13" s="85">
        <v>742213</v>
      </c>
      <c r="J13" s="85">
        <v>774754</v>
      </c>
      <c r="K13" s="85">
        <v>859943</v>
      </c>
      <c r="L13" s="270">
        <f>(K13-J13)*100/J13</f>
        <v>10.99561925462792</v>
      </c>
      <c r="M13" s="270">
        <f>(K13-Y13)*100/Y13</f>
        <v>69.59895078346104</v>
      </c>
      <c r="N13" s="15">
        <v>245797</v>
      </c>
      <c r="O13" s="15">
        <v>266658</v>
      </c>
      <c r="P13" s="15">
        <v>301791</v>
      </c>
      <c r="Q13" s="15">
        <v>317808</v>
      </c>
      <c r="R13" s="15">
        <v>337324</v>
      </c>
      <c r="S13" s="15">
        <v>371453</v>
      </c>
      <c r="T13" s="15">
        <v>403374</v>
      </c>
      <c r="U13" s="15">
        <v>405915</v>
      </c>
      <c r="V13" s="15">
        <v>431330</v>
      </c>
      <c r="W13" s="38">
        <v>452325</v>
      </c>
      <c r="X13" s="38">
        <v>491436</v>
      </c>
      <c r="Y13" s="38">
        <v>507045</v>
      </c>
      <c r="AA13">
        <v>619799327</v>
      </c>
      <c r="AB13" s="3">
        <f>AA13/1000</f>
        <v>619799.327</v>
      </c>
      <c r="AC13" s="3">
        <v>681193515</v>
      </c>
      <c r="AD13" s="3">
        <f>AC13/1000</f>
        <v>681193.515</v>
      </c>
      <c r="AE13" s="3">
        <v>712513879</v>
      </c>
      <c r="AF13" s="3">
        <f>AE13/1000</f>
        <v>712513.879</v>
      </c>
      <c r="AG13" s="3">
        <v>708909564</v>
      </c>
      <c r="AH13" s="3">
        <f>AG13/1000</f>
        <v>708909.564</v>
      </c>
      <c r="AI13" s="3">
        <v>742213137</v>
      </c>
      <c r="AJ13" s="3">
        <f>AI13/1000</f>
        <v>742213.137</v>
      </c>
      <c r="AK13" s="64">
        <v>774754298</v>
      </c>
      <c r="AL13" s="3">
        <f>AK13/1000</f>
        <v>774754.298</v>
      </c>
      <c r="AM13" s="3">
        <v>859943273</v>
      </c>
      <c r="AN13" s="3">
        <f>AM13/1000</f>
        <v>859943.273</v>
      </c>
    </row>
    <row r="14" spans="1:40" ht="15.75">
      <c r="A14" s="1" t="s">
        <v>8</v>
      </c>
      <c r="B14" s="38">
        <v>762726</v>
      </c>
      <c r="C14" s="38">
        <v>830744</v>
      </c>
      <c r="D14" s="38">
        <v>888189</v>
      </c>
      <c r="E14" s="85">
        <v>921335</v>
      </c>
      <c r="F14" s="85">
        <v>997820</v>
      </c>
      <c r="G14" s="85">
        <v>1001470</v>
      </c>
      <c r="H14" s="85">
        <v>1076059</v>
      </c>
      <c r="I14" s="85">
        <v>957892</v>
      </c>
      <c r="J14" s="85">
        <v>1045887</v>
      </c>
      <c r="K14" s="85">
        <v>1105804</v>
      </c>
      <c r="L14" s="270">
        <f>(K14-J14)*100/J14</f>
        <v>5.728821564853565</v>
      </c>
      <c r="M14" s="270">
        <f>(K14-Y14)*100/Y14</f>
        <v>50.81003159934701</v>
      </c>
      <c r="N14" s="15">
        <v>402602</v>
      </c>
      <c r="O14" s="15">
        <v>431547</v>
      </c>
      <c r="P14" s="15">
        <v>453401</v>
      </c>
      <c r="Q14" s="15">
        <v>479472</v>
      </c>
      <c r="R14" s="15">
        <v>533182</v>
      </c>
      <c r="S14" s="15">
        <v>565707</v>
      </c>
      <c r="T14" s="15">
        <v>605864</v>
      </c>
      <c r="U14" s="15">
        <v>621887</v>
      </c>
      <c r="V14" s="15">
        <v>677728</v>
      </c>
      <c r="W14" s="38">
        <v>684951</v>
      </c>
      <c r="X14" s="38">
        <v>698404</v>
      </c>
      <c r="Y14" s="38">
        <v>733243</v>
      </c>
      <c r="AA14">
        <v>921334959</v>
      </c>
      <c r="AB14" s="3">
        <f>AA14/1000</f>
        <v>921334.959</v>
      </c>
      <c r="AC14" s="3">
        <v>997820032</v>
      </c>
      <c r="AD14" s="3">
        <f>AC14/1000</f>
        <v>997820.032</v>
      </c>
      <c r="AE14" s="3">
        <v>1001469957</v>
      </c>
      <c r="AF14" s="3">
        <f>AE14/1000</f>
        <v>1001469.957</v>
      </c>
      <c r="AG14" s="3">
        <v>1076059114</v>
      </c>
      <c r="AH14" s="3">
        <f>AG14/1000</f>
        <v>1076059.114</v>
      </c>
      <c r="AI14" s="3">
        <v>957891794</v>
      </c>
      <c r="AJ14" s="3">
        <f>AI14/1000</f>
        <v>957891.794</v>
      </c>
      <c r="AK14" s="64">
        <v>1045886962</v>
      </c>
      <c r="AL14" s="3">
        <f>AK14/1000</f>
        <v>1045886.962</v>
      </c>
      <c r="AM14" s="3">
        <v>1105804209</v>
      </c>
      <c r="AN14" s="3">
        <f>AM14/1000</f>
        <v>1105804.209</v>
      </c>
    </row>
    <row r="15" spans="1:40" ht="15.75">
      <c r="A15" s="1" t="s">
        <v>9</v>
      </c>
      <c r="B15" s="38">
        <v>760873</v>
      </c>
      <c r="C15" s="38">
        <v>819191</v>
      </c>
      <c r="D15" s="38">
        <v>849132</v>
      </c>
      <c r="E15" s="85">
        <v>898621</v>
      </c>
      <c r="F15" s="85">
        <v>1017545</v>
      </c>
      <c r="G15" s="85">
        <v>1117149</v>
      </c>
      <c r="H15" s="85">
        <v>1102163</v>
      </c>
      <c r="I15" s="85">
        <v>1073412</v>
      </c>
      <c r="J15" s="85">
        <v>1130213</v>
      </c>
      <c r="K15" s="85">
        <v>1239844</v>
      </c>
      <c r="L15" s="270">
        <f>(K15-J15)*100/J15</f>
        <v>9.700029994346199</v>
      </c>
      <c r="M15" s="270">
        <f>(K15-Y15)*100/Y15</f>
        <v>74.68545616956766</v>
      </c>
      <c r="N15" s="15">
        <v>372872</v>
      </c>
      <c r="O15" s="15">
        <v>393270</v>
      </c>
      <c r="P15" s="15">
        <v>420581</v>
      </c>
      <c r="Q15" s="15">
        <v>440904</v>
      </c>
      <c r="R15" s="15">
        <v>494175</v>
      </c>
      <c r="S15" s="15">
        <v>553595</v>
      </c>
      <c r="T15" s="15">
        <v>562784</v>
      </c>
      <c r="U15" s="15">
        <v>586465</v>
      </c>
      <c r="V15" s="15">
        <v>617863</v>
      </c>
      <c r="W15" s="38">
        <v>638189</v>
      </c>
      <c r="X15" s="38">
        <v>704416</v>
      </c>
      <c r="Y15" s="38">
        <v>709758</v>
      </c>
      <c r="AA15">
        <v>898620977</v>
      </c>
      <c r="AB15" s="3">
        <f>AA15/1000</f>
        <v>898620.977</v>
      </c>
      <c r="AC15" s="3">
        <v>1017544972</v>
      </c>
      <c r="AD15" s="3">
        <f>AC15/1000</f>
        <v>1017544.972</v>
      </c>
      <c r="AE15" s="3">
        <v>1117148975</v>
      </c>
      <c r="AF15" s="3">
        <f>AE15/1000</f>
        <v>1117148.975</v>
      </c>
      <c r="AG15" s="3">
        <v>1102162883</v>
      </c>
      <c r="AH15" s="3">
        <f>AG15/1000</f>
        <v>1102162.883</v>
      </c>
      <c r="AI15" s="3">
        <v>1073411984</v>
      </c>
      <c r="AJ15" s="3">
        <f>AI15/1000</f>
        <v>1073411.984</v>
      </c>
      <c r="AK15" s="64">
        <v>1130212709</v>
      </c>
      <c r="AL15" s="3">
        <f>AK15/1000</f>
        <v>1130212.709</v>
      </c>
      <c r="AM15" s="3">
        <v>1239843519</v>
      </c>
      <c r="AN15" s="3">
        <f>AM15/1000</f>
        <v>1239843.519</v>
      </c>
    </row>
    <row r="16" spans="1:40" ht="15.75">
      <c r="A16" s="1" t="s">
        <v>10</v>
      </c>
      <c r="B16" s="38">
        <v>100862</v>
      </c>
      <c r="C16" s="38">
        <v>98672</v>
      </c>
      <c r="D16" s="38">
        <v>110946</v>
      </c>
      <c r="E16" s="85">
        <v>124370</v>
      </c>
      <c r="F16" s="85">
        <v>125232</v>
      </c>
      <c r="G16" s="85">
        <v>137158</v>
      </c>
      <c r="H16" s="85">
        <v>184379</v>
      </c>
      <c r="I16" s="85">
        <v>160638</v>
      </c>
      <c r="J16" s="85">
        <v>173047</v>
      </c>
      <c r="K16" s="85">
        <v>191961</v>
      </c>
      <c r="L16" s="270">
        <f>(K16-J16)*100/J16</f>
        <v>10.929978560737835</v>
      </c>
      <c r="M16" s="270">
        <f>(K16-Y16)*100/Y16</f>
        <v>100.73093452959814</v>
      </c>
      <c r="N16" s="15">
        <v>30406</v>
      </c>
      <c r="O16" s="15">
        <v>36206</v>
      </c>
      <c r="P16" s="15">
        <v>35373</v>
      </c>
      <c r="Q16" s="15">
        <v>44557</v>
      </c>
      <c r="R16" s="15">
        <v>48491</v>
      </c>
      <c r="S16" s="15">
        <v>54724</v>
      </c>
      <c r="T16" s="15">
        <v>71576</v>
      </c>
      <c r="U16" s="15">
        <v>68097</v>
      </c>
      <c r="V16" s="15">
        <v>69997</v>
      </c>
      <c r="W16" s="38">
        <v>92305</v>
      </c>
      <c r="X16" s="38">
        <v>83839</v>
      </c>
      <c r="Y16" s="38">
        <v>95631</v>
      </c>
      <c r="AA16">
        <v>124369630</v>
      </c>
      <c r="AB16" s="3">
        <f>AA16/1000</f>
        <v>124369.63</v>
      </c>
      <c r="AC16" s="3">
        <v>125231801</v>
      </c>
      <c r="AD16" s="3">
        <f>AC16/1000</f>
        <v>125231.801</v>
      </c>
      <c r="AE16" s="3">
        <v>137157725</v>
      </c>
      <c r="AF16" s="3">
        <f>AE16/1000</f>
        <v>137157.725</v>
      </c>
      <c r="AG16" s="3">
        <v>184378688</v>
      </c>
      <c r="AH16" s="3">
        <f>AG16/1000</f>
        <v>184378.688</v>
      </c>
      <c r="AI16" s="3">
        <v>160637666</v>
      </c>
      <c r="AJ16" s="3">
        <f>AI16/1000</f>
        <v>160637.666</v>
      </c>
      <c r="AK16" s="64">
        <v>173047460</v>
      </c>
      <c r="AL16" s="3">
        <f>AK16/1000</f>
        <v>173047.46</v>
      </c>
      <c r="AM16" s="3">
        <v>191960911</v>
      </c>
      <c r="AN16" s="3">
        <f>AM16/1000</f>
        <v>191960.911</v>
      </c>
    </row>
    <row r="17" spans="2:37" ht="15.75">
      <c r="B17" s="38"/>
      <c r="C17" s="38"/>
      <c r="D17" s="38"/>
      <c r="E17" s="85"/>
      <c r="F17" s="85"/>
      <c r="G17" s="85"/>
      <c r="H17" s="85"/>
      <c r="I17" s="85"/>
      <c r="J17" s="85"/>
      <c r="K17" s="85"/>
      <c r="L17" s="270"/>
      <c r="M17" s="270"/>
      <c r="N17" s="15"/>
      <c r="P17" s="15"/>
      <c r="Q17" s="15"/>
      <c r="R17" s="15"/>
      <c r="S17" s="15"/>
      <c r="T17" s="15"/>
      <c r="U17" s="15"/>
      <c r="V17" s="15"/>
      <c r="W17" s="38"/>
      <c r="X17" s="38"/>
      <c r="Y17" s="38"/>
      <c r="AB17" s="3"/>
      <c r="AK17" s="64"/>
    </row>
    <row r="18" spans="1:40" ht="15.75">
      <c r="A18" s="1" t="s">
        <v>11</v>
      </c>
      <c r="B18" s="38">
        <v>35188</v>
      </c>
      <c r="C18" s="38">
        <v>37083</v>
      </c>
      <c r="D18" s="38">
        <v>39270</v>
      </c>
      <c r="E18" s="85">
        <v>41059</v>
      </c>
      <c r="F18" s="85">
        <v>41718</v>
      </c>
      <c r="G18" s="85">
        <v>49947</v>
      </c>
      <c r="H18" s="85">
        <v>47195</v>
      </c>
      <c r="I18" s="85">
        <v>49083</v>
      </c>
      <c r="J18" s="85">
        <v>50512</v>
      </c>
      <c r="K18" s="85">
        <v>57818</v>
      </c>
      <c r="L18" s="270">
        <f>(K18-J18)*100/J18</f>
        <v>14.463889768767817</v>
      </c>
      <c r="M18" s="270">
        <f>(K18-Y18)*100/Y18</f>
        <v>74.91453637876266</v>
      </c>
      <c r="N18" s="15">
        <v>14046</v>
      </c>
      <c r="O18" s="15">
        <v>15132</v>
      </c>
      <c r="P18" s="15">
        <v>16526</v>
      </c>
      <c r="Q18" s="15">
        <v>18279</v>
      </c>
      <c r="R18" s="15">
        <v>20044</v>
      </c>
      <c r="S18" s="15">
        <v>22471</v>
      </c>
      <c r="T18" s="15">
        <v>24085</v>
      </c>
      <c r="U18" s="15">
        <v>25273</v>
      </c>
      <c r="V18" s="15">
        <v>27067</v>
      </c>
      <c r="W18" s="38">
        <v>28462</v>
      </c>
      <c r="X18" s="38">
        <v>32190</v>
      </c>
      <c r="Y18" s="38">
        <v>33055</v>
      </c>
      <c r="AA18">
        <v>41058687</v>
      </c>
      <c r="AB18" s="3">
        <f>AA18/1000</f>
        <v>41058.687</v>
      </c>
      <c r="AC18" s="3">
        <v>41717949</v>
      </c>
      <c r="AD18" s="3">
        <f>AC18/1000</f>
        <v>41717.949</v>
      </c>
      <c r="AE18" s="3">
        <v>49946742</v>
      </c>
      <c r="AF18" s="3">
        <f>AE18/1000</f>
        <v>49946.742</v>
      </c>
      <c r="AG18" s="3">
        <v>47195128</v>
      </c>
      <c r="AH18" s="3">
        <f>AG18/1000</f>
        <v>47195.128</v>
      </c>
      <c r="AI18" s="3">
        <v>49083362</v>
      </c>
      <c r="AJ18" s="3">
        <f>AI18/1000</f>
        <v>49083.362</v>
      </c>
      <c r="AK18" s="64">
        <v>50511597</v>
      </c>
      <c r="AL18" s="3">
        <f>AK18/1000</f>
        <v>50511.597</v>
      </c>
      <c r="AM18" s="3">
        <v>57817717</v>
      </c>
      <c r="AN18" s="3">
        <f>AM18/1000</f>
        <v>57817.717</v>
      </c>
    </row>
    <row r="19" spans="1:40" ht="15.75">
      <c r="A19" s="1" t="s">
        <v>12</v>
      </c>
      <c r="B19" s="38">
        <v>185377</v>
      </c>
      <c r="C19" s="38">
        <v>197513</v>
      </c>
      <c r="D19" s="38">
        <v>208721</v>
      </c>
      <c r="E19" s="85">
        <v>227382</v>
      </c>
      <c r="F19" s="85">
        <v>241049</v>
      </c>
      <c r="G19" s="85">
        <v>230735</v>
      </c>
      <c r="H19" s="85">
        <v>244433</v>
      </c>
      <c r="I19" s="85">
        <v>269083</v>
      </c>
      <c r="J19" s="85">
        <v>283638</v>
      </c>
      <c r="K19" s="85">
        <v>307197</v>
      </c>
      <c r="L19" s="270">
        <f>(K19-J19)*100/J19</f>
        <v>8.30600977302054</v>
      </c>
      <c r="M19" s="270">
        <f>(K19-Y19)*100/Y19</f>
        <v>83.2884852896428</v>
      </c>
      <c r="N19" s="15">
        <v>65616</v>
      </c>
      <c r="O19" s="15">
        <v>69747</v>
      </c>
      <c r="P19" s="15">
        <v>76961</v>
      </c>
      <c r="Q19" s="15">
        <v>87045</v>
      </c>
      <c r="R19" s="15">
        <v>97206</v>
      </c>
      <c r="S19" s="15">
        <v>107803</v>
      </c>
      <c r="T19" s="15">
        <v>126615</v>
      </c>
      <c r="U19" s="15">
        <v>136371</v>
      </c>
      <c r="V19" s="15">
        <v>137367</v>
      </c>
      <c r="W19" s="38">
        <v>147099</v>
      </c>
      <c r="X19" s="38">
        <v>165651</v>
      </c>
      <c r="Y19" s="38">
        <v>167603</v>
      </c>
      <c r="AA19">
        <v>227382303</v>
      </c>
      <c r="AB19" s="3">
        <f>AA19/1000</f>
        <v>227382.303</v>
      </c>
      <c r="AC19" s="3">
        <v>241048911</v>
      </c>
      <c r="AD19" s="3">
        <f>AC19/1000</f>
        <v>241048.911</v>
      </c>
      <c r="AE19" s="3">
        <v>230735282</v>
      </c>
      <c r="AF19" s="3">
        <f>AE19/1000</f>
        <v>230735.282</v>
      </c>
      <c r="AG19" s="3">
        <v>244433303</v>
      </c>
      <c r="AH19" s="3">
        <f>AG19/1000</f>
        <v>244433.303</v>
      </c>
      <c r="AI19" s="3">
        <v>269083450</v>
      </c>
      <c r="AJ19" s="3">
        <f>AI19/1000</f>
        <v>269083.45</v>
      </c>
      <c r="AK19" s="64">
        <v>283638428</v>
      </c>
      <c r="AL19" s="3">
        <f>AK19/1000</f>
        <v>283638.428</v>
      </c>
      <c r="AM19" s="3">
        <v>307196526</v>
      </c>
      <c r="AN19" s="3">
        <f>AM19/1000</f>
        <v>307196.526</v>
      </c>
    </row>
    <row r="20" spans="1:40" ht="15.75">
      <c r="A20" s="1" t="s">
        <v>13</v>
      </c>
      <c r="B20" s="38">
        <v>101723</v>
      </c>
      <c r="C20" s="38">
        <v>106122</v>
      </c>
      <c r="D20" s="38">
        <v>114794</v>
      </c>
      <c r="E20" s="85">
        <v>122521</v>
      </c>
      <c r="F20" s="85">
        <v>132351</v>
      </c>
      <c r="G20" s="85">
        <v>133875</v>
      </c>
      <c r="H20" s="85">
        <v>142445</v>
      </c>
      <c r="I20" s="85">
        <v>146678</v>
      </c>
      <c r="J20" s="85">
        <v>151543</v>
      </c>
      <c r="K20" s="85">
        <v>187210</v>
      </c>
      <c r="L20" s="270">
        <f>(K20-J20)*100/J20</f>
        <v>23.53589410266393</v>
      </c>
      <c r="M20" s="270">
        <f>(K20-Y20)*100/Y20</f>
        <v>91.1203217836944</v>
      </c>
      <c r="N20" s="15">
        <v>38811</v>
      </c>
      <c r="O20" s="15">
        <v>41544</v>
      </c>
      <c r="P20" s="15">
        <v>45594</v>
      </c>
      <c r="Q20" s="15">
        <v>49203</v>
      </c>
      <c r="R20" s="15">
        <v>55304</v>
      </c>
      <c r="S20" s="15">
        <v>82183</v>
      </c>
      <c r="T20" s="15">
        <v>71413</v>
      </c>
      <c r="U20" s="15">
        <v>75427</v>
      </c>
      <c r="V20" s="15">
        <v>72434</v>
      </c>
      <c r="W20" s="38">
        <v>81203</v>
      </c>
      <c r="X20" s="38">
        <v>92745</v>
      </c>
      <c r="Y20" s="38">
        <v>97954</v>
      </c>
      <c r="AA20">
        <v>122521384</v>
      </c>
      <c r="AB20" s="3">
        <f>AA20/1000</f>
        <v>122521.384</v>
      </c>
      <c r="AC20" s="3">
        <v>132350788</v>
      </c>
      <c r="AD20" s="3">
        <f>AC20/1000</f>
        <v>132350.788</v>
      </c>
      <c r="AE20" s="3">
        <v>133875046</v>
      </c>
      <c r="AF20" s="3">
        <f>AE20/1000</f>
        <v>133875.046</v>
      </c>
      <c r="AG20" s="3">
        <v>142444881</v>
      </c>
      <c r="AH20" s="3">
        <f>AG20/1000</f>
        <v>142444.881</v>
      </c>
      <c r="AI20" s="3">
        <v>146677507</v>
      </c>
      <c r="AJ20" s="3">
        <f>AI20/1000</f>
        <v>146677.507</v>
      </c>
      <c r="AK20" s="64">
        <v>151543138</v>
      </c>
      <c r="AL20" s="3">
        <f>AK20/1000</f>
        <v>151543.138</v>
      </c>
      <c r="AM20" s="3">
        <v>187209779</v>
      </c>
      <c r="AN20" s="3">
        <f>AM20/1000</f>
        <v>187209.779</v>
      </c>
    </row>
    <row r="21" spans="1:40" ht="15.75">
      <c r="A21" s="1" t="s">
        <v>14</v>
      </c>
      <c r="B21" s="38">
        <v>155131</v>
      </c>
      <c r="C21" s="38">
        <v>158622</v>
      </c>
      <c r="D21" s="38">
        <v>162290</v>
      </c>
      <c r="E21" s="85">
        <v>178448</v>
      </c>
      <c r="F21" s="85">
        <v>183411</v>
      </c>
      <c r="G21" s="85">
        <v>202299</v>
      </c>
      <c r="H21" s="85">
        <v>213472</v>
      </c>
      <c r="I21" s="85">
        <v>246301</v>
      </c>
      <c r="J21" s="85">
        <v>259082</v>
      </c>
      <c r="K21" s="85">
        <v>310954</v>
      </c>
      <c r="L21" s="270">
        <f>(K21-J21)*100/J21</f>
        <v>20.021460387058923</v>
      </c>
      <c r="M21" s="270">
        <f>(K21-Y21)*100/Y21</f>
        <v>118.24702761128034</v>
      </c>
      <c r="N21" s="15">
        <v>58940</v>
      </c>
      <c r="O21" s="15">
        <v>63642</v>
      </c>
      <c r="P21" s="15">
        <v>74083</v>
      </c>
      <c r="Q21" s="15">
        <v>79906</v>
      </c>
      <c r="R21" s="15">
        <v>91145</v>
      </c>
      <c r="S21" s="15">
        <v>99257</v>
      </c>
      <c r="T21" s="15">
        <v>112191</v>
      </c>
      <c r="U21" s="15">
        <v>127781</v>
      </c>
      <c r="V21" s="15">
        <v>117957</v>
      </c>
      <c r="W21" s="38">
        <v>126190</v>
      </c>
      <c r="X21" s="38">
        <v>146710</v>
      </c>
      <c r="Y21" s="38">
        <v>142478</v>
      </c>
      <c r="AA21">
        <v>178448190</v>
      </c>
      <c r="AB21" s="3">
        <f>AA21/1000</f>
        <v>178448.19</v>
      </c>
      <c r="AC21" s="3">
        <v>183410574</v>
      </c>
      <c r="AD21" s="3">
        <f>AC21/1000</f>
        <v>183410.574</v>
      </c>
      <c r="AE21" s="3">
        <v>202298924</v>
      </c>
      <c r="AF21" s="3">
        <f>AE21/1000</f>
        <v>202298.924</v>
      </c>
      <c r="AG21" s="3">
        <v>213471620</v>
      </c>
      <c r="AH21" s="3">
        <f>AG21/1000</f>
        <v>213471.62</v>
      </c>
      <c r="AI21" s="3">
        <v>246301055</v>
      </c>
      <c r="AJ21" s="3">
        <f>AI21/1000</f>
        <v>246301.055</v>
      </c>
      <c r="AK21" s="64">
        <v>259082308</v>
      </c>
      <c r="AL21" s="3">
        <f>AK21/1000</f>
        <v>259082.308</v>
      </c>
      <c r="AM21" s="3">
        <v>310954251</v>
      </c>
      <c r="AN21" s="3">
        <f>AM21/1000</f>
        <v>310954.251</v>
      </c>
    </row>
    <row r="22" spans="1:40" ht="15.75">
      <c r="A22" s="1" t="s">
        <v>15</v>
      </c>
      <c r="B22" s="38">
        <v>39956</v>
      </c>
      <c r="C22" s="38">
        <v>38844</v>
      </c>
      <c r="D22" s="38">
        <v>38234</v>
      </c>
      <c r="E22" s="85">
        <v>40215</v>
      </c>
      <c r="F22" s="85">
        <v>48463</v>
      </c>
      <c r="G22" s="85">
        <v>44172</v>
      </c>
      <c r="H22" s="85">
        <v>51215</v>
      </c>
      <c r="I22" s="85">
        <v>52920</v>
      </c>
      <c r="J22" s="85">
        <v>50592</v>
      </c>
      <c r="K22" s="85">
        <v>53816</v>
      </c>
      <c r="L22" s="270">
        <f>(K22-J22)*100/J22</f>
        <v>6.372549019607843</v>
      </c>
      <c r="M22" s="270">
        <f>(K22-Y22)*100/Y22</f>
        <v>57.878370053099424</v>
      </c>
      <c r="N22" s="15">
        <v>19055</v>
      </c>
      <c r="O22" s="15">
        <v>19758</v>
      </c>
      <c r="P22" s="15">
        <v>20386</v>
      </c>
      <c r="Q22" s="15">
        <v>21755</v>
      </c>
      <c r="R22" s="15">
        <v>23686</v>
      </c>
      <c r="S22" s="15">
        <v>26044</v>
      </c>
      <c r="T22" s="15">
        <v>27478</v>
      </c>
      <c r="U22" s="15">
        <v>27194</v>
      </c>
      <c r="V22" s="15">
        <v>27751</v>
      </c>
      <c r="W22" s="38">
        <v>30077</v>
      </c>
      <c r="X22" s="38">
        <v>32284</v>
      </c>
      <c r="Y22" s="38">
        <v>34087</v>
      </c>
      <c r="AA22">
        <v>40214954</v>
      </c>
      <c r="AB22" s="3">
        <f>AA22/1000</f>
        <v>40214.954</v>
      </c>
      <c r="AC22" s="3">
        <v>48463211</v>
      </c>
      <c r="AD22" s="3">
        <f>AC22/1000</f>
        <v>48463.211</v>
      </c>
      <c r="AE22" s="3">
        <v>44171501</v>
      </c>
      <c r="AF22" s="3">
        <f>AE22/1000</f>
        <v>44171.501</v>
      </c>
      <c r="AG22" s="3">
        <v>51214929</v>
      </c>
      <c r="AH22" s="3">
        <f>AG22/1000</f>
        <v>51214.929</v>
      </c>
      <c r="AI22" s="3">
        <v>52919904</v>
      </c>
      <c r="AJ22" s="3">
        <f>AI22/1000</f>
        <v>52919.904</v>
      </c>
      <c r="AK22" s="64">
        <v>50592153</v>
      </c>
      <c r="AL22" s="3">
        <f>AK22/1000</f>
        <v>50592.153</v>
      </c>
      <c r="AM22" s="3">
        <v>53815622</v>
      </c>
      <c r="AN22" s="3">
        <f>AM22/1000</f>
        <v>53815.622</v>
      </c>
    </row>
    <row r="23" spans="2:37" ht="15.75">
      <c r="B23" s="38"/>
      <c r="C23" s="38"/>
      <c r="D23" s="38"/>
      <c r="E23" s="85"/>
      <c r="F23" s="85"/>
      <c r="G23" s="85"/>
      <c r="H23" s="85"/>
      <c r="I23" s="85"/>
      <c r="J23" s="85"/>
      <c r="K23" s="85"/>
      <c r="L23" s="270"/>
      <c r="M23" s="270"/>
      <c r="N23" s="15"/>
      <c r="P23" s="15"/>
      <c r="Q23" s="15"/>
      <c r="R23" s="15"/>
      <c r="S23" s="15"/>
      <c r="T23" s="15"/>
      <c r="U23" s="15"/>
      <c r="V23" s="15"/>
      <c r="W23" s="38"/>
      <c r="X23" s="38"/>
      <c r="Y23" s="38"/>
      <c r="AB23" s="3"/>
      <c r="AK23" s="64"/>
    </row>
    <row r="24" spans="1:40" ht="15.75">
      <c r="A24" s="1" t="s">
        <v>16</v>
      </c>
      <c r="B24" s="38">
        <v>223304</v>
      </c>
      <c r="C24" s="38">
        <v>246399</v>
      </c>
      <c r="D24" s="38">
        <v>253938</v>
      </c>
      <c r="E24" s="85">
        <v>295404</v>
      </c>
      <c r="F24" s="85">
        <v>349660</v>
      </c>
      <c r="G24" s="85">
        <v>361907</v>
      </c>
      <c r="H24" s="85">
        <v>356238</v>
      </c>
      <c r="I24" s="85">
        <v>395228</v>
      </c>
      <c r="J24" s="85">
        <v>404724</v>
      </c>
      <c r="K24" s="85">
        <v>461150</v>
      </c>
      <c r="L24" s="270">
        <f>(K24-J24)*100/J24</f>
        <v>13.941846789416985</v>
      </c>
      <c r="M24" s="270">
        <f>(K24-Y24)*100/Y24</f>
        <v>108.04760529830007</v>
      </c>
      <c r="N24" s="15">
        <v>87248</v>
      </c>
      <c r="O24" s="15">
        <v>92511</v>
      </c>
      <c r="P24" s="15">
        <v>99321</v>
      </c>
      <c r="Q24" s="15">
        <v>114024</v>
      </c>
      <c r="R24" s="15">
        <v>126525</v>
      </c>
      <c r="S24" s="15">
        <v>150355</v>
      </c>
      <c r="T24" s="15">
        <v>162739</v>
      </c>
      <c r="U24" s="15">
        <v>167845</v>
      </c>
      <c r="V24" s="15">
        <v>186522</v>
      </c>
      <c r="W24" s="38">
        <v>184573</v>
      </c>
      <c r="X24" s="38">
        <v>223325</v>
      </c>
      <c r="Y24" s="38">
        <v>221656</v>
      </c>
      <c r="AA24">
        <v>295403703</v>
      </c>
      <c r="AB24" s="3">
        <f>AA24/1000</f>
        <v>295403.703</v>
      </c>
      <c r="AC24" s="3">
        <v>349659863</v>
      </c>
      <c r="AD24" s="3">
        <f>AC24/1000</f>
        <v>349659.863</v>
      </c>
      <c r="AE24" s="3">
        <v>361906587</v>
      </c>
      <c r="AF24" s="3">
        <f>AE24/1000</f>
        <v>361906.587</v>
      </c>
      <c r="AG24" s="3">
        <v>356237592</v>
      </c>
      <c r="AH24" s="3">
        <f>AG24/1000</f>
        <v>356237.592</v>
      </c>
      <c r="AI24" s="3">
        <v>395228108</v>
      </c>
      <c r="AJ24" s="3">
        <f>AI24/1000</f>
        <v>395228.108</v>
      </c>
      <c r="AK24" s="64">
        <v>404723701</v>
      </c>
      <c r="AL24" s="3">
        <f>AK24/1000</f>
        <v>404723.701</v>
      </c>
      <c r="AM24" s="3">
        <v>461150391</v>
      </c>
      <c r="AN24" s="3">
        <f>AM24/1000</f>
        <v>461150.391</v>
      </c>
    </row>
    <row r="25" spans="1:40" ht="15.75">
      <c r="A25" s="1" t="s">
        <v>17</v>
      </c>
      <c r="B25" s="38">
        <v>34557</v>
      </c>
      <c r="C25" s="38">
        <v>35762</v>
      </c>
      <c r="D25" s="38">
        <v>37874</v>
      </c>
      <c r="E25" s="85">
        <v>38969</v>
      </c>
      <c r="F25" s="85">
        <v>41581</v>
      </c>
      <c r="G25" s="85">
        <v>41953</v>
      </c>
      <c r="H25" s="85">
        <v>44551</v>
      </c>
      <c r="I25" s="85">
        <v>47026</v>
      </c>
      <c r="J25" s="85">
        <v>48189</v>
      </c>
      <c r="K25" s="85">
        <v>50415</v>
      </c>
      <c r="L25" s="270">
        <f>(K25-J25)*100/J25</f>
        <v>4.619311461121833</v>
      </c>
      <c r="M25" s="270">
        <f>(K25-Y25)*100/Y25</f>
        <v>50.46558825285024</v>
      </c>
      <c r="N25" s="15">
        <v>16961</v>
      </c>
      <c r="O25" s="15">
        <v>21659</v>
      </c>
      <c r="P25" s="15">
        <v>22194</v>
      </c>
      <c r="Q25" s="15">
        <v>21641</v>
      </c>
      <c r="R25" s="15">
        <v>23604</v>
      </c>
      <c r="S25" s="15">
        <v>25695</v>
      </c>
      <c r="T25" s="15">
        <v>34595</v>
      </c>
      <c r="U25" s="15">
        <v>29138</v>
      </c>
      <c r="V25" s="15">
        <v>29145</v>
      </c>
      <c r="W25" s="38">
        <v>30635</v>
      </c>
      <c r="X25" s="38">
        <v>31887</v>
      </c>
      <c r="Y25" s="38">
        <v>33506</v>
      </c>
      <c r="AA25">
        <v>38968532</v>
      </c>
      <c r="AB25" s="3">
        <f>AA25/1000</f>
        <v>38968.532</v>
      </c>
      <c r="AC25" s="3">
        <v>41580699</v>
      </c>
      <c r="AD25" s="3">
        <f>AC25/1000</f>
        <v>41580.699</v>
      </c>
      <c r="AE25" s="3">
        <v>41953306</v>
      </c>
      <c r="AF25" s="3">
        <f>AE25/1000</f>
        <v>41953.306</v>
      </c>
      <c r="AG25" s="3">
        <v>44550907</v>
      </c>
      <c r="AH25" s="3">
        <f>AG25/1000</f>
        <v>44550.907</v>
      </c>
      <c r="AI25" s="3">
        <v>47026421</v>
      </c>
      <c r="AJ25" s="3">
        <f>AI25/1000</f>
        <v>47026.421</v>
      </c>
      <c r="AK25" s="64">
        <v>48189144</v>
      </c>
      <c r="AL25" s="3">
        <f>AK25/1000</f>
        <v>48189.144</v>
      </c>
      <c r="AM25" s="3">
        <v>50414535</v>
      </c>
      <c r="AN25" s="3">
        <f>AM25/1000</f>
        <v>50414.535</v>
      </c>
    </row>
    <row r="26" spans="1:40" ht="15.75">
      <c r="A26" s="1" t="s">
        <v>18</v>
      </c>
      <c r="B26" s="38">
        <v>247380</v>
      </c>
      <c r="C26" s="38">
        <v>257645</v>
      </c>
      <c r="D26" s="38">
        <v>269878</v>
      </c>
      <c r="E26" s="85">
        <v>284858</v>
      </c>
      <c r="F26" s="85">
        <v>305934</v>
      </c>
      <c r="G26" s="85">
        <v>324907</v>
      </c>
      <c r="H26" s="85">
        <v>376881</v>
      </c>
      <c r="I26" s="85">
        <v>353437</v>
      </c>
      <c r="J26" s="85">
        <v>388072</v>
      </c>
      <c r="K26" s="85">
        <v>466082</v>
      </c>
      <c r="L26" s="270">
        <f>(K26-J26)*100/J26</f>
        <v>20.101939846214105</v>
      </c>
      <c r="M26" s="270">
        <f>(K26-Y26)*100/Y26</f>
        <v>100.37057736124844</v>
      </c>
      <c r="N26" s="15">
        <v>93303</v>
      </c>
      <c r="O26" s="15">
        <v>100389</v>
      </c>
      <c r="P26" s="15">
        <v>109732</v>
      </c>
      <c r="Q26" s="15">
        <v>118746</v>
      </c>
      <c r="R26" s="15">
        <v>130251</v>
      </c>
      <c r="S26" s="15">
        <v>147359</v>
      </c>
      <c r="T26" s="15">
        <v>164684</v>
      </c>
      <c r="U26" s="15">
        <v>171805</v>
      </c>
      <c r="V26" s="15">
        <v>193514</v>
      </c>
      <c r="W26" s="38">
        <v>207522</v>
      </c>
      <c r="X26" s="38">
        <v>219788</v>
      </c>
      <c r="Y26" s="38">
        <v>232610</v>
      </c>
      <c r="AA26">
        <v>284858060</v>
      </c>
      <c r="AB26" s="3">
        <f>AA26/1000</f>
        <v>284858.06</v>
      </c>
      <c r="AC26" s="3">
        <v>305934323</v>
      </c>
      <c r="AD26" s="3">
        <f>AC26/1000</f>
        <v>305934.323</v>
      </c>
      <c r="AE26" s="3">
        <v>324906965</v>
      </c>
      <c r="AF26" s="3">
        <f>AE26/1000</f>
        <v>324906.965</v>
      </c>
      <c r="AG26" s="3">
        <v>376880895</v>
      </c>
      <c r="AH26" s="3">
        <f>AG26/1000</f>
        <v>376880.895</v>
      </c>
      <c r="AI26" s="3">
        <v>353436943</v>
      </c>
      <c r="AJ26" s="3">
        <f>AI26/1000</f>
        <v>353436.943</v>
      </c>
      <c r="AK26" s="64">
        <v>388071986</v>
      </c>
      <c r="AL26" s="3">
        <f>AK26/1000</f>
        <v>388071.986</v>
      </c>
      <c r="AM26" s="3">
        <v>466081500</v>
      </c>
      <c r="AN26" s="3">
        <f>AM26/1000</f>
        <v>466081.5</v>
      </c>
    </row>
    <row r="27" spans="1:40" ht="15.75">
      <c r="A27" s="1" t="s">
        <v>19</v>
      </c>
      <c r="B27" s="38">
        <v>331368</v>
      </c>
      <c r="C27" s="38">
        <v>338686</v>
      </c>
      <c r="D27" s="38">
        <v>370505</v>
      </c>
      <c r="E27" s="85">
        <v>390008</v>
      </c>
      <c r="F27" s="85">
        <v>475042</v>
      </c>
      <c r="G27" s="85">
        <v>493745</v>
      </c>
      <c r="H27" s="85">
        <v>493284</v>
      </c>
      <c r="I27" s="85">
        <v>560045</v>
      </c>
      <c r="J27" s="85">
        <v>605047</v>
      </c>
      <c r="K27" s="85">
        <v>693251</v>
      </c>
      <c r="L27" s="270">
        <f>(K27-J27)*100/J27</f>
        <v>14.578041044745284</v>
      </c>
      <c r="M27" s="270">
        <f>(K27-Y27)*100/Y27</f>
        <v>111.82651792234617</v>
      </c>
      <c r="N27" s="15">
        <v>108609</v>
      </c>
      <c r="O27" s="15">
        <v>124104</v>
      </c>
      <c r="P27" s="15">
        <v>142534</v>
      </c>
      <c r="Q27" s="15">
        <v>159984</v>
      </c>
      <c r="R27" s="15">
        <v>185947</v>
      </c>
      <c r="S27" s="15">
        <v>212475</v>
      </c>
      <c r="T27" s="15">
        <v>240167</v>
      </c>
      <c r="U27" s="15">
        <v>243113</v>
      </c>
      <c r="V27" s="15">
        <v>259138</v>
      </c>
      <c r="W27" s="38">
        <v>279507</v>
      </c>
      <c r="X27" s="38">
        <v>303793</v>
      </c>
      <c r="Y27" s="38">
        <v>327273</v>
      </c>
      <c r="AA27">
        <v>390007967</v>
      </c>
      <c r="AB27" s="3">
        <f>AA27/1000</f>
        <v>390007.967</v>
      </c>
      <c r="AC27" s="3">
        <v>475042394</v>
      </c>
      <c r="AD27" s="3">
        <f>AC27/1000</f>
        <v>475042.394</v>
      </c>
      <c r="AE27" s="3">
        <v>493744658</v>
      </c>
      <c r="AF27" s="3">
        <f>AE27/1000</f>
        <v>493744.658</v>
      </c>
      <c r="AG27" s="3">
        <v>493283944</v>
      </c>
      <c r="AH27" s="3">
        <f>AG27/1000</f>
        <v>493283.944</v>
      </c>
      <c r="AI27" s="3">
        <v>560044608</v>
      </c>
      <c r="AJ27" s="3">
        <f>AI27/1000</f>
        <v>560044.608</v>
      </c>
      <c r="AK27" s="64">
        <v>605047047</v>
      </c>
      <c r="AL27" s="3">
        <f>AK27/1000</f>
        <v>605047.047</v>
      </c>
      <c r="AM27" s="3">
        <v>693250501</v>
      </c>
      <c r="AN27" s="3">
        <f>AM27/1000</f>
        <v>693250.501</v>
      </c>
    </row>
    <row r="28" spans="1:40" ht="15.75">
      <c r="A28" s="1" t="s">
        <v>20</v>
      </c>
      <c r="B28" s="38">
        <v>20487</v>
      </c>
      <c r="C28" s="38">
        <v>21847</v>
      </c>
      <c r="D28" s="38">
        <v>23100</v>
      </c>
      <c r="E28" s="85">
        <v>23824</v>
      </c>
      <c r="F28" s="85">
        <v>25269</v>
      </c>
      <c r="G28" s="85">
        <v>28095</v>
      </c>
      <c r="H28" s="85">
        <v>28046</v>
      </c>
      <c r="I28" s="85">
        <v>26864</v>
      </c>
      <c r="J28" s="85">
        <v>29959</v>
      </c>
      <c r="K28" s="85">
        <v>35060</v>
      </c>
      <c r="L28" s="270">
        <f>(K28-J28)*100/J28</f>
        <v>17.02660302413298</v>
      </c>
      <c r="M28" s="270">
        <f>(K28-Y28)*100/Y28</f>
        <v>72.94790844514601</v>
      </c>
      <c r="N28" s="15">
        <v>9077</v>
      </c>
      <c r="O28" s="15">
        <v>10200</v>
      </c>
      <c r="P28" s="15">
        <v>10898</v>
      </c>
      <c r="Q28" s="15">
        <v>11428</v>
      </c>
      <c r="R28" s="15">
        <v>13146</v>
      </c>
      <c r="S28" s="15">
        <v>14534</v>
      </c>
      <c r="T28" s="15">
        <v>15329</v>
      </c>
      <c r="U28" s="15">
        <v>16373</v>
      </c>
      <c r="V28" s="15">
        <v>16530</v>
      </c>
      <c r="W28" s="38">
        <v>18705</v>
      </c>
      <c r="X28" s="38">
        <v>19408</v>
      </c>
      <c r="Y28" s="38">
        <v>20272</v>
      </c>
      <c r="AA28">
        <v>23824378</v>
      </c>
      <c r="AB28" s="3">
        <f>AA28/1000</f>
        <v>23824.378</v>
      </c>
      <c r="AC28" s="3">
        <v>25269456</v>
      </c>
      <c r="AD28" s="3">
        <f>AC28/1000</f>
        <v>25269.456</v>
      </c>
      <c r="AE28" s="3">
        <v>28094780</v>
      </c>
      <c r="AF28" s="3">
        <f>AE28/1000</f>
        <v>28094.78</v>
      </c>
      <c r="AG28" s="3">
        <v>28046280</v>
      </c>
      <c r="AH28" s="3">
        <f>AG28/1000</f>
        <v>28046.28</v>
      </c>
      <c r="AI28" s="3">
        <v>26863814</v>
      </c>
      <c r="AJ28" s="3">
        <f>AI28/1000</f>
        <v>26863.814</v>
      </c>
      <c r="AK28" s="64">
        <v>29958571</v>
      </c>
      <c r="AL28" s="3">
        <f>AK28/1000</f>
        <v>29958.571</v>
      </c>
      <c r="AM28" s="3">
        <v>35059741</v>
      </c>
      <c r="AN28" s="3">
        <f>AM28/1000</f>
        <v>35059.741</v>
      </c>
    </row>
    <row r="29" spans="2:37" ht="15.75">
      <c r="B29" s="38"/>
      <c r="C29" s="38"/>
      <c r="D29" s="38"/>
      <c r="E29" s="85"/>
      <c r="F29" s="85"/>
      <c r="G29" s="85"/>
      <c r="H29" s="85"/>
      <c r="I29" s="85"/>
      <c r="J29" s="85"/>
      <c r="K29" s="85"/>
      <c r="L29" s="270"/>
      <c r="M29" s="270"/>
      <c r="N29" s="15"/>
      <c r="O29" s="15"/>
      <c r="P29" s="15"/>
      <c r="Q29" s="15"/>
      <c r="R29" s="15"/>
      <c r="S29" s="15"/>
      <c r="T29" s="15"/>
      <c r="U29" s="15"/>
      <c r="V29" s="15"/>
      <c r="W29" s="38"/>
      <c r="X29" s="38"/>
      <c r="Y29" s="38"/>
      <c r="AB29" s="3"/>
      <c r="AK29" s="64"/>
    </row>
    <row r="30" spans="1:40" ht="15.75">
      <c r="A30" s="1" t="s">
        <v>21</v>
      </c>
      <c r="B30" s="38">
        <v>1213594</v>
      </c>
      <c r="C30" s="38">
        <v>1215231</v>
      </c>
      <c r="D30" s="38">
        <v>1274645</v>
      </c>
      <c r="E30" s="85">
        <v>1418909</v>
      </c>
      <c r="F30" s="85">
        <v>1461746</v>
      </c>
      <c r="G30" s="85">
        <v>1637600</v>
      </c>
      <c r="H30" s="85">
        <v>1688146</v>
      </c>
      <c r="I30" s="85">
        <v>1717507</v>
      </c>
      <c r="J30" s="85">
        <v>1949597</v>
      </c>
      <c r="K30" s="85">
        <v>2121250</v>
      </c>
      <c r="L30" s="270">
        <f>(K30-J30)*100/J30</f>
        <v>8.804537553145598</v>
      </c>
      <c r="M30" s="270">
        <f>(K30-Y30)*100/Y30</f>
        <v>87.33910033074127</v>
      </c>
      <c r="N30" s="15">
        <v>497437</v>
      </c>
      <c r="O30" s="15">
        <v>529557</v>
      </c>
      <c r="P30" s="15">
        <v>649037</v>
      </c>
      <c r="Q30" s="15">
        <v>715716</v>
      </c>
      <c r="R30" s="15">
        <v>755075</v>
      </c>
      <c r="S30" s="15">
        <v>894849</v>
      </c>
      <c r="T30" s="15">
        <v>888191</v>
      </c>
      <c r="U30" s="15">
        <v>866525</v>
      </c>
      <c r="V30" s="15">
        <v>943519</v>
      </c>
      <c r="W30" s="38">
        <v>996233</v>
      </c>
      <c r="X30" s="38">
        <v>1040473</v>
      </c>
      <c r="Y30" s="38">
        <v>1132305</v>
      </c>
      <c r="AA30">
        <v>1418908737</v>
      </c>
      <c r="AB30" s="3">
        <f>AA30/1000</f>
        <v>1418908.737</v>
      </c>
      <c r="AC30" s="3">
        <v>1461746322</v>
      </c>
      <c r="AD30" s="3">
        <f>AC30/1000</f>
        <v>1461746.322</v>
      </c>
      <c r="AE30" s="3">
        <v>1637599508</v>
      </c>
      <c r="AF30" s="3">
        <f>AE30/1000</f>
        <v>1637599.508</v>
      </c>
      <c r="AG30" s="3">
        <v>1688146434</v>
      </c>
      <c r="AH30" s="3">
        <f>AG30/1000</f>
        <v>1688146.434</v>
      </c>
      <c r="AI30" s="3">
        <v>1717506559</v>
      </c>
      <c r="AJ30" s="3">
        <f>AI30/1000</f>
        <v>1717506.559</v>
      </c>
      <c r="AK30" s="64">
        <v>1949596730</v>
      </c>
      <c r="AL30" s="3">
        <f>AK30/1000</f>
        <v>1949596.73</v>
      </c>
      <c r="AM30" s="3">
        <v>2121249762</v>
      </c>
      <c r="AN30" s="3">
        <f>AM30/1000</f>
        <v>2121249.762</v>
      </c>
    </row>
    <row r="31" spans="1:40" ht="15.75">
      <c r="A31" s="1" t="s">
        <v>22</v>
      </c>
      <c r="B31" s="38">
        <v>862397</v>
      </c>
      <c r="C31" s="38">
        <v>957375</v>
      </c>
      <c r="D31" s="38">
        <v>1034618</v>
      </c>
      <c r="E31" s="85">
        <v>1090606</v>
      </c>
      <c r="F31" s="85">
        <v>1154200</v>
      </c>
      <c r="G31" s="85">
        <v>1240972</v>
      </c>
      <c r="H31" s="85">
        <v>1292812</v>
      </c>
      <c r="I31" s="85">
        <v>1323694</v>
      </c>
      <c r="J31" s="85">
        <v>1502700</v>
      </c>
      <c r="K31" s="85">
        <v>1636394</v>
      </c>
      <c r="L31" s="270">
        <f>(K31-J31)*100/J31</f>
        <v>8.896918879350503</v>
      </c>
      <c r="M31" s="270">
        <f>(K31-Y31)*100/Y31</f>
        <v>98.07060800056163</v>
      </c>
      <c r="N31" s="15">
        <v>403765</v>
      </c>
      <c r="O31" s="15">
        <v>438759</v>
      </c>
      <c r="P31" s="15">
        <v>479793</v>
      </c>
      <c r="Q31" s="15">
        <v>543449</v>
      </c>
      <c r="R31" s="15">
        <v>581601</v>
      </c>
      <c r="S31" s="15">
        <v>637644</v>
      </c>
      <c r="T31" s="15">
        <v>678857</v>
      </c>
      <c r="U31" s="15">
        <v>667315</v>
      </c>
      <c r="V31" s="15">
        <v>716045</v>
      </c>
      <c r="W31" s="38">
        <v>766266</v>
      </c>
      <c r="X31" s="38">
        <v>831351</v>
      </c>
      <c r="Y31" s="38">
        <v>826167</v>
      </c>
      <c r="AA31">
        <v>1090606222</v>
      </c>
      <c r="AB31" s="3">
        <f>AA31/1000</f>
        <v>1090606.222</v>
      </c>
      <c r="AC31" s="3">
        <v>1154200359</v>
      </c>
      <c r="AD31" s="3">
        <f>AC31/1000</f>
        <v>1154200.359</v>
      </c>
      <c r="AE31" s="3">
        <v>1240971760</v>
      </c>
      <c r="AF31" s="3">
        <f>AE31/1000</f>
        <v>1240971.76</v>
      </c>
      <c r="AG31" s="3">
        <v>1292811992</v>
      </c>
      <c r="AH31" s="3">
        <f>AG31/1000</f>
        <v>1292811.992</v>
      </c>
      <c r="AI31" s="3">
        <v>1323694410</v>
      </c>
      <c r="AJ31" s="3">
        <f>AI31/1000</f>
        <v>1323694.41</v>
      </c>
      <c r="AK31" s="64">
        <v>1502699791</v>
      </c>
      <c r="AL31" s="3">
        <f>AK31/1000</f>
        <v>1502699.791</v>
      </c>
      <c r="AM31" s="3">
        <v>1636393743</v>
      </c>
      <c r="AN31" s="3">
        <f>AM31/1000</f>
        <v>1636393.743</v>
      </c>
    </row>
    <row r="32" spans="1:40" ht="15.75">
      <c r="A32" s="1" t="s">
        <v>23</v>
      </c>
      <c r="B32" s="38">
        <v>51200</v>
      </c>
      <c r="C32" s="38">
        <v>60333</v>
      </c>
      <c r="D32" s="38">
        <v>57843</v>
      </c>
      <c r="E32" s="85">
        <v>54864</v>
      </c>
      <c r="F32" s="85">
        <v>67190</v>
      </c>
      <c r="G32" s="85">
        <v>66235</v>
      </c>
      <c r="H32" s="85">
        <v>81588</v>
      </c>
      <c r="I32" s="85">
        <v>78086</v>
      </c>
      <c r="J32" s="85">
        <v>74220</v>
      </c>
      <c r="K32" s="85">
        <v>85967</v>
      </c>
      <c r="L32" s="270">
        <f>(K32-J32)*100/J32</f>
        <v>15.82727027755322</v>
      </c>
      <c r="M32" s="270">
        <f>(K32-Y32)*100/Y32</f>
        <v>103.00611613573571</v>
      </c>
      <c r="N32" s="15">
        <v>16679</v>
      </c>
      <c r="O32" s="15">
        <v>19717</v>
      </c>
      <c r="P32" s="15">
        <v>21114</v>
      </c>
      <c r="Q32" s="15">
        <v>22766</v>
      </c>
      <c r="R32" s="15">
        <v>24162</v>
      </c>
      <c r="S32" s="15">
        <v>28581</v>
      </c>
      <c r="T32" s="15">
        <v>37309</v>
      </c>
      <c r="U32" s="15">
        <v>35214</v>
      </c>
      <c r="V32" s="15">
        <v>35226</v>
      </c>
      <c r="W32" s="38">
        <v>37868</v>
      </c>
      <c r="X32" s="38">
        <v>44542</v>
      </c>
      <c r="Y32" s="38">
        <v>42347</v>
      </c>
      <c r="AA32">
        <v>54863644</v>
      </c>
      <c r="AB32" s="3">
        <f>AA32/1000</f>
        <v>54863.644</v>
      </c>
      <c r="AC32" s="3">
        <v>67189601</v>
      </c>
      <c r="AD32" s="3">
        <f>AC32/1000</f>
        <v>67189.601</v>
      </c>
      <c r="AE32" s="3">
        <v>66235213</v>
      </c>
      <c r="AF32" s="3">
        <f>AE32/1000</f>
        <v>66235.213</v>
      </c>
      <c r="AG32" s="3">
        <v>81587679</v>
      </c>
      <c r="AH32" s="3">
        <f>AG32/1000</f>
        <v>81587.679</v>
      </c>
      <c r="AI32" s="3">
        <v>78086251</v>
      </c>
      <c r="AJ32" s="3">
        <f>AI32/1000</f>
        <v>78086.251</v>
      </c>
      <c r="AK32" s="64">
        <v>74219760</v>
      </c>
      <c r="AL32" s="3">
        <f>AK32/1000</f>
        <v>74219.76</v>
      </c>
      <c r="AM32" s="3">
        <v>85967183</v>
      </c>
      <c r="AN32" s="3">
        <f>AM32/1000</f>
        <v>85967.183</v>
      </c>
    </row>
    <row r="33" spans="1:40" ht="15.75">
      <c r="A33" s="1" t="s">
        <v>24</v>
      </c>
      <c r="B33" s="38">
        <v>107660</v>
      </c>
      <c r="C33" s="38">
        <v>112297</v>
      </c>
      <c r="D33" s="38">
        <v>119745</v>
      </c>
      <c r="E33" s="85">
        <v>129322</v>
      </c>
      <c r="F33" s="85">
        <v>135038</v>
      </c>
      <c r="G33" s="85">
        <v>158477</v>
      </c>
      <c r="H33" s="85">
        <v>147632</v>
      </c>
      <c r="I33" s="85">
        <v>152063</v>
      </c>
      <c r="J33" s="85">
        <v>165771</v>
      </c>
      <c r="K33" s="85">
        <v>187534</v>
      </c>
      <c r="L33" s="270">
        <f>(K33-J33)*100/J33</f>
        <v>13.128351762370981</v>
      </c>
      <c r="M33" s="270">
        <f>(K33-Y33)*100/Y33</f>
        <v>102.24750606632516</v>
      </c>
      <c r="N33" s="15">
        <v>39635</v>
      </c>
      <c r="O33" s="15">
        <v>42096</v>
      </c>
      <c r="P33" s="15">
        <v>47050</v>
      </c>
      <c r="Q33" s="15">
        <v>51717</v>
      </c>
      <c r="R33" s="15">
        <v>58344</v>
      </c>
      <c r="S33" s="15">
        <v>61969</v>
      </c>
      <c r="T33" s="15">
        <v>70136</v>
      </c>
      <c r="U33" s="15">
        <v>79809</v>
      </c>
      <c r="V33" s="15">
        <v>82925</v>
      </c>
      <c r="W33" s="38">
        <v>83711</v>
      </c>
      <c r="X33" s="38">
        <v>84891</v>
      </c>
      <c r="Y33" s="38">
        <v>92725</v>
      </c>
      <c r="AA33">
        <v>129322048</v>
      </c>
      <c r="AB33" s="3">
        <f>AA33/1000</f>
        <v>129322.048</v>
      </c>
      <c r="AC33" s="3">
        <v>135037910</v>
      </c>
      <c r="AD33" s="3">
        <f>AC33/1000</f>
        <v>135037.91</v>
      </c>
      <c r="AE33" s="3">
        <v>158477458</v>
      </c>
      <c r="AF33" s="3">
        <f>AE33/1000</f>
        <v>158477.458</v>
      </c>
      <c r="AG33" s="3">
        <v>147631560</v>
      </c>
      <c r="AH33" s="3">
        <f>AG33/1000</f>
        <v>147631.56</v>
      </c>
      <c r="AI33" s="3">
        <v>152063221</v>
      </c>
      <c r="AJ33" s="3">
        <f>AI33/1000</f>
        <v>152063.221</v>
      </c>
      <c r="AK33" s="64">
        <v>165771425</v>
      </c>
      <c r="AL33" s="3">
        <f>AK33/1000</f>
        <v>165771.425</v>
      </c>
      <c r="AM33" s="3">
        <v>187534332</v>
      </c>
      <c r="AN33" s="3">
        <f>AM33/1000</f>
        <v>187534.332</v>
      </c>
    </row>
    <row r="34" spans="1:40" ht="15.75">
      <c r="A34" s="1" t="s">
        <v>25</v>
      </c>
      <c r="B34" s="38">
        <v>24917</v>
      </c>
      <c r="C34" s="38">
        <v>25084</v>
      </c>
      <c r="D34" s="38">
        <v>25351</v>
      </c>
      <c r="E34" s="85">
        <v>26133</v>
      </c>
      <c r="F34" s="85">
        <v>26872</v>
      </c>
      <c r="G34" s="85">
        <v>27993</v>
      </c>
      <c r="H34" s="85">
        <v>29284</v>
      </c>
      <c r="I34" s="85">
        <v>29776</v>
      </c>
      <c r="J34" s="85">
        <v>32443</v>
      </c>
      <c r="K34" s="85">
        <v>39650</v>
      </c>
      <c r="L34" s="270">
        <f>(K34-J34)*100/J34</f>
        <v>22.214345159202292</v>
      </c>
      <c r="M34" s="270">
        <f>(K34-Y34)*100/Y34</f>
        <v>64.57745309646356</v>
      </c>
      <c r="N34" s="15">
        <v>10996</v>
      </c>
      <c r="O34" s="15">
        <v>11873</v>
      </c>
      <c r="P34" s="15">
        <v>12636</v>
      </c>
      <c r="Q34" s="15">
        <v>13723</v>
      </c>
      <c r="R34" s="15">
        <v>15797</v>
      </c>
      <c r="S34" s="15">
        <v>16903</v>
      </c>
      <c r="T34" s="15">
        <v>18099</v>
      </c>
      <c r="U34" s="15">
        <v>18097</v>
      </c>
      <c r="V34" s="15">
        <v>19414</v>
      </c>
      <c r="W34" s="38">
        <v>20331</v>
      </c>
      <c r="X34" s="38">
        <v>21504</v>
      </c>
      <c r="Y34" s="38">
        <v>24092</v>
      </c>
      <c r="AA34">
        <v>26133445</v>
      </c>
      <c r="AB34" s="3">
        <f>AA34/1000</f>
        <v>26133.445</v>
      </c>
      <c r="AC34" s="3">
        <v>26871577</v>
      </c>
      <c r="AD34" s="3">
        <f>AC34/1000</f>
        <v>26871.577</v>
      </c>
      <c r="AE34" s="3">
        <v>27993216</v>
      </c>
      <c r="AF34" s="3">
        <f>AE34/1000</f>
        <v>27993.216</v>
      </c>
      <c r="AG34" s="3">
        <v>29283953</v>
      </c>
      <c r="AH34" s="3">
        <f>AG34/1000</f>
        <v>29283.953</v>
      </c>
      <c r="AI34" s="3">
        <v>29775925</v>
      </c>
      <c r="AJ34" s="3">
        <f>AI34/1000</f>
        <v>29775.925</v>
      </c>
      <c r="AK34" s="64">
        <v>32442652</v>
      </c>
      <c r="AL34" s="3">
        <f>AK34/1000</f>
        <v>32442.652</v>
      </c>
      <c r="AM34" s="3">
        <v>39650451</v>
      </c>
      <c r="AN34" s="3">
        <f>AM34/1000</f>
        <v>39650.451</v>
      </c>
    </row>
    <row r="35" spans="2:37" ht="15.75">
      <c r="B35" s="38"/>
      <c r="C35" s="38"/>
      <c r="D35" s="38"/>
      <c r="E35" s="85"/>
      <c r="F35" s="85"/>
      <c r="G35" s="85"/>
      <c r="H35" s="85"/>
      <c r="I35" s="85"/>
      <c r="J35" s="85"/>
      <c r="K35" s="85"/>
      <c r="L35" s="270"/>
      <c r="M35" s="270"/>
      <c r="O35" s="15"/>
      <c r="P35" s="15"/>
      <c r="R35" s="15"/>
      <c r="S35" s="15"/>
      <c r="T35" s="15"/>
      <c r="U35" s="15"/>
      <c r="V35" s="15"/>
      <c r="W35" s="38"/>
      <c r="X35" s="38"/>
      <c r="Y35" s="38"/>
      <c r="AB35" s="3"/>
      <c r="AK35" s="64"/>
    </row>
    <row r="36" spans="1:40" ht="15.75">
      <c r="A36" s="1" t="s">
        <v>26</v>
      </c>
      <c r="B36" s="38">
        <v>35255</v>
      </c>
      <c r="C36" s="38">
        <v>34685</v>
      </c>
      <c r="D36" s="38">
        <v>34231</v>
      </c>
      <c r="E36" s="85">
        <v>33549</v>
      </c>
      <c r="F36" s="85">
        <v>39166</v>
      </c>
      <c r="G36" s="85">
        <v>41303</v>
      </c>
      <c r="H36" s="85">
        <v>40821</v>
      </c>
      <c r="I36" s="85">
        <v>37911</v>
      </c>
      <c r="J36" s="85">
        <v>44451</v>
      </c>
      <c r="K36" s="85">
        <v>48224</v>
      </c>
      <c r="L36" s="270">
        <f>(K36-J36)*100/J36</f>
        <v>8.487998020292007</v>
      </c>
      <c r="M36" s="270">
        <f>(K36-Y36)*100/Y36</f>
        <v>62.12472684484787</v>
      </c>
      <c r="N36" s="15">
        <v>13502</v>
      </c>
      <c r="O36" s="15">
        <v>14178</v>
      </c>
      <c r="P36" s="15">
        <v>14839</v>
      </c>
      <c r="Q36" s="15">
        <v>17209</v>
      </c>
      <c r="R36" s="15">
        <v>18468</v>
      </c>
      <c r="S36" s="15">
        <v>22385</v>
      </c>
      <c r="T36" s="15">
        <v>27255</v>
      </c>
      <c r="U36" s="15">
        <v>24286</v>
      </c>
      <c r="V36" s="15">
        <v>23465</v>
      </c>
      <c r="W36" s="38">
        <v>28789</v>
      </c>
      <c r="X36" s="38">
        <v>28246</v>
      </c>
      <c r="Y36" s="38">
        <v>29745</v>
      </c>
      <c r="AA36">
        <v>33548537</v>
      </c>
      <c r="AB36" s="3">
        <f>AA36/1000</f>
        <v>33548.537</v>
      </c>
      <c r="AC36" s="3">
        <v>39165548</v>
      </c>
      <c r="AD36" s="3">
        <f>AC36/1000</f>
        <v>39165.548</v>
      </c>
      <c r="AE36" s="3">
        <v>41302720</v>
      </c>
      <c r="AF36" s="3">
        <f>AE36/1000</f>
        <v>41302.72</v>
      </c>
      <c r="AG36" s="3">
        <v>40820872</v>
      </c>
      <c r="AH36" s="3">
        <f>AG36/1000</f>
        <v>40820.872</v>
      </c>
      <c r="AI36" s="3">
        <v>37911275</v>
      </c>
      <c r="AJ36" s="3">
        <f>AI36/1000</f>
        <v>37911.275</v>
      </c>
      <c r="AK36" s="64">
        <v>44450545</v>
      </c>
      <c r="AL36" s="3">
        <f>AK36/1000</f>
        <v>44450.545</v>
      </c>
      <c r="AM36" s="3">
        <v>48223911</v>
      </c>
      <c r="AN36" s="3">
        <f>AM36/1000</f>
        <v>48223.911</v>
      </c>
    </row>
    <row r="37" spans="1:40" ht="15.75">
      <c r="A37" s="1" t="s">
        <v>27</v>
      </c>
      <c r="B37" s="38">
        <v>133691</v>
      </c>
      <c r="C37" s="38">
        <v>136896</v>
      </c>
      <c r="D37" s="38">
        <v>144029</v>
      </c>
      <c r="E37" s="85">
        <v>155275</v>
      </c>
      <c r="F37" s="85">
        <v>155567</v>
      </c>
      <c r="G37" s="85">
        <v>160302</v>
      </c>
      <c r="H37" s="85">
        <v>163128</v>
      </c>
      <c r="I37" s="85">
        <v>167258</v>
      </c>
      <c r="J37" s="85">
        <v>195692</v>
      </c>
      <c r="K37" s="85">
        <v>222960</v>
      </c>
      <c r="L37" s="270">
        <f>(K37-J37)*100/J37</f>
        <v>13.934141405882714</v>
      </c>
      <c r="M37" s="270">
        <f>(K37-Y37)*100/Y37</f>
        <v>79.03975716889771</v>
      </c>
      <c r="N37" s="15">
        <v>63400</v>
      </c>
      <c r="O37" s="15">
        <v>69534</v>
      </c>
      <c r="P37" s="15">
        <v>74080</v>
      </c>
      <c r="Q37" s="15">
        <v>81377</v>
      </c>
      <c r="R37" s="15">
        <v>85996</v>
      </c>
      <c r="S37" s="15">
        <v>94108</v>
      </c>
      <c r="T37" s="15">
        <v>101700</v>
      </c>
      <c r="U37" s="15">
        <v>106274</v>
      </c>
      <c r="V37" s="15">
        <v>116212</v>
      </c>
      <c r="W37" s="38">
        <v>114433</v>
      </c>
      <c r="X37" s="38">
        <v>125303</v>
      </c>
      <c r="Y37" s="38">
        <v>124531</v>
      </c>
      <c r="AA37">
        <v>155274906</v>
      </c>
      <c r="AB37" s="3">
        <f>AA37/1000</f>
        <v>155274.906</v>
      </c>
      <c r="AC37" s="3">
        <v>155567344</v>
      </c>
      <c r="AD37" s="3">
        <f>AC37/1000</f>
        <v>155567.344</v>
      </c>
      <c r="AE37" s="3">
        <v>160301528</v>
      </c>
      <c r="AF37" s="3">
        <f>AE37/1000</f>
        <v>160301.528</v>
      </c>
      <c r="AG37" s="3">
        <v>163127760</v>
      </c>
      <c r="AH37" s="3">
        <f>AG37/1000</f>
        <v>163127.76</v>
      </c>
      <c r="AI37" s="3">
        <v>167258205</v>
      </c>
      <c r="AJ37" s="3">
        <f>AI37/1000</f>
        <v>167258.205</v>
      </c>
      <c r="AK37" s="64">
        <v>195691817</v>
      </c>
      <c r="AL37" s="3">
        <f>AK37/1000</f>
        <v>195691.817</v>
      </c>
      <c r="AM37" s="3">
        <v>222959888</v>
      </c>
      <c r="AN37" s="3">
        <f>AM37/1000</f>
        <v>222959.888</v>
      </c>
    </row>
    <row r="38" spans="1:40" ht="15.75">
      <c r="A38" s="1" t="s">
        <v>28</v>
      </c>
      <c r="B38" s="38">
        <v>97738</v>
      </c>
      <c r="C38" s="38">
        <v>98556</v>
      </c>
      <c r="D38" s="38">
        <v>126669</v>
      </c>
      <c r="E38" s="85">
        <v>111711</v>
      </c>
      <c r="F38" s="85">
        <v>115354</v>
      </c>
      <c r="G38" s="85">
        <v>118450</v>
      </c>
      <c r="H38" s="85">
        <v>125587</v>
      </c>
      <c r="I38" s="85">
        <v>121321</v>
      </c>
      <c r="J38" s="85">
        <v>155384</v>
      </c>
      <c r="K38" s="85">
        <v>167853</v>
      </c>
      <c r="L38" s="270">
        <f>(K38-J38)*100/J38</f>
        <v>8.024635741131648</v>
      </c>
      <c r="M38" s="270">
        <f>(K38-Y38)*100/Y38</f>
        <v>107.47181845149807</v>
      </c>
      <c r="N38" s="15">
        <v>39222</v>
      </c>
      <c r="O38" s="15">
        <v>44137</v>
      </c>
      <c r="P38" s="15">
        <v>43510</v>
      </c>
      <c r="Q38" s="15">
        <v>48993</v>
      </c>
      <c r="R38" s="15">
        <v>54917</v>
      </c>
      <c r="S38" s="15">
        <v>61929</v>
      </c>
      <c r="T38" s="15">
        <v>67035</v>
      </c>
      <c r="U38" s="15">
        <v>66835</v>
      </c>
      <c r="V38" s="15">
        <v>71025</v>
      </c>
      <c r="W38" s="38">
        <v>76567</v>
      </c>
      <c r="X38" s="38">
        <v>83378</v>
      </c>
      <c r="Y38" s="38">
        <v>80904</v>
      </c>
      <c r="AA38">
        <v>111710883</v>
      </c>
      <c r="AB38" s="3">
        <f>AA38/1000</f>
        <v>111710.883</v>
      </c>
      <c r="AC38" s="3">
        <v>115353865</v>
      </c>
      <c r="AD38" s="3">
        <f>AC38/1000</f>
        <v>115353.865</v>
      </c>
      <c r="AE38" s="3">
        <v>118450279</v>
      </c>
      <c r="AF38" s="3">
        <f>AE38/1000</f>
        <v>118450.279</v>
      </c>
      <c r="AG38" s="3">
        <v>125586955</v>
      </c>
      <c r="AH38" s="3">
        <f>AG38/1000</f>
        <v>125586.955</v>
      </c>
      <c r="AI38" s="3">
        <v>121321127</v>
      </c>
      <c r="AJ38" s="3">
        <f>AI38/1000</f>
        <v>121321.127</v>
      </c>
      <c r="AK38" s="64">
        <v>155384380</v>
      </c>
      <c r="AL38" s="3">
        <f>AK38/1000</f>
        <v>155384.38</v>
      </c>
      <c r="AM38" s="3">
        <v>167852505</v>
      </c>
      <c r="AN38" s="3">
        <f>AM38/1000</f>
        <v>167852.505</v>
      </c>
    </row>
    <row r="39" spans="1:40" ht="15.75">
      <c r="A39" s="18" t="s">
        <v>29</v>
      </c>
      <c r="B39" s="38">
        <v>53957</v>
      </c>
      <c r="C39" s="38">
        <v>52238</v>
      </c>
      <c r="D39" s="38">
        <v>55968</v>
      </c>
      <c r="E39" s="196">
        <v>64967</v>
      </c>
      <c r="F39" s="197">
        <v>61943</v>
      </c>
      <c r="G39" s="197">
        <v>65502</v>
      </c>
      <c r="H39" s="197">
        <v>62609</v>
      </c>
      <c r="I39" s="197">
        <v>65741</v>
      </c>
      <c r="J39" s="197">
        <v>89152</v>
      </c>
      <c r="K39" s="197">
        <v>97190</v>
      </c>
      <c r="L39" s="270">
        <f>(K39-J39)*100/J39</f>
        <v>9.016062455132808</v>
      </c>
      <c r="M39" s="270">
        <f>(K39-Y39)*100/Y39</f>
        <v>122.80042180551098</v>
      </c>
      <c r="N39" s="15">
        <v>20587</v>
      </c>
      <c r="O39" s="15">
        <v>23941</v>
      </c>
      <c r="P39" s="15">
        <v>26498</v>
      </c>
      <c r="Q39" s="15">
        <v>27289</v>
      </c>
      <c r="R39" s="15">
        <v>28973</v>
      </c>
      <c r="S39" s="15">
        <v>32828</v>
      </c>
      <c r="T39" s="15">
        <v>35111</v>
      </c>
      <c r="U39" s="15">
        <v>36712</v>
      </c>
      <c r="V39" s="15">
        <v>38242</v>
      </c>
      <c r="W39" s="38">
        <v>40816</v>
      </c>
      <c r="X39" s="38">
        <v>42453</v>
      </c>
      <c r="Y39" s="38">
        <v>43622</v>
      </c>
      <c r="AA39">
        <v>64966501</v>
      </c>
      <c r="AB39" s="3">
        <f>AA39/1000</f>
        <v>64966.501</v>
      </c>
      <c r="AC39" s="3">
        <v>61942542</v>
      </c>
      <c r="AD39" s="3">
        <f>AC39/1000</f>
        <v>61942.542</v>
      </c>
      <c r="AE39" s="3">
        <v>65502133</v>
      </c>
      <c r="AF39" s="3">
        <f>AE39/1000</f>
        <v>65502.133</v>
      </c>
      <c r="AG39" s="3">
        <v>62608743</v>
      </c>
      <c r="AH39" s="3">
        <f>AG39/1000</f>
        <v>62608.743</v>
      </c>
      <c r="AI39" s="3">
        <v>65740748</v>
      </c>
      <c r="AJ39" s="3">
        <f>AI39/1000</f>
        <v>65740.748</v>
      </c>
      <c r="AK39" s="220">
        <v>89152075</v>
      </c>
      <c r="AL39" s="3">
        <f>AK39/1000</f>
        <v>89152.075</v>
      </c>
      <c r="AM39" s="3">
        <v>97189784</v>
      </c>
      <c r="AN39" s="3">
        <f>AM39/1000</f>
        <v>97189.784</v>
      </c>
    </row>
    <row r="40" spans="1:25" ht="15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V40" s="19"/>
      <c r="W40" s="20"/>
      <c r="X40" s="19"/>
      <c r="Y40" s="19"/>
    </row>
    <row r="41" spans="12:23" ht="15.75">
      <c r="L41" s="16"/>
      <c r="W41" s="15"/>
    </row>
    <row r="42" spans="1:23" ht="15.75">
      <c r="A42" s="3"/>
      <c r="P42" s="15"/>
      <c r="Q42" s="15"/>
      <c r="V42" s="15"/>
      <c r="W42" s="15"/>
    </row>
    <row r="43" spans="16:23" ht="15.75">
      <c r="P43" s="15"/>
      <c r="Q43" s="15"/>
      <c r="V43" s="15"/>
      <c r="W43" s="15"/>
    </row>
    <row r="44" spans="16:23" ht="15.75">
      <c r="P44" s="15"/>
      <c r="Q44" s="15"/>
      <c r="V44" s="15"/>
      <c r="W44" s="15"/>
    </row>
    <row r="45" spans="16:23" ht="15.75">
      <c r="P45" s="15"/>
      <c r="Q45" s="15"/>
      <c r="V45" s="15"/>
      <c r="W45" s="15"/>
    </row>
    <row r="46" spans="16:23" ht="15.75">
      <c r="P46" s="15"/>
      <c r="Q46" s="15"/>
      <c r="V46" s="15"/>
      <c r="W46" s="15"/>
    </row>
    <row r="47" spans="22:23" ht="15.75">
      <c r="V47" s="15"/>
      <c r="W47" s="15"/>
    </row>
    <row r="48" spans="22:23" ht="15.75">
      <c r="V48" s="15"/>
      <c r="W48" s="15"/>
    </row>
    <row r="49" spans="22:23" ht="15.75">
      <c r="V49" s="15"/>
      <c r="W49" s="15"/>
    </row>
    <row r="50" spans="22:23" ht="15.75">
      <c r="V50" s="15"/>
      <c r="W50" s="15"/>
    </row>
    <row r="51" spans="22:23" ht="15.75">
      <c r="V51" s="15"/>
      <c r="W51" s="15"/>
    </row>
    <row r="52" ht="15.75">
      <c r="W52" s="15"/>
    </row>
    <row r="53" ht="15.75">
      <c r="W53" s="15"/>
    </row>
  </sheetData>
  <sheetProtection password="CAF5" sheet="1" objects="1" scenarios="1"/>
  <mergeCells count="1">
    <mergeCell ref="A1:M1"/>
  </mergeCells>
  <printOptions horizontalCentered="1"/>
  <pageMargins left="0.34" right="0.36" top="1" bottom="0.93" header="0.5" footer="0.52"/>
  <pageSetup fitToHeight="1" fitToWidth="1" horizontalDpi="600" verticalDpi="600" orientation="landscape" scale="76" r:id="rId1"/>
  <headerFooter alignWithMargins="0">
    <oddFooter>&amp;L&amp;"Lucida Sans,Italic"&amp;10MSDE-DBS 10 / 2007&amp;C- 1 -&amp;R&amp;"Lucida Sans,Italic"&amp;10Selected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F14">
      <selection activeCell="K10" sqref="K10"/>
    </sheetView>
  </sheetViews>
  <sheetFormatPr defaultColWidth="9.00390625" defaultRowHeight="15.75"/>
  <cols>
    <col min="1" max="1" width="12.875" style="32" customWidth="1"/>
    <col min="2" max="11" width="12.625" style="32" customWidth="1"/>
    <col min="12" max="12" width="9.25390625" style="32" customWidth="1"/>
    <col min="13" max="13" width="7.125" style="32" customWidth="1"/>
    <col min="14" max="14" width="2.625" style="32" customWidth="1"/>
    <col min="15" max="15" width="10.25390625" style="32" bestFit="1" customWidth="1"/>
    <col min="16" max="23" width="10.125" style="32" customWidth="1"/>
    <col min="24" max="24" width="11.75390625" style="32" customWidth="1"/>
    <col min="25" max="25" width="11.625" style="32" bestFit="1" customWidth="1"/>
    <col min="26" max="27" width="11.625" style="32" customWidth="1"/>
    <col min="28" max="28" width="12.875" style="32" customWidth="1"/>
    <col min="29" max="31" width="10.125" style="32" customWidth="1"/>
    <col min="32" max="32" width="11.75390625" style="32" customWidth="1"/>
    <col min="33" max="33" width="10.125" style="32" customWidth="1"/>
    <col min="34" max="34" width="11.625" style="32" bestFit="1" customWidth="1"/>
    <col min="35" max="35" width="10.75390625" style="32" bestFit="1" customWidth="1"/>
    <col min="36" max="36" width="12.00390625" style="32" bestFit="1" customWidth="1"/>
    <col min="37" max="57" width="10.125" style="32" customWidth="1"/>
    <col min="58" max="16384" width="10.00390625" style="32" customWidth="1"/>
  </cols>
  <sheetData>
    <row r="1" spans="1:15" ht="15.75" customHeight="1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1"/>
      <c r="O1" s="31"/>
    </row>
    <row r="2" spans="1:15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3"/>
      <c r="O2" s="262"/>
    </row>
    <row r="3" spans="1:13" s="93" customFormat="1" ht="12.75" customHeight="1">
      <c r="A3" s="124" t="s">
        <v>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9" ht="12.75" customHeight="1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R4" s="33"/>
      <c r="S4" s="33"/>
    </row>
    <row r="5" spans="1:36" ht="13.5" thickBot="1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AB5" s="42" t="s">
        <v>187</v>
      </c>
      <c r="AD5" s="303" t="s">
        <v>197</v>
      </c>
      <c r="AE5" s="303"/>
      <c r="AF5" s="303"/>
      <c r="AH5" s="303" t="s">
        <v>213</v>
      </c>
      <c r="AI5" s="303"/>
      <c r="AJ5" s="303"/>
    </row>
    <row r="6" spans="1:34" ht="13.5" thickTop="1">
      <c r="A6" s="34"/>
      <c r="B6" s="34"/>
      <c r="C6" s="34"/>
      <c r="D6" s="34"/>
      <c r="E6" s="34"/>
      <c r="F6" s="34"/>
      <c r="G6" s="5"/>
      <c r="H6" s="5"/>
      <c r="I6" s="5"/>
      <c r="J6" s="5"/>
      <c r="K6" s="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5"/>
      <c r="AB6" s="32" t="s">
        <v>160</v>
      </c>
      <c r="AD6" s="32" t="s">
        <v>160</v>
      </c>
      <c r="AH6" s="32" t="s">
        <v>160</v>
      </c>
    </row>
    <row r="7" spans="1:36" ht="12.75">
      <c r="A7" s="35"/>
      <c r="B7" s="35"/>
      <c r="G7" s="1"/>
      <c r="H7" s="1"/>
      <c r="I7" s="1"/>
      <c r="J7" s="1"/>
      <c r="K7" s="1"/>
      <c r="L7" s="304" t="s">
        <v>34</v>
      </c>
      <c r="M7" s="304"/>
      <c r="N7" s="251"/>
      <c r="P7" s="35"/>
      <c r="Q7" s="35"/>
      <c r="R7" s="35"/>
      <c r="S7" s="35"/>
      <c r="U7" s="35"/>
      <c r="V7" s="35"/>
      <c r="W7" s="35"/>
      <c r="X7" s="35"/>
      <c r="Y7" s="35"/>
      <c r="Z7" s="35"/>
      <c r="AA7" s="35"/>
      <c r="AB7" s="32" t="s">
        <v>161</v>
      </c>
      <c r="AD7" s="252"/>
      <c r="AE7" s="258"/>
      <c r="AF7" s="253"/>
      <c r="AH7" s="252"/>
      <c r="AI7" s="258"/>
      <c r="AJ7" s="253"/>
    </row>
    <row r="8" spans="1:36" ht="12.75">
      <c r="A8" s="35"/>
      <c r="B8" s="35"/>
      <c r="C8" s="35"/>
      <c r="D8" s="35"/>
      <c r="E8" s="35"/>
      <c r="F8" s="35"/>
      <c r="G8" s="7"/>
      <c r="H8" s="7"/>
      <c r="I8" s="7"/>
      <c r="J8" s="7"/>
      <c r="K8" s="7"/>
      <c r="L8" s="41" t="s">
        <v>87</v>
      </c>
      <c r="M8" s="41" t="s">
        <v>88</v>
      </c>
      <c r="N8" s="41"/>
      <c r="P8" s="35"/>
      <c r="Q8" s="35"/>
      <c r="R8" s="35"/>
      <c r="S8" s="35"/>
      <c r="U8" s="35"/>
      <c r="V8" s="35"/>
      <c r="W8" s="35"/>
      <c r="X8" s="35"/>
      <c r="Y8" s="35"/>
      <c r="Z8" s="35"/>
      <c r="AA8" s="35"/>
      <c r="AB8" s="32" t="s">
        <v>162</v>
      </c>
      <c r="AD8" s="254" t="s">
        <v>202</v>
      </c>
      <c r="AE8" s="259"/>
      <c r="AF8" s="255" t="s">
        <v>114</v>
      </c>
      <c r="AH8" s="254" t="s">
        <v>202</v>
      </c>
      <c r="AI8" s="259"/>
      <c r="AJ8" s="255" t="s">
        <v>114</v>
      </c>
    </row>
    <row r="9" spans="1:36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42"/>
      <c r="O9" s="42" t="s">
        <v>51</v>
      </c>
      <c r="P9" s="42" t="s">
        <v>35</v>
      </c>
      <c r="Q9" s="42" t="s">
        <v>31</v>
      </c>
      <c r="R9" s="46" t="s">
        <v>64</v>
      </c>
      <c r="S9" s="42" t="s">
        <v>32</v>
      </c>
      <c r="T9" s="42" t="s">
        <v>72</v>
      </c>
      <c r="U9" s="42" t="s">
        <v>67</v>
      </c>
      <c r="V9" s="42" t="s">
        <v>68</v>
      </c>
      <c r="W9" s="42" t="s">
        <v>69</v>
      </c>
      <c r="X9" s="36" t="s">
        <v>181</v>
      </c>
      <c r="Y9" s="36" t="s">
        <v>182</v>
      </c>
      <c r="Z9" s="36" t="s">
        <v>183</v>
      </c>
      <c r="AA9" s="35"/>
      <c r="AD9" s="256" t="s">
        <v>203</v>
      </c>
      <c r="AE9" s="260" t="s">
        <v>130</v>
      </c>
      <c r="AF9" s="257" t="s">
        <v>162</v>
      </c>
      <c r="AH9" s="256" t="s">
        <v>203</v>
      </c>
      <c r="AI9" s="260" t="s">
        <v>130</v>
      </c>
      <c r="AJ9" s="257" t="s">
        <v>162</v>
      </c>
    </row>
    <row r="10" spans="1:36" ht="12.75">
      <c r="A10" s="35" t="s">
        <v>5</v>
      </c>
      <c r="B10" s="37">
        <f aca="true" t="shared" si="0" ref="B10:I10">SUM(B12:B43)</f>
        <v>116431397</v>
      </c>
      <c r="C10" s="37">
        <f t="shared" si="0"/>
        <v>140544581</v>
      </c>
      <c r="D10" s="37">
        <f t="shared" si="0"/>
        <v>149634198</v>
      </c>
      <c r="E10" s="37">
        <f t="shared" si="0"/>
        <v>156732080</v>
      </c>
      <c r="F10" s="37">
        <f t="shared" si="0"/>
        <v>161235753.71000004</v>
      </c>
      <c r="G10" s="37">
        <f t="shared" si="0"/>
        <v>179169298.96</v>
      </c>
      <c r="H10" s="37">
        <f t="shared" si="0"/>
        <v>203920664.82</v>
      </c>
      <c r="I10" s="37">
        <f t="shared" si="0"/>
        <v>213000796.39999998</v>
      </c>
      <c r="J10" s="37">
        <f>SUM(J12:J43)</f>
        <v>216085889</v>
      </c>
      <c r="K10" s="37">
        <f>SUM(K12:K43)</f>
        <v>232956697.44999996</v>
      </c>
      <c r="L10" s="272">
        <f>(K10-J10)*100/J10</f>
        <v>7.807454956024434</v>
      </c>
      <c r="M10" s="50">
        <f>(K10-Z10)*100/Z10</f>
        <v>125.34630867385576</v>
      </c>
      <c r="N10" s="12"/>
      <c r="O10" s="37">
        <f aca="true" t="shared" si="1" ref="O10:Z10">SUM(O12:O39)</f>
        <v>22792625</v>
      </c>
      <c r="P10" s="37">
        <f t="shared" si="1"/>
        <v>23124421</v>
      </c>
      <c r="Q10" s="37">
        <f t="shared" si="1"/>
        <v>29051067</v>
      </c>
      <c r="R10" s="37">
        <f t="shared" si="1"/>
        <v>35412503</v>
      </c>
      <c r="S10" s="37">
        <f t="shared" si="1"/>
        <v>40133251</v>
      </c>
      <c r="T10" s="37">
        <f t="shared" si="1"/>
        <v>52753434</v>
      </c>
      <c r="U10" s="37">
        <f t="shared" si="1"/>
        <v>67177443</v>
      </c>
      <c r="V10" s="37">
        <f t="shared" si="1"/>
        <v>75222362</v>
      </c>
      <c r="W10" s="37">
        <f t="shared" si="1"/>
        <v>71391331</v>
      </c>
      <c r="X10" s="37">
        <f t="shared" si="1"/>
        <v>83988741</v>
      </c>
      <c r="Y10" s="37">
        <f t="shared" si="1"/>
        <v>89974121</v>
      </c>
      <c r="Z10" s="37">
        <f t="shared" si="1"/>
        <v>103377197</v>
      </c>
      <c r="AA10" s="37"/>
      <c r="AB10" s="37">
        <f>SUM(AB12:AB43)</f>
        <v>213000796.39999998</v>
      </c>
      <c r="AD10" s="32">
        <v>211618317</v>
      </c>
      <c r="AE10" s="32">
        <v>4467572.5</v>
      </c>
      <c r="AF10" s="32">
        <f>SUM(AD10:AE10)</f>
        <v>216085889.5</v>
      </c>
      <c r="AH10" s="114">
        <f>SUM(AH12:AH39)</f>
        <v>217777559.95999998</v>
      </c>
      <c r="AI10" s="114">
        <f>SUM(AI12:AI39)</f>
        <v>15179137.49</v>
      </c>
      <c r="AJ10" s="32">
        <f>SUM(AH10:AI10)</f>
        <v>232956697.45</v>
      </c>
    </row>
    <row r="11" spans="2:35" ht="12.75">
      <c r="B11" s="43"/>
      <c r="C11" s="35"/>
      <c r="D11" s="35"/>
      <c r="E11" s="35"/>
      <c r="F11" s="35"/>
      <c r="G11" s="35"/>
      <c r="H11" s="35"/>
      <c r="I11" s="35"/>
      <c r="J11" s="35"/>
      <c r="K11" s="35"/>
      <c r="L11" s="1"/>
      <c r="M11" s="15"/>
      <c r="N11" s="15"/>
      <c r="P11" s="38"/>
      <c r="S11" s="38"/>
      <c r="T11" s="38"/>
      <c r="Y11" s="38"/>
      <c r="Z11" s="38"/>
      <c r="AA11" s="38"/>
      <c r="AB11" s="35"/>
      <c r="AH11" s="43"/>
      <c r="AI11" s="43"/>
    </row>
    <row r="12" spans="1:36" ht="12.75">
      <c r="A12" s="32" t="s">
        <v>6</v>
      </c>
      <c r="B12" s="43">
        <v>281020</v>
      </c>
      <c r="C12" s="83">
        <v>643797</v>
      </c>
      <c r="D12" s="83">
        <v>976023</v>
      </c>
      <c r="E12" s="83">
        <v>1522014</v>
      </c>
      <c r="F12" s="83">
        <v>1241064.67</v>
      </c>
      <c r="G12" s="83">
        <v>1341555.09</v>
      </c>
      <c r="H12" s="83">
        <v>1468133</v>
      </c>
      <c r="I12" s="83">
        <v>1771864.05</v>
      </c>
      <c r="J12" s="83">
        <v>1909245</v>
      </c>
      <c r="K12" s="83">
        <v>2525419.62</v>
      </c>
      <c r="L12" s="272">
        <f>(K12-J12)*100/J12</f>
        <v>32.27320851959807</v>
      </c>
      <c r="M12" s="50">
        <f>(K12-Z12)*100/Z12</f>
        <v>1475.325224095664</v>
      </c>
      <c r="N12" s="17"/>
      <c r="O12" s="38">
        <v>0</v>
      </c>
      <c r="P12" s="38">
        <v>16669</v>
      </c>
      <c r="Q12" s="38">
        <v>35044</v>
      </c>
      <c r="R12" s="38">
        <v>32587</v>
      </c>
      <c r="S12" s="38">
        <v>39369</v>
      </c>
      <c r="T12" s="38">
        <v>34701</v>
      </c>
      <c r="U12" s="38">
        <v>50054</v>
      </c>
      <c r="V12" s="38">
        <v>143690</v>
      </c>
      <c r="W12" s="38">
        <v>210139</v>
      </c>
      <c r="X12" s="38">
        <v>92019</v>
      </c>
      <c r="Y12" s="38">
        <v>191126</v>
      </c>
      <c r="Z12" s="38">
        <v>160311</v>
      </c>
      <c r="AA12" s="38"/>
      <c r="AB12" s="90">
        <v>1771864.05</v>
      </c>
      <c r="AE12" s="32">
        <v>1909245</v>
      </c>
      <c r="AF12" s="32">
        <f>SUM(AD12:AE12)</f>
        <v>1909245</v>
      </c>
      <c r="AH12" s="249">
        <v>0</v>
      </c>
      <c r="AI12" s="100">
        <v>2525419.62</v>
      </c>
      <c r="AJ12" s="32">
        <f>SUM(AH12:AI12)</f>
        <v>2525419.62</v>
      </c>
    </row>
    <row r="13" spans="1:36" ht="12.75">
      <c r="A13" s="32" t="s">
        <v>7</v>
      </c>
      <c r="B13" s="43">
        <v>8361332</v>
      </c>
      <c r="C13" s="83">
        <v>10846922</v>
      </c>
      <c r="D13" s="83">
        <v>10128026</v>
      </c>
      <c r="E13" s="83">
        <v>9809359</v>
      </c>
      <c r="F13" s="83">
        <v>9411406</v>
      </c>
      <c r="G13" s="83">
        <v>16227234</v>
      </c>
      <c r="H13" s="83">
        <v>16779698</v>
      </c>
      <c r="I13" s="83">
        <v>16638996</v>
      </c>
      <c r="J13" s="83">
        <v>17288927</v>
      </c>
      <c r="K13" s="83">
        <v>18225298</v>
      </c>
      <c r="L13" s="272">
        <f>(K13-J13)*100/J13</f>
        <v>5.416015696057945</v>
      </c>
      <c r="M13" s="50">
        <f>(K13-Z13)*100/Z13</f>
        <v>127.6295403232424</v>
      </c>
      <c r="N13" s="17"/>
      <c r="O13" s="38">
        <v>1517984</v>
      </c>
      <c r="P13" s="38">
        <v>1767732</v>
      </c>
      <c r="Q13" s="38">
        <v>1905586</v>
      </c>
      <c r="R13" s="38">
        <v>2124742</v>
      </c>
      <c r="S13" s="38">
        <v>2561350</v>
      </c>
      <c r="T13" s="38">
        <v>3412380</v>
      </c>
      <c r="U13" s="38">
        <v>5486225</v>
      </c>
      <c r="V13" s="38">
        <v>6081875</v>
      </c>
      <c r="W13" s="38">
        <v>6887093</v>
      </c>
      <c r="X13" s="38">
        <v>7261753</v>
      </c>
      <c r="Y13" s="38">
        <v>7649506</v>
      </c>
      <c r="Z13" s="38">
        <v>8006561</v>
      </c>
      <c r="AA13" s="38"/>
      <c r="AB13" s="100">
        <v>16638996</v>
      </c>
      <c r="AD13" s="32">
        <v>17288927</v>
      </c>
      <c r="AE13" s="32">
        <v>0</v>
      </c>
      <c r="AF13" s="32">
        <f>SUM(AD13:AE13)</f>
        <v>17288927</v>
      </c>
      <c r="AH13" s="100">
        <v>18225298</v>
      </c>
      <c r="AI13" s="249">
        <v>0</v>
      </c>
      <c r="AJ13" s="32">
        <f>SUM(AH13:AI13)</f>
        <v>18225298</v>
      </c>
    </row>
    <row r="14" spans="1:36" ht="12.75">
      <c r="A14" s="32" t="s">
        <v>8</v>
      </c>
      <c r="B14" s="43">
        <v>37170905</v>
      </c>
      <c r="C14" s="83">
        <v>51823235</v>
      </c>
      <c r="D14" s="83">
        <v>49125659</v>
      </c>
      <c r="E14" s="83">
        <v>49291512</v>
      </c>
      <c r="F14" s="83">
        <v>47103119</v>
      </c>
      <c r="G14" s="83">
        <v>44372489</v>
      </c>
      <c r="H14" s="83">
        <v>46173731</v>
      </c>
      <c r="I14" s="83">
        <v>50888720</v>
      </c>
      <c r="J14" s="83">
        <v>48443624</v>
      </c>
      <c r="K14" s="83">
        <v>50710255.4</v>
      </c>
      <c r="L14" s="272">
        <f>(K14-J14)*100/J14</f>
        <v>4.678905525317425</v>
      </c>
      <c r="M14" s="50">
        <f>(K14-Z14)*100/Z14</f>
        <v>65.95579321233424</v>
      </c>
      <c r="N14" s="17"/>
      <c r="O14" s="38">
        <v>7772664</v>
      </c>
      <c r="P14" s="38">
        <f>6456766+1827</f>
        <v>6458593</v>
      </c>
      <c r="Q14" s="38">
        <f>8509699+215</f>
        <v>8509914</v>
      </c>
      <c r="R14" s="38">
        <v>9661899</v>
      </c>
      <c r="S14" s="38">
        <v>10587442</v>
      </c>
      <c r="T14" s="38">
        <v>13200881</v>
      </c>
      <c r="U14" s="38">
        <v>17744650</v>
      </c>
      <c r="V14" s="38">
        <v>20532167</v>
      </c>
      <c r="W14" s="38">
        <v>23243276</v>
      </c>
      <c r="X14" s="38">
        <v>22748212</v>
      </c>
      <c r="Y14" s="38">
        <v>23868338</v>
      </c>
      <c r="Z14" s="38">
        <v>30556484</v>
      </c>
      <c r="AA14" s="38"/>
      <c r="AB14" s="100">
        <v>50888720</v>
      </c>
      <c r="AD14" s="32">
        <v>46415767</v>
      </c>
      <c r="AE14" s="32">
        <v>2027857</v>
      </c>
      <c r="AF14" s="32">
        <f>SUM(AD14:AE14)</f>
        <v>48443624</v>
      </c>
      <c r="AH14" s="100">
        <v>48767177</v>
      </c>
      <c r="AI14" s="100">
        <v>1943078.4</v>
      </c>
      <c r="AJ14" s="32">
        <f>SUM(AH14:AI14)</f>
        <v>50710255.4</v>
      </c>
    </row>
    <row r="15" spans="1:36" ht="12.75">
      <c r="A15" s="32" t="s">
        <v>9</v>
      </c>
      <c r="B15" s="43">
        <v>10411190</v>
      </c>
      <c r="C15" s="83">
        <v>15428413</v>
      </c>
      <c r="D15" s="83">
        <v>22378649</v>
      </c>
      <c r="E15" s="83">
        <v>17660925</v>
      </c>
      <c r="F15" s="83">
        <v>19995561</v>
      </c>
      <c r="G15" s="83">
        <v>22906210</v>
      </c>
      <c r="H15" s="83">
        <v>28000070</v>
      </c>
      <c r="I15" s="83">
        <v>27857478</v>
      </c>
      <c r="J15" s="83">
        <v>29384119</v>
      </c>
      <c r="K15" s="83">
        <v>30838060</v>
      </c>
      <c r="L15" s="272">
        <f>(K15-J15)*100/J15</f>
        <v>4.9480503397090105</v>
      </c>
      <c r="M15" s="50">
        <f>(K15-Z15)*100/Z15</f>
        <v>240.18241719886942</v>
      </c>
      <c r="N15" s="17"/>
      <c r="O15" s="38">
        <v>2594804</v>
      </c>
      <c r="P15" s="38">
        <v>3157048</v>
      </c>
      <c r="Q15" s="38">
        <v>3885797</v>
      </c>
      <c r="R15" s="38">
        <v>4934450</v>
      </c>
      <c r="S15" s="38">
        <f>38601+5887828</f>
        <v>5926429</v>
      </c>
      <c r="T15" s="38">
        <v>6592425</v>
      </c>
      <c r="U15" s="38">
        <v>8149736</v>
      </c>
      <c r="V15" s="38">
        <v>8134672</v>
      </c>
      <c r="W15" s="38">
        <v>144950</v>
      </c>
      <c r="X15" s="38">
        <v>8182438</v>
      </c>
      <c r="Y15" s="38">
        <v>7312671</v>
      </c>
      <c r="Z15" s="38">
        <v>9065154</v>
      </c>
      <c r="AA15" s="38"/>
      <c r="AB15" s="100">
        <v>27857478</v>
      </c>
      <c r="AD15" s="32">
        <v>29384119</v>
      </c>
      <c r="AE15" s="32">
        <v>0</v>
      </c>
      <c r="AF15" s="32">
        <f>SUM(AD15:AE15)</f>
        <v>29384119</v>
      </c>
      <c r="AH15" s="100">
        <v>29156789</v>
      </c>
      <c r="AI15" s="100">
        <v>1681271</v>
      </c>
      <c r="AJ15" s="32">
        <f>SUM(AH15:AI15)</f>
        <v>30838060</v>
      </c>
    </row>
    <row r="16" spans="1:36" ht="12.75">
      <c r="A16" s="32" t="s">
        <v>10</v>
      </c>
      <c r="B16" s="43">
        <v>663875</v>
      </c>
      <c r="C16" s="83">
        <v>820639</v>
      </c>
      <c r="D16" s="83">
        <v>864468</v>
      </c>
      <c r="E16" s="83">
        <v>1114523</v>
      </c>
      <c r="F16" s="83">
        <v>1664781.9</v>
      </c>
      <c r="G16" s="83">
        <v>2052000.04</v>
      </c>
      <c r="H16" s="83">
        <v>2241887.14</v>
      </c>
      <c r="I16" s="83">
        <v>2198223.53</v>
      </c>
      <c r="J16" s="83">
        <v>2082749</v>
      </c>
      <c r="K16" s="83">
        <v>2005111.02</v>
      </c>
      <c r="L16" s="272">
        <f>(K16-J16)*100/J16</f>
        <v>-3.7276685764823307</v>
      </c>
      <c r="M16" s="50">
        <f>(K16-Z16)*100/Z16</f>
        <v>243.0026241241515</v>
      </c>
      <c r="N16" s="17"/>
      <c r="O16" s="38">
        <v>45757</v>
      </c>
      <c r="P16" s="38">
        <v>67131</v>
      </c>
      <c r="Q16" s="38">
        <v>126419</v>
      </c>
      <c r="R16" s="38">
        <v>105034</v>
      </c>
      <c r="S16" s="38">
        <v>0</v>
      </c>
      <c r="T16" s="38">
        <v>165266</v>
      </c>
      <c r="U16" s="38">
        <v>220284</v>
      </c>
      <c r="V16" s="38">
        <v>400892</v>
      </c>
      <c r="W16" s="38">
        <v>506089</v>
      </c>
      <c r="X16" s="38">
        <v>458902</v>
      </c>
      <c r="Y16" s="38">
        <v>449857</v>
      </c>
      <c r="Z16" s="38">
        <v>584576</v>
      </c>
      <c r="AA16" s="38"/>
      <c r="AB16" s="100">
        <v>2198223.53</v>
      </c>
      <c r="AD16" s="32">
        <v>2082749</v>
      </c>
      <c r="AE16" s="32">
        <v>0</v>
      </c>
      <c r="AF16" s="32">
        <f>SUM(AD16:AE16)</f>
        <v>2082749</v>
      </c>
      <c r="AH16" s="100">
        <v>886193.46</v>
      </c>
      <c r="AI16" s="100">
        <v>1118917.56</v>
      </c>
      <c r="AJ16" s="32">
        <f>SUM(AH16:AI16)</f>
        <v>2005111.02</v>
      </c>
    </row>
    <row r="17" spans="2:35" ht="12.75">
      <c r="B17" s="43"/>
      <c r="C17" s="83"/>
      <c r="D17" s="83"/>
      <c r="E17" s="83"/>
      <c r="F17" s="83"/>
      <c r="G17" s="83"/>
      <c r="H17" s="83"/>
      <c r="I17" s="83"/>
      <c r="J17" s="83"/>
      <c r="K17" s="83"/>
      <c r="L17" s="50"/>
      <c r="M17" s="50"/>
      <c r="N17" s="17"/>
      <c r="O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00"/>
      <c r="AH17" s="249"/>
      <c r="AI17" s="100"/>
    </row>
    <row r="18" spans="1:36" ht="12.75">
      <c r="A18" s="32" t="s">
        <v>11</v>
      </c>
      <c r="B18" s="43">
        <v>143053</v>
      </c>
      <c r="C18" s="83">
        <v>199524</v>
      </c>
      <c r="D18" s="83">
        <v>224303</v>
      </c>
      <c r="E18" s="83">
        <v>200873</v>
      </c>
      <c r="F18" s="83">
        <v>262868.63</v>
      </c>
      <c r="G18" s="83">
        <v>322174.26</v>
      </c>
      <c r="H18" s="83">
        <v>338090.18</v>
      </c>
      <c r="I18" s="83">
        <v>534149</v>
      </c>
      <c r="J18" s="83">
        <v>519727</v>
      </c>
      <c r="K18" s="83">
        <v>619944.1</v>
      </c>
      <c r="L18" s="272">
        <f>(K18-J18)*100/J18</f>
        <v>19.282642618143754</v>
      </c>
      <c r="M18" s="50">
        <f>(K18-Z18)*100/Z18</f>
        <v>330.88178873768055</v>
      </c>
      <c r="N18" s="17"/>
      <c r="O18" s="38">
        <v>121103</v>
      </c>
      <c r="P18" s="38">
        <v>184756</v>
      </c>
      <c r="Q18" s="38">
        <v>250226</v>
      </c>
      <c r="R18" s="38">
        <v>228941</v>
      </c>
      <c r="S18" s="38">
        <v>131956</v>
      </c>
      <c r="T18" s="38">
        <v>167079</v>
      </c>
      <c r="U18" s="38">
        <v>255893</v>
      </c>
      <c r="V18" s="38">
        <v>193436</v>
      </c>
      <c r="W18" s="38">
        <v>164788</v>
      </c>
      <c r="X18" s="38">
        <v>149508</v>
      </c>
      <c r="Y18" s="38">
        <v>157339</v>
      </c>
      <c r="Z18" s="38">
        <v>143878</v>
      </c>
      <c r="AA18" s="38"/>
      <c r="AB18" s="100">
        <v>534149</v>
      </c>
      <c r="AD18" s="32">
        <v>365918</v>
      </c>
      <c r="AE18" s="32">
        <v>153809</v>
      </c>
      <c r="AF18" s="32">
        <f>SUM(AD18:AE18)</f>
        <v>519727</v>
      </c>
      <c r="AH18" s="100">
        <v>456856.1</v>
      </c>
      <c r="AI18" s="100">
        <v>163088</v>
      </c>
      <c r="AJ18" s="32">
        <f>SUM(AH18:AI18)</f>
        <v>619944.1</v>
      </c>
    </row>
    <row r="19" spans="1:36" ht="12.75">
      <c r="A19" s="32" t="s">
        <v>12</v>
      </c>
      <c r="B19" s="43">
        <v>1538802</v>
      </c>
      <c r="C19" s="83">
        <v>2127540</v>
      </c>
      <c r="D19" s="83">
        <v>2884568</v>
      </c>
      <c r="E19" s="83">
        <v>3253543</v>
      </c>
      <c r="F19" s="83">
        <v>4117736.74</v>
      </c>
      <c r="G19" s="83">
        <v>4687278.71</v>
      </c>
      <c r="H19" s="83">
        <v>5271942.49</v>
      </c>
      <c r="I19" s="83">
        <v>5352717.97</v>
      </c>
      <c r="J19" s="83">
        <v>6023256</v>
      </c>
      <c r="K19" s="83">
        <v>6435390.57</v>
      </c>
      <c r="L19" s="272">
        <f>(K19-J19)*100/J19</f>
        <v>6.842388402551714</v>
      </c>
      <c r="M19" s="50">
        <f>(K19-Z19)*100/Z19</f>
        <v>342.88021694652105</v>
      </c>
      <c r="N19" s="17"/>
      <c r="O19" s="38">
        <v>181781</v>
      </c>
      <c r="P19" s="38">
        <v>145083</v>
      </c>
      <c r="Q19" s="38">
        <v>287239</v>
      </c>
      <c r="R19" s="38">
        <v>390340</v>
      </c>
      <c r="S19" s="38">
        <v>484747</v>
      </c>
      <c r="T19" s="38">
        <v>1071070</v>
      </c>
      <c r="U19" s="38">
        <v>1309347</v>
      </c>
      <c r="V19" s="38">
        <v>1659865</v>
      </c>
      <c r="W19" s="38">
        <v>1765997</v>
      </c>
      <c r="X19" s="38">
        <v>1234230</v>
      </c>
      <c r="Y19" s="38">
        <v>1513701</v>
      </c>
      <c r="Z19" s="38">
        <v>1453077</v>
      </c>
      <c r="AA19" s="38"/>
      <c r="AB19" s="100">
        <v>5352717.97</v>
      </c>
      <c r="AD19" s="32">
        <v>5974950</v>
      </c>
      <c r="AE19" s="32">
        <v>48306</v>
      </c>
      <c r="AF19" s="32">
        <f>SUM(AD19:AE19)</f>
        <v>6023256</v>
      </c>
      <c r="AH19" s="100">
        <v>6383567</v>
      </c>
      <c r="AI19" s="100">
        <v>51823.57</v>
      </c>
      <c r="AJ19" s="32">
        <f>SUM(AH19:AI19)</f>
        <v>6435390.57</v>
      </c>
    </row>
    <row r="20" spans="1:36" ht="12.75">
      <c r="A20" s="32" t="s">
        <v>13</v>
      </c>
      <c r="B20" s="43">
        <v>721794</v>
      </c>
      <c r="C20" s="83">
        <v>657215</v>
      </c>
      <c r="D20" s="83">
        <v>723817</v>
      </c>
      <c r="E20" s="83">
        <v>884360</v>
      </c>
      <c r="F20" s="83">
        <v>1341863.93</v>
      </c>
      <c r="G20" s="83">
        <v>1837268.47</v>
      </c>
      <c r="H20" s="83">
        <v>1996941.53</v>
      </c>
      <c r="I20" s="83">
        <v>2372012.69</v>
      </c>
      <c r="J20" s="83">
        <v>2693078</v>
      </c>
      <c r="K20" s="83">
        <v>3756440.4</v>
      </c>
      <c r="L20" s="272">
        <f>(K20-J20)*100/J20</f>
        <v>39.485020485852985</v>
      </c>
      <c r="M20" s="50">
        <f>(K20-Z20)*100/Z20</f>
        <v>545.4697664828084</v>
      </c>
      <c r="N20" s="17"/>
      <c r="O20" s="38">
        <v>179330</v>
      </c>
      <c r="P20" s="38">
        <v>109835</v>
      </c>
      <c r="Q20" s="38">
        <v>177766</v>
      </c>
      <c r="R20" s="38">
        <v>253429</v>
      </c>
      <c r="S20" s="38">
        <v>320346</v>
      </c>
      <c r="T20" s="38">
        <v>307692</v>
      </c>
      <c r="U20" s="38">
        <v>425132</v>
      </c>
      <c r="V20" s="38">
        <v>452140</v>
      </c>
      <c r="W20" s="38">
        <v>539188</v>
      </c>
      <c r="X20" s="38">
        <v>497511</v>
      </c>
      <c r="Y20" s="38">
        <v>431503</v>
      </c>
      <c r="Z20" s="38">
        <v>581970</v>
      </c>
      <c r="AA20" s="38"/>
      <c r="AB20" s="100">
        <v>2372012.69</v>
      </c>
      <c r="AD20" s="32">
        <v>2693078</v>
      </c>
      <c r="AE20" s="32">
        <v>0</v>
      </c>
      <c r="AF20" s="32">
        <f>SUM(AD20:AE20)</f>
        <v>2693078</v>
      </c>
      <c r="AH20" s="100">
        <v>3756440.4</v>
      </c>
      <c r="AI20" s="249">
        <v>0</v>
      </c>
      <c r="AJ20" s="32">
        <f>SUM(AH20:AI20)</f>
        <v>3756440.4</v>
      </c>
    </row>
    <row r="21" spans="1:36" ht="12.75">
      <c r="A21" s="32" t="s">
        <v>14</v>
      </c>
      <c r="B21" s="43">
        <v>1695340</v>
      </c>
      <c r="C21" s="83">
        <v>2180167</v>
      </c>
      <c r="D21" s="83">
        <v>1919332</v>
      </c>
      <c r="E21" s="83">
        <v>2602218</v>
      </c>
      <c r="F21" s="83">
        <v>2595986.17</v>
      </c>
      <c r="G21" s="83">
        <v>2422764.43</v>
      </c>
      <c r="H21" s="83">
        <v>2453526.58</v>
      </c>
      <c r="I21" s="83">
        <v>3038027.57</v>
      </c>
      <c r="J21" s="83">
        <v>3105690</v>
      </c>
      <c r="K21" s="83">
        <v>2703639.71</v>
      </c>
      <c r="L21" s="272">
        <f>(K21-J21)*100/J21</f>
        <v>-12.945602748503553</v>
      </c>
      <c r="M21" s="50">
        <f>(K21-Z21)*100/Z21</f>
        <v>150.35045493183893</v>
      </c>
      <c r="N21" s="17"/>
      <c r="O21" s="38">
        <v>150526</v>
      </c>
      <c r="P21" s="38">
        <v>94954</v>
      </c>
      <c r="Q21" s="38">
        <v>215374</v>
      </c>
      <c r="R21" s="38">
        <v>299312</v>
      </c>
      <c r="S21" s="38">
        <v>388379</v>
      </c>
      <c r="T21" s="38">
        <v>856539</v>
      </c>
      <c r="U21" s="38">
        <v>1094396</v>
      </c>
      <c r="V21" s="38">
        <v>1202585</v>
      </c>
      <c r="W21" s="38">
        <v>1083193</v>
      </c>
      <c r="X21" s="38">
        <v>1034116</v>
      </c>
      <c r="Y21" s="38">
        <v>702142</v>
      </c>
      <c r="Z21" s="38">
        <v>1079942</v>
      </c>
      <c r="AA21" s="38"/>
      <c r="AB21" s="100">
        <v>3038027.57</v>
      </c>
      <c r="AD21" s="32">
        <v>2980146</v>
      </c>
      <c r="AE21" s="32">
        <v>125544</v>
      </c>
      <c r="AF21" s="32">
        <f>SUM(AD21:AE21)</f>
        <v>3105690</v>
      </c>
      <c r="AH21" s="100">
        <v>2665818.65</v>
      </c>
      <c r="AI21" s="100">
        <v>37821.06</v>
      </c>
      <c r="AJ21" s="32">
        <f>SUM(AH21:AI21)</f>
        <v>2703639.71</v>
      </c>
    </row>
    <row r="22" spans="1:36" ht="12.75">
      <c r="A22" s="32" t="s">
        <v>15</v>
      </c>
      <c r="B22" s="43">
        <v>-17769</v>
      </c>
      <c r="C22" s="83">
        <v>7883</v>
      </c>
      <c r="D22" s="83">
        <v>70811</v>
      </c>
      <c r="E22" s="83">
        <v>57045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276" t="s">
        <v>120</v>
      </c>
      <c r="M22" s="276" t="s">
        <v>120</v>
      </c>
      <c r="N22" s="171"/>
      <c r="O22" s="38">
        <v>48031</v>
      </c>
      <c r="P22" s="38">
        <v>49884</v>
      </c>
      <c r="Q22" s="38">
        <v>4649</v>
      </c>
      <c r="R22" s="38">
        <v>52811</v>
      </c>
      <c r="S22" s="38">
        <v>56187</v>
      </c>
      <c r="T22" s="38">
        <v>66560</v>
      </c>
      <c r="U22" s="38">
        <v>98653</v>
      </c>
      <c r="V22" s="38">
        <v>31491</v>
      </c>
      <c r="W22" s="43">
        <v>0</v>
      </c>
      <c r="X22" s="43">
        <v>0</v>
      </c>
      <c r="Y22" s="38">
        <v>36257</v>
      </c>
      <c r="Z22" s="38">
        <v>9012</v>
      </c>
      <c r="AA22" s="38"/>
      <c r="AB22" s="100">
        <v>0</v>
      </c>
      <c r="AD22" s="32">
        <v>0</v>
      </c>
      <c r="AE22" s="32">
        <v>0</v>
      </c>
      <c r="AF22" s="32">
        <f>SUM(AD22:AE22)</f>
        <v>0</v>
      </c>
      <c r="AH22" s="249">
        <v>0</v>
      </c>
      <c r="AI22" s="249">
        <v>0</v>
      </c>
      <c r="AJ22" s="32">
        <f>SUM(AH22:AI22)</f>
        <v>0</v>
      </c>
    </row>
    <row r="23" spans="2:35" ht="12.75">
      <c r="B23" s="43"/>
      <c r="C23" s="83"/>
      <c r="D23" s="83"/>
      <c r="E23" s="83"/>
      <c r="F23" s="83"/>
      <c r="G23" s="83"/>
      <c r="H23" s="83"/>
      <c r="I23" s="83"/>
      <c r="J23" s="83"/>
      <c r="K23" s="83"/>
      <c r="L23" s="50"/>
      <c r="M23" s="50"/>
      <c r="N23" s="17"/>
      <c r="O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100"/>
      <c r="AH23" s="249"/>
      <c r="AI23" s="249"/>
    </row>
    <row r="24" spans="1:36" ht="12.75">
      <c r="A24" s="32" t="s">
        <v>16</v>
      </c>
      <c r="B24" s="43">
        <v>2605232</v>
      </c>
      <c r="C24" s="83">
        <v>2549045</v>
      </c>
      <c r="D24" s="83">
        <v>2562879</v>
      </c>
      <c r="E24" s="83">
        <v>2259436</v>
      </c>
      <c r="F24" s="83">
        <v>1686186.95</v>
      </c>
      <c r="G24" s="83">
        <v>1988703.58</v>
      </c>
      <c r="H24" s="83">
        <v>2629812.05</v>
      </c>
      <c r="I24" s="83">
        <v>3198938.99</v>
      </c>
      <c r="J24" s="83">
        <v>4028699</v>
      </c>
      <c r="K24" s="83">
        <v>4027647.78</v>
      </c>
      <c r="L24" s="272">
        <f>(K24-J24)*100/J24</f>
        <v>-0.02609328718775478</v>
      </c>
      <c r="M24" s="50">
        <f>(K24-Z24)*100/Z24</f>
        <v>182.40611559469633</v>
      </c>
      <c r="N24" s="17"/>
      <c r="O24" s="38">
        <v>328177</v>
      </c>
      <c r="P24" s="38">
        <v>150315</v>
      </c>
      <c r="Q24" s="38">
        <v>131216</v>
      </c>
      <c r="R24" s="38">
        <v>268296</v>
      </c>
      <c r="S24" s="38">
        <v>332961</v>
      </c>
      <c r="T24" s="38">
        <v>624832</v>
      </c>
      <c r="U24" s="38">
        <v>435158</v>
      </c>
      <c r="V24" s="38">
        <v>421635</v>
      </c>
      <c r="W24" s="38">
        <v>497751</v>
      </c>
      <c r="X24" s="38">
        <v>1086657</v>
      </c>
      <c r="Y24" s="38">
        <v>1247218</v>
      </c>
      <c r="Z24" s="38">
        <v>1426190</v>
      </c>
      <c r="AA24" s="38"/>
      <c r="AB24" s="100">
        <v>3198938.99</v>
      </c>
      <c r="AD24" s="32">
        <v>4028699</v>
      </c>
      <c r="AE24" s="32">
        <v>0</v>
      </c>
      <c r="AF24" s="32">
        <f>SUM(AD24:AE24)</f>
        <v>4028699</v>
      </c>
      <c r="AH24" s="100">
        <v>4027647.78</v>
      </c>
      <c r="AI24" s="100">
        <v>0</v>
      </c>
      <c r="AJ24" s="32">
        <f>SUM(AH24:AI24)</f>
        <v>4027647.78</v>
      </c>
    </row>
    <row r="25" spans="1:36" ht="12.75">
      <c r="A25" s="32" t="s">
        <v>17</v>
      </c>
      <c r="B25" s="43">
        <v>22079</v>
      </c>
      <c r="C25" s="83">
        <v>34624</v>
      </c>
      <c r="D25" s="83">
        <v>80166</v>
      </c>
      <c r="E25" s="172">
        <v>0</v>
      </c>
      <c r="F25" s="83">
        <v>100947.23</v>
      </c>
      <c r="G25" s="83">
        <v>110086.24</v>
      </c>
      <c r="H25" s="83">
        <v>147840.74</v>
      </c>
      <c r="I25" s="83">
        <v>176852.13</v>
      </c>
      <c r="J25" s="83">
        <v>206745</v>
      </c>
      <c r="K25" s="83">
        <v>265347.88</v>
      </c>
      <c r="L25" s="272">
        <f>(K25-J25)*100/J25</f>
        <v>28.345488403588963</v>
      </c>
      <c r="M25" s="50">
        <f>(K25-Z25)*100/Z25</f>
        <v>81.76130751368272</v>
      </c>
      <c r="N25" s="17"/>
      <c r="O25" s="38">
        <v>43595</v>
      </c>
      <c r="P25" s="38">
        <v>46144</v>
      </c>
      <c r="Q25" s="38">
        <v>44081</v>
      </c>
      <c r="R25" s="38">
        <v>26444</v>
      </c>
      <c r="S25" s="38">
        <v>37515</v>
      </c>
      <c r="T25" s="38">
        <v>64595</v>
      </c>
      <c r="U25" s="38">
        <v>140928</v>
      </c>
      <c r="V25" s="38">
        <v>50012</v>
      </c>
      <c r="W25" s="38">
        <v>55643</v>
      </c>
      <c r="X25" s="38">
        <v>36456</v>
      </c>
      <c r="Y25" s="38">
        <v>136142</v>
      </c>
      <c r="Z25" s="38">
        <v>145987</v>
      </c>
      <c r="AA25" s="38"/>
      <c r="AB25" s="100">
        <v>176852.13</v>
      </c>
      <c r="AD25" s="32">
        <v>206745</v>
      </c>
      <c r="AE25" s="32">
        <v>0</v>
      </c>
      <c r="AF25" s="32">
        <f>SUM(AD25:AE25)</f>
        <v>206745</v>
      </c>
      <c r="AH25" s="100">
        <v>258943.66</v>
      </c>
      <c r="AI25" s="100">
        <v>6404.22</v>
      </c>
      <c r="AJ25" s="32">
        <f>SUM(AH25:AI25)</f>
        <v>265347.88</v>
      </c>
    </row>
    <row r="26" spans="1:36" ht="12.75">
      <c r="A26" s="32" t="s">
        <v>18</v>
      </c>
      <c r="B26" s="43">
        <v>2921430</v>
      </c>
      <c r="C26" s="83">
        <v>3106594</v>
      </c>
      <c r="D26" s="83">
        <v>3146102</v>
      </c>
      <c r="E26" s="83">
        <v>3467646</v>
      </c>
      <c r="F26" s="83">
        <v>4067039.94</v>
      </c>
      <c r="G26" s="83">
        <v>4825533.19</v>
      </c>
      <c r="H26" s="83">
        <v>5671475</v>
      </c>
      <c r="I26" s="83">
        <v>6673444</v>
      </c>
      <c r="J26" s="83">
        <v>7151683</v>
      </c>
      <c r="K26" s="83">
        <v>8289305</v>
      </c>
      <c r="L26" s="272">
        <f>(K26-J26)*100/J26</f>
        <v>15.907052927262017</v>
      </c>
      <c r="M26" s="50">
        <f>(K26-Z26)*100/Z26</f>
        <v>259.78432832095973</v>
      </c>
      <c r="N26" s="17"/>
      <c r="O26" s="38">
        <v>411710</v>
      </c>
      <c r="P26" s="38">
        <v>507120</v>
      </c>
      <c r="Q26" s="38">
        <v>541671</v>
      </c>
      <c r="R26" s="38">
        <v>530262</v>
      </c>
      <c r="S26" s="38">
        <v>531444</v>
      </c>
      <c r="T26" s="38">
        <v>1102569</v>
      </c>
      <c r="U26" s="38">
        <v>1285983</v>
      </c>
      <c r="V26" s="38">
        <v>1930766</v>
      </c>
      <c r="W26" s="38">
        <v>1591834</v>
      </c>
      <c r="X26" s="38">
        <v>1211765</v>
      </c>
      <c r="Y26" s="38">
        <v>1361041</v>
      </c>
      <c r="Z26" s="38">
        <v>2303965</v>
      </c>
      <c r="AA26" s="38"/>
      <c r="AB26" s="100">
        <v>6673444</v>
      </c>
      <c r="AD26" s="32">
        <v>7151683</v>
      </c>
      <c r="AE26" s="32">
        <v>0</v>
      </c>
      <c r="AF26" s="32">
        <f>SUM(AD26:AE26)</f>
        <v>7151683</v>
      </c>
      <c r="AH26" s="100">
        <v>8289305</v>
      </c>
      <c r="AI26" s="249">
        <v>0</v>
      </c>
      <c r="AJ26" s="32">
        <f>SUM(AH26:AI26)</f>
        <v>8289305</v>
      </c>
    </row>
    <row r="27" spans="1:36" ht="12.75">
      <c r="A27" s="32" t="s">
        <v>19</v>
      </c>
      <c r="B27" s="43">
        <v>2825398</v>
      </c>
      <c r="C27" s="83">
        <v>42514</v>
      </c>
      <c r="D27" s="172">
        <v>0</v>
      </c>
      <c r="E27" s="83">
        <v>4670868</v>
      </c>
      <c r="F27" s="83">
        <v>5489616</v>
      </c>
      <c r="G27" s="83">
        <v>3145354.99</v>
      </c>
      <c r="H27" s="83">
        <v>7540486</v>
      </c>
      <c r="I27" s="83">
        <v>8231032</v>
      </c>
      <c r="J27" s="83">
        <v>4171756</v>
      </c>
      <c r="K27" s="83">
        <v>7211097</v>
      </c>
      <c r="L27" s="272">
        <f>(K27-J27)*100/J27</f>
        <v>72.85519574970348</v>
      </c>
      <c r="M27" s="50">
        <f>(K27-Z27)*100/Z27</f>
        <v>154.7327514582203</v>
      </c>
      <c r="N27" s="17"/>
      <c r="O27" s="38">
        <v>606739</v>
      </c>
      <c r="P27" s="38">
        <v>686639</v>
      </c>
      <c r="Q27" s="38">
        <v>761930</v>
      </c>
      <c r="R27" s="38">
        <v>1525385</v>
      </c>
      <c r="S27" s="38">
        <v>832944</v>
      </c>
      <c r="T27" s="38">
        <v>2888853</v>
      </c>
      <c r="U27" s="38">
        <v>2658892</v>
      </c>
      <c r="V27" s="38">
        <v>2581864</v>
      </c>
      <c r="W27" s="38">
        <v>2583143</v>
      </c>
      <c r="X27" s="38">
        <v>2740671</v>
      </c>
      <c r="Y27" s="38">
        <v>2508611</v>
      </c>
      <c r="Z27" s="38">
        <v>2830848</v>
      </c>
      <c r="AA27" s="38"/>
      <c r="AB27" s="100">
        <v>8231032</v>
      </c>
      <c r="AD27" s="32">
        <v>4143873.07</v>
      </c>
      <c r="AE27" s="32">
        <v>27882.5</v>
      </c>
      <c r="AF27" s="32">
        <f>SUM(AD27:AE27)</f>
        <v>4171755.57</v>
      </c>
      <c r="AH27" s="100">
        <v>20251</v>
      </c>
      <c r="AI27" s="100">
        <v>7190846</v>
      </c>
      <c r="AJ27" s="32">
        <f>SUM(AH27:AI27)</f>
        <v>7211097</v>
      </c>
    </row>
    <row r="28" spans="1:36" ht="12.75">
      <c r="A28" s="32" t="s">
        <v>20</v>
      </c>
      <c r="B28" s="43">
        <v>37208</v>
      </c>
      <c r="C28" s="83">
        <v>70149</v>
      </c>
      <c r="D28" s="83">
        <v>35524</v>
      </c>
      <c r="E28" s="83">
        <v>54210</v>
      </c>
      <c r="F28" s="83">
        <v>27250</v>
      </c>
      <c r="G28" s="83">
        <v>101585</v>
      </c>
      <c r="H28" s="83">
        <v>65223</v>
      </c>
      <c r="I28" s="83">
        <v>63179</v>
      </c>
      <c r="J28" s="83">
        <v>56897</v>
      </c>
      <c r="K28" s="83">
        <v>125223</v>
      </c>
      <c r="L28" s="272">
        <f>(K28-J28)*100/J28</f>
        <v>120.08717507074186</v>
      </c>
      <c r="M28" s="50">
        <f>(K28-Z28)*100/Z28</f>
        <v>274.79572595851664</v>
      </c>
      <c r="N28" s="17"/>
      <c r="O28" s="38">
        <v>34080</v>
      </c>
      <c r="P28" s="38">
        <v>13038</v>
      </c>
      <c r="Q28" s="38">
        <v>15000</v>
      </c>
      <c r="R28" s="38">
        <v>18253</v>
      </c>
      <c r="S28" s="38">
        <v>43395</v>
      </c>
      <c r="T28" s="38">
        <v>30650</v>
      </c>
      <c r="U28" s="38">
        <v>62989</v>
      </c>
      <c r="V28" s="38">
        <v>10081</v>
      </c>
      <c r="W28" s="38">
        <v>15044</v>
      </c>
      <c r="X28" s="38">
        <v>15088</v>
      </c>
      <c r="Y28" s="38">
        <v>22870</v>
      </c>
      <c r="Z28" s="38">
        <v>33411</v>
      </c>
      <c r="AA28" s="38"/>
      <c r="AB28" s="100">
        <v>63179</v>
      </c>
      <c r="AD28" s="32">
        <v>0</v>
      </c>
      <c r="AE28" s="32">
        <v>56897</v>
      </c>
      <c r="AF28" s="32">
        <f>SUM(AD28:AE28)</f>
        <v>56897</v>
      </c>
      <c r="AH28" s="100">
        <v>14833</v>
      </c>
      <c r="AI28" s="100">
        <v>110390</v>
      </c>
      <c r="AJ28" s="32">
        <f>SUM(AH28:AI28)</f>
        <v>125223</v>
      </c>
    </row>
    <row r="29" spans="2:35" ht="12.75">
      <c r="B29" s="43"/>
      <c r="C29" s="83"/>
      <c r="D29" s="83"/>
      <c r="E29" s="83"/>
      <c r="F29" s="83"/>
      <c r="G29" s="83"/>
      <c r="H29" s="83"/>
      <c r="I29" s="83"/>
      <c r="J29" s="83"/>
      <c r="K29" s="83"/>
      <c r="L29" s="50"/>
      <c r="M29" s="50"/>
      <c r="N29" s="17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100"/>
      <c r="AH29" s="100"/>
      <c r="AI29" s="100"/>
    </row>
    <row r="30" spans="1:36" ht="12.75">
      <c r="A30" s="32" t="s">
        <v>21</v>
      </c>
      <c r="B30" s="43">
        <v>19714560</v>
      </c>
      <c r="C30" s="83">
        <v>17383405</v>
      </c>
      <c r="D30" s="83">
        <v>18369620</v>
      </c>
      <c r="E30" s="83">
        <v>18929685</v>
      </c>
      <c r="F30" s="83">
        <v>20044203</v>
      </c>
      <c r="G30" s="83">
        <v>24852540</v>
      </c>
      <c r="H30" s="83">
        <v>29673573</v>
      </c>
      <c r="I30" s="83">
        <v>29381340</v>
      </c>
      <c r="J30" s="83">
        <v>31019017</v>
      </c>
      <c r="K30" s="83">
        <v>31359590</v>
      </c>
      <c r="L30" s="272">
        <f>(K30-J30)*100/J30</f>
        <v>1.0979490420344398</v>
      </c>
      <c r="M30" s="50">
        <f>(K30-Z30)*100/Z30</f>
        <v>56.16585309302069</v>
      </c>
      <c r="N30" s="17"/>
      <c r="O30" s="38">
        <v>5799578</v>
      </c>
      <c r="P30" s="38">
        <v>6222306</v>
      </c>
      <c r="Q30" s="38">
        <v>7063556</v>
      </c>
      <c r="R30" s="38">
        <v>8277745</v>
      </c>
      <c r="S30" s="38">
        <v>9004374</v>
      </c>
      <c r="T30" s="38">
        <v>10729839</v>
      </c>
      <c r="U30" s="38">
        <v>12542026</v>
      </c>
      <c r="V30" s="38">
        <v>13840827</v>
      </c>
      <c r="W30" s="38">
        <v>14781298</v>
      </c>
      <c r="X30" s="38">
        <v>17753000</v>
      </c>
      <c r="Y30" s="38">
        <v>19173780</v>
      </c>
      <c r="Z30" s="38">
        <v>20080952</v>
      </c>
      <c r="AA30" s="38"/>
      <c r="AB30" s="100">
        <v>29381340</v>
      </c>
      <c r="AD30" s="32">
        <v>30927436</v>
      </c>
      <c r="AE30" s="32">
        <v>91581</v>
      </c>
      <c r="AF30" s="32">
        <f>SUM(AD30:AE30)</f>
        <v>31019017</v>
      </c>
      <c r="AH30" s="100">
        <v>31259394</v>
      </c>
      <c r="AI30" s="100">
        <v>100196</v>
      </c>
      <c r="AJ30" s="32">
        <f>SUM(AH30:AI30)</f>
        <v>31359590</v>
      </c>
    </row>
    <row r="31" spans="1:36" ht="12.75">
      <c r="A31" s="32" t="s">
        <v>22</v>
      </c>
      <c r="B31" s="43">
        <v>24630996</v>
      </c>
      <c r="C31" s="83">
        <v>28849186</v>
      </c>
      <c r="D31" s="83">
        <v>32255290</v>
      </c>
      <c r="E31" s="83">
        <v>36555275</v>
      </c>
      <c r="F31" s="83">
        <v>37365921</v>
      </c>
      <c r="G31" s="83">
        <v>42537599</v>
      </c>
      <c r="H31" s="83">
        <v>47184734</v>
      </c>
      <c r="I31" s="83">
        <v>47828432</v>
      </c>
      <c r="J31" s="83">
        <v>50889116</v>
      </c>
      <c r="K31" s="83">
        <v>56768991</v>
      </c>
      <c r="L31" s="272">
        <f>(K31-J31)*100/J31</f>
        <v>11.554287954225812</v>
      </c>
      <c r="M31" s="50">
        <f>(K31-Z31)*100/Z31</f>
        <v>149.40860947286288</v>
      </c>
      <c r="N31" s="17"/>
      <c r="O31" s="38">
        <v>2700637</v>
      </c>
      <c r="P31" s="38">
        <v>3346119</v>
      </c>
      <c r="Q31" s="38">
        <v>4673824</v>
      </c>
      <c r="R31" s="38">
        <v>6427852</v>
      </c>
      <c r="S31" s="38">
        <v>7907276</v>
      </c>
      <c r="T31" s="38">
        <v>9832657</v>
      </c>
      <c r="U31" s="38">
        <v>13519630</v>
      </c>
      <c r="V31" s="38">
        <v>15319170</v>
      </c>
      <c r="W31" s="38">
        <v>15774410</v>
      </c>
      <c r="X31" s="38">
        <v>17849810</v>
      </c>
      <c r="Y31" s="38">
        <v>20724566</v>
      </c>
      <c r="Z31" s="38">
        <v>22761440</v>
      </c>
      <c r="AA31" s="38"/>
      <c r="AB31" s="100">
        <v>47828432</v>
      </c>
      <c r="AD31" s="32">
        <v>50889116</v>
      </c>
      <c r="AE31" s="32">
        <v>0</v>
      </c>
      <c r="AF31" s="32">
        <f>SUM(AD31:AE31)</f>
        <v>50889116</v>
      </c>
      <c r="AH31" s="100">
        <v>56768991</v>
      </c>
      <c r="AI31" s="249">
        <v>0</v>
      </c>
      <c r="AJ31" s="32">
        <f>SUM(AH31:AI31)</f>
        <v>56768991</v>
      </c>
    </row>
    <row r="32" spans="1:36" ht="12.75">
      <c r="A32" s="32" t="s">
        <v>23</v>
      </c>
      <c r="B32" s="43">
        <v>121000</v>
      </c>
      <c r="C32" s="83">
        <v>709327</v>
      </c>
      <c r="D32" s="83">
        <v>609990</v>
      </c>
      <c r="E32" s="83">
        <v>514990</v>
      </c>
      <c r="F32" s="83">
        <v>410242.65</v>
      </c>
      <c r="G32" s="83">
        <v>486535.77</v>
      </c>
      <c r="H32" s="83">
        <v>510747.9</v>
      </c>
      <c r="I32" s="83">
        <v>748786.09</v>
      </c>
      <c r="J32" s="83">
        <v>947180</v>
      </c>
      <c r="K32" s="83">
        <v>733942.51</v>
      </c>
      <c r="L32" s="272">
        <f>(K32-J32)*100/J32</f>
        <v>-22.51287928376866</v>
      </c>
      <c r="M32" s="276" t="s">
        <v>120</v>
      </c>
      <c r="N32" s="17"/>
      <c r="O32" s="38">
        <v>0</v>
      </c>
      <c r="P32" s="38">
        <v>10337</v>
      </c>
      <c r="Q32" s="38">
        <v>0</v>
      </c>
      <c r="R32" s="38">
        <v>1600</v>
      </c>
      <c r="S32" s="38">
        <v>0</v>
      </c>
      <c r="T32" s="38">
        <v>435053</v>
      </c>
      <c r="U32" s="38">
        <v>302315</v>
      </c>
      <c r="V32" s="38">
        <v>636028</v>
      </c>
      <c r="W32" s="43">
        <v>0</v>
      </c>
      <c r="X32" s="43">
        <v>0</v>
      </c>
      <c r="Y32" s="38">
        <v>283125</v>
      </c>
      <c r="Z32" s="43">
        <v>0</v>
      </c>
      <c r="AA32" s="38"/>
      <c r="AB32" s="100">
        <v>748786.09</v>
      </c>
      <c r="AD32" s="32">
        <v>947180</v>
      </c>
      <c r="AE32" s="32">
        <v>0</v>
      </c>
      <c r="AF32" s="32">
        <f>SUM(AD32:AE32)</f>
        <v>947180</v>
      </c>
      <c r="AH32" s="100">
        <v>733942.51</v>
      </c>
      <c r="AI32" s="249">
        <v>0</v>
      </c>
      <c r="AJ32" s="32">
        <f>SUM(AH32:AI32)</f>
        <v>733942.51</v>
      </c>
    </row>
    <row r="33" spans="1:36" ht="12.75">
      <c r="A33" s="32" t="s">
        <v>24</v>
      </c>
      <c r="B33" s="43">
        <v>709701</v>
      </c>
      <c r="C33" s="83">
        <v>736769</v>
      </c>
      <c r="D33" s="83">
        <v>763189</v>
      </c>
      <c r="E33" s="83">
        <v>749661</v>
      </c>
      <c r="F33" s="83">
        <v>835864.66</v>
      </c>
      <c r="G33" s="83">
        <v>1043329.92</v>
      </c>
      <c r="H33" s="83">
        <v>1487632.99</v>
      </c>
      <c r="I33" s="83">
        <v>1373877.74</v>
      </c>
      <c r="J33" s="83">
        <v>1659207</v>
      </c>
      <c r="K33" s="83">
        <v>1880338.51</v>
      </c>
      <c r="L33" s="272">
        <f>(K33-J33)*100/J33</f>
        <v>13.327542012539725</v>
      </c>
      <c r="M33" s="50">
        <f>(K33-Z33)*100/Z33</f>
        <v>163.59269783416275</v>
      </c>
      <c r="N33" s="17"/>
      <c r="O33" s="38">
        <v>41512</v>
      </c>
      <c r="P33" s="38">
        <v>0</v>
      </c>
      <c r="Q33" s="38">
        <v>95220</v>
      </c>
      <c r="R33" s="38">
        <v>232305</v>
      </c>
      <c r="S33" s="38">
        <v>297955</v>
      </c>
      <c r="T33" s="38">
        <v>365209</v>
      </c>
      <c r="U33" s="38">
        <v>446914</v>
      </c>
      <c r="V33" s="38">
        <v>646917</v>
      </c>
      <c r="W33" s="38">
        <v>696876</v>
      </c>
      <c r="X33" s="38">
        <v>559530</v>
      </c>
      <c r="Y33" s="38">
        <v>790806</v>
      </c>
      <c r="Z33" s="38">
        <v>713350</v>
      </c>
      <c r="AA33" s="38"/>
      <c r="AB33" s="100">
        <v>1373877.74</v>
      </c>
      <c r="AD33" s="32">
        <v>1659207</v>
      </c>
      <c r="AE33" s="32">
        <v>0</v>
      </c>
      <c r="AF33" s="32">
        <f>SUM(AD33:AE33)</f>
        <v>1659207</v>
      </c>
      <c r="AH33" s="100">
        <v>1846417.51</v>
      </c>
      <c r="AI33" s="100">
        <v>33921</v>
      </c>
      <c r="AJ33" s="32">
        <f>SUM(AH33:AI33)</f>
        <v>1880338.51</v>
      </c>
    </row>
    <row r="34" spans="1:36" ht="12.75">
      <c r="A34" s="32" t="s">
        <v>25</v>
      </c>
      <c r="B34" s="43">
        <v>77035</v>
      </c>
      <c r="C34" s="83">
        <v>69272</v>
      </c>
      <c r="D34" s="83">
        <v>32866</v>
      </c>
      <c r="E34" s="83">
        <v>158356</v>
      </c>
      <c r="F34" s="83">
        <v>157968.06</v>
      </c>
      <c r="G34" s="83">
        <v>224500.75</v>
      </c>
      <c r="H34" s="83">
        <v>128346.6</v>
      </c>
      <c r="I34" s="83">
        <v>109411.2</v>
      </c>
      <c r="J34" s="83">
        <v>16853</v>
      </c>
      <c r="K34" s="83">
        <v>2925</v>
      </c>
      <c r="L34" s="272">
        <f>(K34-J34)*100/J34</f>
        <v>-82.6440396368599</v>
      </c>
      <c r="M34" s="276" t="s">
        <v>120</v>
      </c>
      <c r="N34" s="171"/>
      <c r="O34" s="38">
        <v>0</v>
      </c>
      <c r="P34" s="38">
        <v>0</v>
      </c>
      <c r="Q34" s="38">
        <v>0</v>
      </c>
      <c r="R34" s="38">
        <v>20816</v>
      </c>
      <c r="S34" s="38">
        <v>0</v>
      </c>
      <c r="T34" s="38">
        <v>0</v>
      </c>
      <c r="U34" s="43">
        <v>0</v>
      </c>
      <c r="V34" s="43">
        <v>0</v>
      </c>
      <c r="W34" s="43">
        <v>0</v>
      </c>
      <c r="X34" s="172">
        <v>0</v>
      </c>
      <c r="Y34" s="43">
        <v>0</v>
      </c>
      <c r="Z34" s="43">
        <v>0</v>
      </c>
      <c r="AA34" s="43"/>
      <c r="AB34" s="100">
        <v>109411.2</v>
      </c>
      <c r="AD34" s="32">
        <v>16853</v>
      </c>
      <c r="AE34" s="32">
        <v>0</v>
      </c>
      <c r="AF34" s="32">
        <f>SUM(AD34:AE34)</f>
        <v>16853</v>
      </c>
      <c r="AH34" s="100">
        <v>0</v>
      </c>
      <c r="AI34" s="100">
        <v>2925</v>
      </c>
      <c r="AJ34" s="32">
        <f>SUM(AH34:AI34)</f>
        <v>2925</v>
      </c>
    </row>
    <row r="35" spans="2:35" ht="12.75">
      <c r="B35" s="43"/>
      <c r="C35" s="83"/>
      <c r="D35" s="83"/>
      <c r="E35" s="83"/>
      <c r="F35" s="83"/>
      <c r="G35" s="83"/>
      <c r="H35" s="83"/>
      <c r="I35" s="83"/>
      <c r="J35" s="83"/>
      <c r="K35" s="83"/>
      <c r="L35" s="50"/>
      <c r="M35" s="50"/>
      <c r="N35" s="17"/>
      <c r="P35" s="38"/>
      <c r="Q35" s="38"/>
      <c r="S35" s="38"/>
      <c r="T35" s="38"/>
      <c r="U35" s="38"/>
      <c r="V35" s="38"/>
      <c r="W35" s="38"/>
      <c r="X35" s="38"/>
      <c r="Y35" s="38"/>
      <c r="Z35" s="38"/>
      <c r="AA35" s="38"/>
      <c r="AB35" s="100"/>
      <c r="AH35" s="249"/>
      <c r="AI35" s="249"/>
    </row>
    <row r="36" spans="1:36" ht="12.75">
      <c r="A36" s="32" t="s">
        <v>26</v>
      </c>
      <c r="B36" s="43">
        <v>0</v>
      </c>
      <c r="C36" s="83">
        <v>9000</v>
      </c>
      <c r="D36" s="43">
        <v>0</v>
      </c>
      <c r="E36" s="83">
        <v>400</v>
      </c>
      <c r="F36" s="172">
        <v>0</v>
      </c>
      <c r="G36" s="172">
        <v>0</v>
      </c>
      <c r="H36" s="172">
        <v>63542.88</v>
      </c>
      <c r="I36" s="172">
        <v>0</v>
      </c>
      <c r="J36" s="172">
        <v>0</v>
      </c>
      <c r="K36" s="172">
        <v>29046.15</v>
      </c>
      <c r="L36" s="276" t="s">
        <v>120</v>
      </c>
      <c r="M36" s="276" t="s">
        <v>120</v>
      </c>
      <c r="N36" s="171"/>
      <c r="O36" s="38">
        <v>86048</v>
      </c>
      <c r="P36" s="38">
        <v>90718</v>
      </c>
      <c r="Q36" s="38">
        <v>134279</v>
      </c>
      <c r="R36" s="38">
        <v>0</v>
      </c>
      <c r="S36" s="38">
        <v>0</v>
      </c>
      <c r="T36" s="38">
        <v>67738</v>
      </c>
      <c r="U36" s="38">
        <v>121954</v>
      </c>
      <c r="V36" s="43">
        <v>0</v>
      </c>
      <c r="W36" s="38">
        <v>95126</v>
      </c>
      <c r="X36" s="43">
        <v>0</v>
      </c>
      <c r="Y36" s="38">
        <v>31986</v>
      </c>
      <c r="Z36" s="43">
        <v>0</v>
      </c>
      <c r="AA36" s="38"/>
      <c r="AB36" s="100">
        <v>0</v>
      </c>
      <c r="AD36" s="32">
        <v>0</v>
      </c>
      <c r="AE36" s="32">
        <v>0</v>
      </c>
      <c r="AF36" s="32">
        <f>SUM(AD36:AE36)</f>
        <v>0</v>
      </c>
      <c r="AH36" s="250">
        <v>29046.15</v>
      </c>
      <c r="AI36" s="249">
        <v>0</v>
      </c>
      <c r="AJ36" s="32">
        <f>SUM(AH36:AI36)</f>
        <v>29046.15</v>
      </c>
    </row>
    <row r="37" spans="1:36" ht="12.75">
      <c r="A37" s="32" t="s">
        <v>27</v>
      </c>
      <c r="B37" s="43">
        <v>1648940</v>
      </c>
      <c r="C37" s="83">
        <v>2109561</v>
      </c>
      <c r="D37" s="83">
        <v>2162953</v>
      </c>
      <c r="E37" s="83">
        <v>2688713</v>
      </c>
      <c r="F37" s="83">
        <v>3044373</v>
      </c>
      <c r="G37" s="83">
        <v>3231808</v>
      </c>
      <c r="H37" s="83">
        <v>3590133</v>
      </c>
      <c r="I37" s="83">
        <v>4048694</v>
      </c>
      <c r="J37" s="83">
        <v>3948202</v>
      </c>
      <c r="K37" s="83">
        <v>3927976.79</v>
      </c>
      <c r="L37" s="272">
        <f>(K37-J37)*100/J37</f>
        <v>-0.5122638102103175</v>
      </c>
      <c r="M37" s="50">
        <f>(K37-Z37)*100/Z37</f>
        <v>207.8843945270247</v>
      </c>
      <c r="N37" s="17"/>
      <c r="O37" s="38">
        <v>128569</v>
      </c>
      <c r="P37" s="38">
        <v>0</v>
      </c>
      <c r="Q37" s="38">
        <v>0</v>
      </c>
      <c r="R37" s="38">
        <v>0</v>
      </c>
      <c r="S37" s="38">
        <f>152092+497090</f>
        <v>649182</v>
      </c>
      <c r="T37" s="38">
        <v>736846</v>
      </c>
      <c r="U37" s="38">
        <v>826284</v>
      </c>
      <c r="V37" s="38">
        <v>952249</v>
      </c>
      <c r="W37" s="38">
        <v>755493</v>
      </c>
      <c r="X37" s="38">
        <v>1077075</v>
      </c>
      <c r="Y37" s="38">
        <v>1180638</v>
      </c>
      <c r="Z37" s="38">
        <v>1275796</v>
      </c>
      <c r="AA37" s="38"/>
      <c r="AB37" s="100">
        <v>4048694</v>
      </c>
      <c r="AD37" s="32">
        <v>3929767</v>
      </c>
      <c r="AE37" s="32">
        <v>18435</v>
      </c>
      <c r="AF37" s="32">
        <f>SUM(AD37:AE37)</f>
        <v>3948202</v>
      </c>
      <c r="AH37" s="100">
        <v>3909125.79</v>
      </c>
      <c r="AI37" s="100">
        <v>18851</v>
      </c>
      <c r="AJ37" s="32">
        <f>SUM(AH37:AI37)</f>
        <v>3927976.79</v>
      </c>
    </row>
    <row r="38" spans="1:36" ht="12.75">
      <c r="A38" s="32" t="s">
        <v>28</v>
      </c>
      <c r="B38" s="43">
        <v>148276</v>
      </c>
      <c r="C38" s="83">
        <v>139800</v>
      </c>
      <c r="D38" s="83">
        <v>126513</v>
      </c>
      <c r="E38" s="83">
        <v>166235</v>
      </c>
      <c r="F38" s="83">
        <v>178035.68</v>
      </c>
      <c r="G38" s="172">
        <v>408298</v>
      </c>
      <c r="H38" s="172">
        <v>503097.74</v>
      </c>
      <c r="I38" s="172">
        <v>450215.46</v>
      </c>
      <c r="J38" s="172">
        <v>505722</v>
      </c>
      <c r="K38" s="172">
        <v>471287.61</v>
      </c>
      <c r="L38" s="272">
        <f>(K38-J38)*100/J38</f>
        <v>-6.808956304056381</v>
      </c>
      <c r="M38" s="50">
        <f>(K38-Z38)*100/Z38</f>
        <v>186.85799760184548</v>
      </c>
      <c r="N38" s="17"/>
      <c r="O38" s="38">
        <v>0</v>
      </c>
      <c r="P38" s="38">
        <v>0</v>
      </c>
      <c r="Q38" s="38">
        <v>185266</v>
      </c>
      <c r="R38" s="38">
        <v>0</v>
      </c>
      <c r="S38" s="38">
        <v>0</v>
      </c>
      <c r="T38" s="38">
        <v>0</v>
      </c>
      <c r="U38" s="43">
        <v>0</v>
      </c>
      <c r="V38" s="43">
        <v>0</v>
      </c>
      <c r="W38" s="43">
        <v>0</v>
      </c>
      <c r="X38" s="43">
        <v>0</v>
      </c>
      <c r="Y38" s="38">
        <v>200898</v>
      </c>
      <c r="Z38" s="38">
        <v>164293</v>
      </c>
      <c r="AA38" s="38"/>
      <c r="AB38" s="100">
        <v>450215.46</v>
      </c>
      <c r="AD38" s="32">
        <v>497706</v>
      </c>
      <c r="AE38" s="32">
        <v>8016</v>
      </c>
      <c r="AF38" s="32">
        <f>SUM(AD38:AE38)</f>
        <v>505722</v>
      </c>
      <c r="AH38" s="100">
        <v>321522.95</v>
      </c>
      <c r="AI38" s="100">
        <v>149764.66</v>
      </c>
      <c r="AJ38" s="32">
        <f>SUM(AH38:AI38)</f>
        <v>471287.61</v>
      </c>
    </row>
    <row r="39" spans="1:36" ht="12.75">
      <c r="A39" s="44" t="s">
        <v>29</v>
      </c>
      <c r="B39" s="43">
        <v>0</v>
      </c>
      <c r="C39" s="172">
        <v>0</v>
      </c>
      <c r="D39" s="84">
        <v>193450</v>
      </c>
      <c r="E39" s="83">
        <v>120233</v>
      </c>
      <c r="F39" s="84">
        <v>93717.5</v>
      </c>
      <c r="G39" s="84">
        <v>44450.52</v>
      </c>
      <c r="H39" s="84">
        <v>0</v>
      </c>
      <c r="I39" s="84">
        <v>64404.98</v>
      </c>
      <c r="J39" s="84">
        <v>34397</v>
      </c>
      <c r="K39" s="84">
        <v>44420.4</v>
      </c>
      <c r="L39" s="275">
        <f>(K39-J39)*100/J39</f>
        <v>29.140332005698173</v>
      </c>
      <c r="M39" s="276" t="s">
        <v>120</v>
      </c>
      <c r="N39" s="234"/>
      <c r="O39" s="191">
        <v>0</v>
      </c>
      <c r="P39" s="172">
        <v>0</v>
      </c>
      <c r="Q39" s="38">
        <v>7010</v>
      </c>
      <c r="R39" s="84">
        <v>0</v>
      </c>
      <c r="S39" s="84">
        <v>0</v>
      </c>
      <c r="T39" s="76">
        <v>0</v>
      </c>
      <c r="U39" s="101">
        <v>0</v>
      </c>
      <c r="V39" s="101">
        <v>0</v>
      </c>
      <c r="W39" s="43">
        <v>0</v>
      </c>
      <c r="X39" s="43">
        <v>0</v>
      </c>
      <c r="Y39" s="43">
        <v>0</v>
      </c>
      <c r="Z39" s="43">
        <v>0</v>
      </c>
      <c r="AA39" s="43"/>
      <c r="AB39" s="115">
        <v>64404.98</v>
      </c>
      <c r="AD39" s="32">
        <v>34397.45</v>
      </c>
      <c r="AE39" s="32">
        <v>0</v>
      </c>
      <c r="AF39" s="32">
        <f>SUM(AD39:AE39)</f>
        <v>34397.45</v>
      </c>
      <c r="AH39" s="115">
        <v>0</v>
      </c>
      <c r="AI39" s="115">
        <v>44420.4</v>
      </c>
      <c r="AJ39" s="32">
        <f>SUM(AH39:AI39)</f>
        <v>44420.4</v>
      </c>
    </row>
    <row r="40" spans="1:27" ht="12.75">
      <c r="A40" s="32" t="s">
        <v>244</v>
      </c>
      <c r="B40" s="39"/>
      <c r="C40" s="39"/>
      <c r="D40" s="39"/>
      <c r="E40" s="39"/>
      <c r="F40" s="39"/>
      <c r="G40" s="39"/>
      <c r="H40" s="35"/>
      <c r="I40" s="35"/>
      <c r="J40" s="35"/>
      <c r="K40" s="35"/>
      <c r="L40" s="35"/>
      <c r="M40" s="35"/>
      <c r="N40" s="35"/>
      <c r="O40" s="16"/>
      <c r="Q40" s="39"/>
      <c r="R40" s="39"/>
      <c r="S40" s="39"/>
      <c r="X40" s="39"/>
      <c r="Y40" s="45"/>
      <c r="Z40" s="75"/>
      <c r="AA40" s="75"/>
    </row>
    <row r="41" spans="1:27" ht="12.75">
      <c r="A41" s="91" t="s">
        <v>249</v>
      </c>
      <c r="O41" s="16"/>
      <c r="Y41" s="38"/>
      <c r="Z41" s="38"/>
      <c r="AA41" s="38"/>
    </row>
    <row r="42" spans="17:27" ht="12.75">
      <c r="Q42" s="38"/>
      <c r="R42" s="38"/>
      <c r="S42" s="38"/>
      <c r="X42" s="38"/>
      <c r="Y42" s="38"/>
      <c r="Z42" s="38"/>
      <c r="AA42" s="38"/>
    </row>
    <row r="43" spans="17:24" ht="12.75">
      <c r="Q43" s="38"/>
      <c r="R43" s="38"/>
      <c r="S43" s="38"/>
      <c r="X43" s="38"/>
    </row>
    <row r="44" spans="17:24" ht="12.75">
      <c r="Q44" s="38"/>
      <c r="R44" s="38"/>
      <c r="S44" s="38"/>
      <c r="X44" s="38"/>
    </row>
    <row r="45" spans="17:24" ht="12.75">
      <c r="Q45" s="38"/>
      <c r="R45" s="38"/>
      <c r="S45" s="38"/>
      <c r="X45" s="38"/>
    </row>
    <row r="46" spans="17:24" ht="12.75">
      <c r="Q46" s="38"/>
      <c r="R46" s="38"/>
      <c r="S46" s="38"/>
      <c r="X46" s="38"/>
    </row>
    <row r="47" ht="12.75">
      <c r="X47" s="38"/>
    </row>
    <row r="48" ht="12.75">
      <c r="X48" s="38"/>
    </row>
    <row r="49" ht="12.75">
      <c r="X49" s="38"/>
    </row>
    <row r="50" ht="12.75">
      <c r="X50" s="38"/>
    </row>
    <row r="51" ht="12.75">
      <c r="X51" s="38"/>
    </row>
  </sheetData>
  <sheetProtection password="CAF5" sheet="1" objects="1" scenarios="1"/>
  <mergeCells count="3">
    <mergeCell ref="AH5:AJ5"/>
    <mergeCell ref="L7:M7"/>
    <mergeCell ref="AD5:AF5"/>
  </mergeCells>
  <printOptions/>
  <pageMargins left="0.49" right="0.5" top="1" bottom="1" header="0.5" footer="0.5"/>
  <pageSetup fitToHeight="1" fitToWidth="1" horizontalDpi="600" verticalDpi="600" orientation="landscape" scale="77" r:id="rId1"/>
  <headerFooter alignWithMargins="0">
    <oddHeader xml:space="preserve">&amp;R&amp;10 </oddHeader>
    <oddFooter>&amp;L&amp;"Lucida Sans,Italic"&amp;10MSDE-DBS  10 / 2007
&amp;C- 10 -&amp;R&amp;"Lucida Sans,Italic"&amp;10Selected Financial Data - Part 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workbookViewId="0" topLeftCell="AK4">
      <selection activeCell="K16" sqref="K16"/>
    </sheetView>
  </sheetViews>
  <sheetFormatPr defaultColWidth="9.00390625" defaultRowHeight="15.75"/>
  <cols>
    <col min="1" max="1" width="13.25390625" style="1" customWidth="1"/>
    <col min="2" max="11" width="12.625" style="1" customWidth="1"/>
    <col min="12" max="12" width="9.5039062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390625" style="1" customWidth="1"/>
    <col min="25" max="25" width="12.50390625" style="1" customWidth="1"/>
    <col min="26" max="26" width="5.625" style="3" customWidth="1"/>
    <col min="27" max="27" width="12.50390625" style="3" bestFit="1" customWidth="1"/>
    <col min="28" max="28" width="11.625" style="3" customWidth="1"/>
    <col min="29" max="29" width="12.875" style="3" customWidth="1"/>
    <col min="30" max="30" width="14.50390625" style="3" customWidth="1"/>
    <col min="31" max="31" width="11.25390625" style="3" customWidth="1"/>
    <col min="32" max="33" width="10.125" style="3" customWidth="1"/>
    <col min="34" max="34" width="12.50390625" style="3" bestFit="1" customWidth="1"/>
    <col min="35" max="35" width="11.125" style="3" customWidth="1"/>
    <col min="36" max="36" width="12.75390625" style="3" customWidth="1"/>
    <col min="37" max="37" width="13.875" style="3" customWidth="1"/>
    <col min="38" max="38" width="13.25390625" style="3" customWidth="1"/>
    <col min="39" max="39" width="10.125" style="3" customWidth="1"/>
    <col min="40" max="40" width="14.50390625" style="3" customWidth="1"/>
    <col min="41" max="41" width="10.125" style="3" customWidth="1"/>
    <col min="42" max="42" width="11.00390625" style="3" customWidth="1"/>
    <col min="43" max="43" width="12.00390625" style="3" customWidth="1"/>
    <col min="44" max="55" width="10.125" style="3" customWidth="1"/>
    <col min="56" max="16384" width="10.00390625" style="3" customWidth="1"/>
  </cols>
  <sheetData>
    <row r="1" spans="1:25" ht="15.75" customHeight="1">
      <c r="A1" s="123" t="s">
        <v>91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73"/>
      <c r="O1" s="10"/>
      <c r="P1" s="10"/>
      <c r="W1" s="3"/>
      <c r="X1" s="3"/>
      <c r="Y1" s="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W2" s="2"/>
      <c r="X2" s="2"/>
      <c r="Y2" s="2"/>
    </row>
    <row r="3" spans="1:25" ht="12.75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73"/>
      <c r="O3" s="10"/>
      <c r="P3" s="10"/>
      <c r="W3" s="3"/>
      <c r="X3" s="3"/>
      <c r="Y3" s="3"/>
    </row>
    <row r="4" spans="1:40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3"/>
      <c r="O4" s="10"/>
      <c r="P4" s="10"/>
      <c r="W4" s="3"/>
      <c r="X4" s="3"/>
      <c r="Y4" s="3"/>
      <c r="AA4" s="304" t="s">
        <v>187</v>
      </c>
      <c r="AB4" s="304"/>
      <c r="AC4" s="304"/>
      <c r="AD4" s="304"/>
      <c r="AH4" s="304" t="s">
        <v>197</v>
      </c>
      <c r="AI4" s="304"/>
      <c r="AJ4" s="304"/>
      <c r="AK4" s="304"/>
      <c r="AN4" s="3" t="s">
        <v>213</v>
      </c>
    </row>
    <row r="5" spans="26:40" ht="13.5" thickBot="1">
      <c r="Z5" s="293" t="s">
        <v>157</v>
      </c>
      <c r="AA5" s="293"/>
      <c r="AB5" s="293"/>
      <c r="AC5" s="293"/>
      <c r="AH5" s="308" t="s">
        <v>157</v>
      </c>
      <c r="AI5" s="308"/>
      <c r="AJ5" s="308"/>
      <c r="AK5" s="308"/>
      <c r="AN5" s="3" t="s">
        <v>157</v>
      </c>
    </row>
    <row r="6" spans="1:4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AA6" s="304" t="s">
        <v>154</v>
      </c>
      <c r="AB6" s="304"/>
      <c r="AC6" s="304"/>
      <c r="AH6" s="304" t="s">
        <v>154</v>
      </c>
      <c r="AI6" s="304"/>
      <c r="AJ6" s="304"/>
      <c r="AN6" s="3" t="s">
        <v>154</v>
      </c>
    </row>
    <row r="7" spans="12:43" ht="12.75">
      <c r="L7" s="6" t="s">
        <v>34</v>
      </c>
      <c r="M7" s="6"/>
      <c r="U7" s="1"/>
      <c r="V7" s="1"/>
      <c r="AA7" s="305" t="s">
        <v>143</v>
      </c>
      <c r="AB7" s="305"/>
      <c r="AC7" s="306" t="s">
        <v>156</v>
      </c>
      <c r="AD7" s="3" t="s">
        <v>158</v>
      </c>
      <c r="AH7" s="305" t="s">
        <v>143</v>
      </c>
      <c r="AI7" s="305"/>
      <c r="AJ7" s="306" t="s">
        <v>156</v>
      </c>
      <c r="AK7" s="3" t="s">
        <v>158</v>
      </c>
      <c r="AN7" s="3" t="s">
        <v>143</v>
      </c>
      <c r="AP7" s="3" t="s">
        <v>156</v>
      </c>
      <c r="AQ7" s="3" t="s">
        <v>158</v>
      </c>
    </row>
    <row r="8" spans="1:43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AA8" s="121"/>
      <c r="AB8" s="121"/>
      <c r="AC8" s="301"/>
      <c r="AD8" s="3" t="s">
        <v>159</v>
      </c>
      <c r="AH8" s="121"/>
      <c r="AI8" s="121"/>
      <c r="AJ8" s="301"/>
      <c r="AK8" s="3" t="s">
        <v>159</v>
      </c>
      <c r="AQ8" s="3" t="s">
        <v>159</v>
      </c>
    </row>
    <row r="9" spans="1:41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AA9" s="122" t="s">
        <v>114</v>
      </c>
      <c r="AB9" s="122" t="s">
        <v>155</v>
      </c>
      <c r="AC9" s="307"/>
      <c r="AH9" s="122" t="s">
        <v>114</v>
      </c>
      <c r="AI9" s="122" t="s">
        <v>155</v>
      </c>
      <c r="AJ9" s="307"/>
      <c r="AN9" s="3" t="s">
        <v>114</v>
      </c>
      <c r="AO9" s="3" t="s">
        <v>155</v>
      </c>
    </row>
    <row r="10" spans="1:44" ht="13.5" thickTop="1">
      <c r="A10" s="7" t="s">
        <v>5</v>
      </c>
      <c r="B10" s="11">
        <f aca="true" t="shared" si="0" ref="B10:K10">SUM(B12:B39)</f>
        <v>2800462</v>
      </c>
      <c r="C10" s="11">
        <f t="shared" si="0"/>
        <v>2677189</v>
      </c>
      <c r="D10" s="11">
        <f t="shared" si="0"/>
        <v>2839856</v>
      </c>
      <c r="E10" s="11">
        <f t="shared" si="0"/>
        <v>3014910.9699999997</v>
      </c>
      <c r="F10" s="11">
        <f t="shared" si="0"/>
        <v>3303979</v>
      </c>
      <c r="G10" s="11">
        <f t="shared" si="0"/>
        <v>3585203</v>
      </c>
      <c r="H10" s="11">
        <f t="shared" si="0"/>
        <v>3780196</v>
      </c>
      <c r="I10" s="11">
        <f t="shared" si="0"/>
        <v>3839435</v>
      </c>
      <c r="J10" s="11">
        <f t="shared" si="0"/>
        <v>3990917</v>
      </c>
      <c r="K10" s="11">
        <f t="shared" si="0"/>
        <v>4255030.00195</v>
      </c>
      <c r="L10" s="272">
        <f>(K10-J10)*100/J10</f>
        <v>6.61785253739931</v>
      </c>
      <c r="M10" s="50">
        <f>(K10-Y10)*100/Y10</f>
        <v>57.77010711702721</v>
      </c>
      <c r="N10" s="14">
        <f>SUM(N12:N43)</f>
        <v>1282917</v>
      </c>
      <c r="O10" s="14">
        <f aca="true" t="shared" si="1" ref="O10:Y10">SUM(O12:O43)</f>
        <v>1393768</v>
      </c>
      <c r="P10" s="14">
        <f t="shared" si="1"/>
        <v>1528036</v>
      </c>
      <c r="Q10" s="14">
        <f t="shared" si="1"/>
        <v>1665323</v>
      </c>
      <c r="R10" s="14">
        <f t="shared" si="1"/>
        <v>1846471</v>
      </c>
      <c r="S10" s="14">
        <f t="shared" si="1"/>
        <v>2024270</v>
      </c>
      <c r="T10" s="14">
        <f t="shared" si="1"/>
        <v>2206209</v>
      </c>
      <c r="U10" s="14">
        <f t="shared" si="1"/>
        <v>2247637</v>
      </c>
      <c r="V10" s="14">
        <f t="shared" si="1"/>
        <v>2325522</v>
      </c>
      <c r="W10" s="14">
        <f t="shared" si="1"/>
        <v>2424857.7760000005</v>
      </c>
      <c r="X10" s="14">
        <f t="shared" si="1"/>
        <v>2598041.9869999997</v>
      </c>
      <c r="Y10" s="14">
        <f t="shared" si="1"/>
        <v>2696981.12</v>
      </c>
      <c r="AA10" s="11">
        <f>SUM(AA12:AA39)</f>
        <v>3129196588</v>
      </c>
      <c r="AB10" s="11">
        <f>SUM(AB12:AB39)</f>
        <v>6721794.62</v>
      </c>
      <c r="AC10" s="11">
        <f>SUM(AC12:AC39)</f>
        <v>716960852.78</v>
      </c>
      <c r="AD10" s="11">
        <f>SUM(AD12:AD39)</f>
        <v>3839435646.16</v>
      </c>
      <c r="AE10" s="11">
        <f>SUM(AE12:AE39)</f>
        <v>3839435.6461599995</v>
      </c>
      <c r="AH10" s="11">
        <f>SUM(AH12:AH39)</f>
        <v>3225104541</v>
      </c>
      <c r="AI10" s="11">
        <f>SUM(AI12:AI39)</f>
        <v>5711754.749999999</v>
      </c>
      <c r="AJ10" s="11">
        <f>SUM(AJ12:AJ39)</f>
        <v>771524617.13</v>
      </c>
      <c r="AK10" s="11">
        <f>SUM(AK12:AK39)</f>
        <v>3990917403.380001</v>
      </c>
      <c r="AL10" s="11">
        <f>SUM(AL12:AL39)</f>
        <v>3990917.40338</v>
      </c>
      <c r="AN10" s="261">
        <f>SUM(AN12:AN39)</f>
        <v>3424356935.019999</v>
      </c>
      <c r="AO10" s="261">
        <f>SUM(AO12:AO39)</f>
        <v>5749994.7</v>
      </c>
      <c r="AP10" s="261">
        <f>SUM(AP12:AP39)</f>
        <v>836423061.6299999</v>
      </c>
      <c r="AQ10" s="261">
        <f>SUM(AQ12:AQ39)</f>
        <v>4255030001.95</v>
      </c>
      <c r="AR10" s="261">
        <f>SUM(AR12:AR39)</f>
        <v>4255030.00195</v>
      </c>
    </row>
    <row r="11" spans="2:25" ht="12.75">
      <c r="B11" s="15"/>
      <c r="C11" s="15"/>
      <c r="M11" s="15"/>
      <c r="O11" s="15"/>
      <c r="R11" s="15"/>
      <c r="S11" s="15"/>
      <c r="U11" s="1"/>
      <c r="V11" s="1"/>
      <c r="X11" s="22"/>
      <c r="Y11" s="15"/>
    </row>
    <row r="12" spans="1:44" ht="12.75">
      <c r="A12" s="1" t="s">
        <v>6</v>
      </c>
      <c r="B12" s="15">
        <v>34369</v>
      </c>
      <c r="C12" s="15">
        <v>33772</v>
      </c>
      <c r="D12" s="1">
        <v>35496</v>
      </c>
      <c r="E12" s="1">
        <v>36350</v>
      </c>
      <c r="F12" s="1">
        <v>36871</v>
      </c>
      <c r="G12" s="1">
        <v>39824</v>
      </c>
      <c r="H12" s="1">
        <v>40945</v>
      </c>
      <c r="I12" s="1">
        <v>41874</v>
      </c>
      <c r="J12" s="1">
        <v>43869</v>
      </c>
      <c r="K12" s="1">
        <v>46213.28163000001</v>
      </c>
      <c r="L12" s="272">
        <f>(K12-J12)*100/J12</f>
        <v>5.3438228133762165</v>
      </c>
      <c r="M12" s="50">
        <f>(K12-Y12)*100/Y12</f>
        <v>35.83616737824955</v>
      </c>
      <c r="N12" s="15">
        <v>19003</v>
      </c>
      <c r="O12" s="15">
        <v>20242</v>
      </c>
      <c r="P12" s="15">
        <v>21445</v>
      </c>
      <c r="Q12" s="28">
        <v>22670</v>
      </c>
      <c r="R12" s="28">
        <v>24640</v>
      </c>
      <c r="S12" s="28">
        <v>26265</v>
      </c>
      <c r="T12" s="28">
        <v>27530</v>
      </c>
      <c r="U12" s="28">
        <v>28661</v>
      </c>
      <c r="V12" s="28">
        <v>29133</v>
      </c>
      <c r="W12" s="29">
        <f>27113.852+3903.364</f>
        <v>31017.216</v>
      </c>
      <c r="X12" s="38">
        <f>28369.44+4251.064</f>
        <v>32620.504</v>
      </c>
      <c r="Y12" s="15">
        <f>29346.709+4674.629</f>
        <v>34021.337999999996</v>
      </c>
      <c r="AA12" s="3">
        <v>33974534</v>
      </c>
      <c r="AB12" s="3">
        <v>125360.44</v>
      </c>
      <c r="AC12" s="3">
        <v>8025130</v>
      </c>
      <c r="AD12" s="3">
        <f>AA12-AB12+AC12</f>
        <v>41874303.56</v>
      </c>
      <c r="AE12" s="3">
        <f>AD12/1000</f>
        <v>41874.30356</v>
      </c>
      <c r="AH12" s="3">
        <v>34912483</v>
      </c>
      <c r="AI12" s="3">
        <v>141365</v>
      </c>
      <c r="AJ12" s="3">
        <v>9098377</v>
      </c>
      <c r="AK12" s="3">
        <f>AH12-AI12+AJ12</f>
        <v>43869495</v>
      </c>
      <c r="AL12" s="3">
        <f>AK12/1000</f>
        <v>43869.495</v>
      </c>
      <c r="AN12" s="3">
        <v>37083559.03000001</v>
      </c>
      <c r="AO12" s="3">
        <v>162723.47</v>
      </c>
      <c r="AP12" s="3">
        <v>9292446.07</v>
      </c>
      <c r="AQ12" s="3">
        <f>AN12-AO12+AP12</f>
        <v>46213281.63000001</v>
      </c>
      <c r="AR12" s="3">
        <f>AQ12/1000</f>
        <v>46213.28163000001</v>
      </c>
    </row>
    <row r="13" spans="1:44" ht="12.75">
      <c r="A13" s="1" t="s">
        <v>7</v>
      </c>
      <c r="B13" s="15">
        <v>241584</v>
      </c>
      <c r="C13" s="15">
        <v>226336</v>
      </c>
      <c r="D13" s="1">
        <v>234438</v>
      </c>
      <c r="E13" s="1">
        <v>247616.92</v>
      </c>
      <c r="F13" s="1">
        <v>268848</v>
      </c>
      <c r="G13" s="1">
        <v>289399</v>
      </c>
      <c r="H13" s="1">
        <v>295866</v>
      </c>
      <c r="I13" s="1">
        <v>298203</v>
      </c>
      <c r="J13" s="1">
        <v>316152</v>
      </c>
      <c r="K13" s="1">
        <v>339474.2285699999</v>
      </c>
      <c r="L13" s="272">
        <f>(K13-J13)*100/J13</f>
        <v>7.376903695058048</v>
      </c>
      <c r="M13" s="50">
        <f>(K13-Y13)*100/Y13</f>
        <v>43.006579075852386</v>
      </c>
      <c r="N13" s="15">
        <v>120553</v>
      </c>
      <c r="O13" s="15">
        <v>129829</v>
      </c>
      <c r="P13" s="15">
        <v>141233</v>
      </c>
      <c r="Q13" s="28">
        <v>153249</v>
      </c>
      <c r="R13" s="28">
        <v>167493</v>
      </c>
      <c r="S13" s="28">
        <v>185592</v>
      </c>
      <c r="T13" s="28">
        <v>205817</v>
      </c>
      <c r="U13" s="28">
        <v>203702</v>
      </c>
      <c r="V13" s="28">
        <v>210800</v>
      </c>
      <c r="W13" s="29">
        <f>188520.394+30617.162</f>
        <v>219137.556</v>
      </c>
      <c r="X13" s="38">
        <f>201113.017+33511.67</f>
        <v>234624.68699999998</v>
      </c>
      <c r="Y13" s="15">
        <f>203360.807+34022.837</f>
        <v>237383.644</v>
      </c>
      <c r="AA13" s="3">
        <v>244522000</v>
      </c>
      <c r="AB13" s="3">
        <v>0</v>
      </c>
      <c r="AC13" s="3">
        <v>53681360</v>
      </c>
      <c r="AD13" s="3">
        <f>AA13-AB13+AC13</f>
        <v>298203360</v>
      </c>
      <c r="AE13" s="3">
        <f>AD13/1000</f>
        <v>298203.36</v>
      </c>
      <c r="AH13" s="3">
        <v>258563506</v>
      </c>
      <c r="AI13" s="3">
        <v>0</v>
      </c>
      <c r="AJ13" s="3">
        <v>57588148</v>
      </c>
      <c r="AK13" s="3">
        <f>AH13-AI13+AJ13</f>
        <v>316151654</v>
      </c>
      <c r="AL13" s="3">
        <f>AK13/1000</f>
        <v>316151.654</v>
      </c>
      <c r="AN13" s="3">
        <v>278249762.28999996</v>
      </c>
      <c r="AO13" s="3">
        <v>0</v>
      </c>
      <c r="AP13" s="3">
        <v>61224466.28</v>
      </c>
      <c r="AQ13" s="3">
        <f>AN13-AO13+AP13</f>
        <v>339474228.56999993</v>
      </c>
      <c r="AR13" s="3">
        <f>AQ13/1000</f>
        <v>339474.2285699999</v>
      </c>
    </row>
    <row r="14" spans="1:44" ht="12.75">
      <c r="A14" s="1" t="s">
        <v>8</v>
      </c>
      <c r="B14" s="15">
        <v>355402</v>
      </c>
      <c r="C14" s="15">
        <v>328673</v>
      </c>
      <c r="D14" s="1">
        <v>351684</v>
      </c>
      <c r="E14" s="1">
        <v>355132</v>
      </c>
      <c r="F14" s="1">
        <v>398555</v>
      </c>
      <c r="G14" s="1">
        <v>424535</v>
      </c>
      <c r="H14" s="1">
        <v>452130</v>
      </c>
      <c r="I14" s="1">
        <v>409620</v>
      </c>
      <c r="J14" s="1">
        <v>383272</v>
      </c>
      <c r="K14" s="1">
        <v>407609.64318</v>
      </c>
      <c r="L14" s="272">
        <f>(K14-J14)*100/J14</f>
        <v>6.349966389404917</v>
      </c>
      <c r="M14" s="50">
        <f>(K14-Y14)*100/Y14</f>
        <v>19.199545670977006</v>
      </c>
      <c r="N14" s="15">
        <v>185311</v>
      </c>
      <c r="O14" s="15">
        <v>200822</v>
      </c>
      <c r="P14" s="15">
        <v>214558</v>
      </c>
      <c r="Q14" s="28">
        <v>229158</v>
      </c>
      <c r="R14" s="28">
        <v>246294</v>
      </c>
      <c r="S14" s="28">
        <v>265330</v>
      </c>
      <c r="T14" s="28">
        <v>290159</v>
      </c>
      <c r="U14" s="28">
        <v>294945</v>
      </c>
      <c r="V14" s="28">
        <v>301029</v>
      </c>
      <c r="W14" s="29">
        <f>233475.657+69524.136</f>
        <v>302999.793</v>
      </c>
      <c r="X14" s="38">
        <f>250113.606+76618.569</f>
        <v>326732.175</v>
      </c>
      <c r="Y14" s="15">
        <f>260001.703+81953.999</f>
        <v>341955.702</v>
      </c>
      <c r="AA14" s="3">
        <v>314086041</v>
      </c>
      <c r="AB14" s="3">
        <v>0</v>
      </c>
      <c r="AC14" s="3">
        <v>95534122</v>
      </c>
      <c r="AD14" s="3">
        <f>AA14-AB14+AC14</f>
        <v>409620163</v>
      </c>
      <c r="AE14" s="3">
        <f>AD14/1000</f>
        <v>409620.163</v>
      </c>
      <c r="AH14" s="3">
        <v>280806624</v>
      </c>
      <c r="AI14" s="3">
        <v>0</v>
      </c>
      <c r="AJ14" s="3">
        <v>102465848</v>
      </c>
      <c r="AK14" s="3">
        <f>AH14-AI14+AJ14</f>
        <v>383272472</v>
      </c>
      <c r="AL14" s="3">
        <f>AK14/1000</f>
        <v>383272.472</v>
      </c>
      <c r="AN14" s="3">
        <v>297265330.13</v>
      </c>
      <c r="AO14" s="3">
        <v>0</v>
      </c>
      <c r="AP14" s="3">
        <v>110344313.05</v>
      </c>
      <c r="AQ14" s="3">
        <f>AN14-AO14+AP14</f>
        <v>407609643.18</v>
      </c>
      <c r="AR14" s="3">
        <f>AQ14/1000</f>
        <v>407609.64318</v>
      </c>
    </row>
    <row r="15" spans="1:44" ht="12.75">
      <c r="A15" s="1" t="s">
        <v>9</v>
      </c>
      <c r="B15" s="15">
        <v>356990</v>
      </c>
      <c r="C15" s="15">
        <v>342268</v>
      </c>
      <c r="D15" s="1">
        <v>349370</v>
      </c>
      <c r="E15" s="1">
        <v>377302</v>
      </c>
      <c r="F15" s="1">
        <v>407517</v>
      </c>
      <c r="G15" s="1">
        <v>437209</v>
      </c>
      <c r="H15" s="1">
        <v>450778</v>
      </c>
      <c r="I15" s="1">
        <v>463601</v>
      </c>
      <c r="J15" s="1">
        <v>485949</v>
      </c>
      <c r="K15" s="1">
        <v>509698.28848000005</v>
      </c>
      <c r="L15" s="272">
        <f>(K15-J15)*100/J15</f>
        <v>4.887197726510405</v>
      </c>
      <c r="M15" s="50">
        <f>(K15-Y15)*100/Y15</f>
        <v>49.98677348216937</v>
      </c>
      <c r="N15" s="15">
        <v>187010</v>
      </c>
      <c r="O15" s="15">
        <v>199111</v>
      </c>
      <c r="P15" s="15">
        <v>216156</v>
      </c>
      <c r="Q15" s="28">
        <v>224709</v>
      </c>
      <c r="R15" s="28">
        <v>258046</v>
      </c>
      <c r="S15" s="28">
        <v>273859</v>
      </c>
      <c r="T15" s="28">
        <v>288003</v>
      </c>
      <c r="U15" s="28">
        <v>294923</v>
      </c>
      <c r="V15" s="28">
        <v>297512</v>
      </c>
      <c r="W15" s="29">
        <f>260815.351+44641.775</f>
        <v>305457.126</v>
      </c>
      <c r="X15" s="38">
        <f>279136.357+46436.483</f>
        <v>325572.84</v>
      </c>
      <c r="Y15" s="15">
        <f>289841.298+49987.526</f>
        <v>339828.824</v>
      </c>
      <c r="AA15" s="3">
        <v>373784450</v>
      </c>
      <c r="AB15" s="3">
        <v>154088.94</v>
      </c>
      <c r="AC15" s="3">
        <v>89970786</v>
      </c>
      <c r="AD15" s="3">
        <f>AA15-AB15+AC15</f>
        <v>463601147.06</v>
      </c>
      <c r="AE15" s="3">
        <f>AD15/1000</f>
        <v>463601.14706</v>
      </c>
      <c r="AH15" s="3">
        <v>388634826</v>
      </c>
      <c r="AI15" s="3">
        <v>137093.94</v>
      </c>
      <c r="AJ15" s="3">
        <v>97451319</v>
      </c>
      <c r="AK15" s="3">
        <f>AH15-AI15+AJ15</f>
        <v>485949051.06</v>
      </c>
      <c r="AL15" s="3">
        <f>AK15/1000</f>
        <v>485949.05106</v>
      </c>
      <c r="AN15" s="3">
        <v>404123629.25</v>
      </c>
      <c r="AO15" s="3">
        <v>217340.61</v>
      </c>
      <c r="AP15" s="3">
        <v>105791999.84</v>
      </c>
      <c r="AQ15" s="3">
        <f>AN15-AO15+AP15</f>
        <v>509698288.48</v>
      </c>
      <c r="AR15" s="3">
        <f>AQ15/1000</f>
        <v>509698.28848000005</v>
      </c>
    </row>
    <row r="16" spans="1:44" ht="12.75">
      <c r="A16" s="1" t="s">
        <v>10</v>
      </c>
      <c r="B16" s="15">
        <v>45030</v>
      </c>
      <c r="C16" s="15">
        <v>44276</v>
      </c>
      <c r="D16" s="1">
        <v>47798</v>
      </c>
      <c r="E16" s="1">
        <v>52210</v>
      </c>
      <c r="F16" s="1">
        <v>56889</v>
      </c>
      <c r="G16" s="1">
        <v>63190</v>
      </c>
      <c r="H16" s="1">
        <v>69935</v>
      </c>
      <c r="I16" s="1">
        <v>75655</v>
      </c>
      <c r="J16" s="1">
        <v>79302</v>
      </c>
      <c r="K16" s="1">
        <v>85922.30526000002</v>
      </c>
      <c r="L16" s="272">
        <f>(K16-J16)*100/J16</f>
        <v>8.34821979269126</v>
      </c>
      <c r="M16" s="50">
        <f>(K16-Y16)*100/Y16</f>
        <v>106.49693562635561</v>
      </c>
      <c r="N16" s="15">
        <v>13960</v>
      </c>
      <c r="O16" s="15">
        <v>15143</v>
      </c>
      <c r="P16" s="15">
        <v>16755</v>
      </c>
      <c r="Q16" s="28">
        <v>18379</v>
      </c>
      <c r="R16" s="28">
        <v>21000</v>
      </c>
      <c r="S16" s="28">
        <v>23543</v>
      </c>
      <c r="T16" s="28">
        <v>26451</v>
      </c>
      <c r="U16" s="28">
        <v>30315</v>
      </c>
      <c r="V16" s="28">
        <v>32693</v>
      </c>
      <c r="W16" s="29">
        <f>30745.432+5085.919</f>
        <v>35831.351</v>
      </c>
      <c r="X16" s="38">
        <f>33056.258+5507.116</f>
        <v>38563.374</v>
      </c>
      <c r="Y16" s="15">
        <f>35630.831+5978.651</f>
        <v>41609.481999999996</v>
      </c>
      <c r="AA16" s="3">
        <v>62230447</v>
      </c>
      <c r="AB16" s="3">
        <v>191327.97</v>
      </c>
      <c r="AC16" s="3">
        <v>13616333</v>
      </c>
      <c r="AD16" s="3">
        <f>AA16-AB16+AC16</f>
        <v>75655452.03</v>
      </c>
      <c r="AE16" s="3">
        <f>AD16/1000</f>
        <v>75655.45203</v>
      </c>
      <c r="AH16" s="3">
        <v>65249194</v>
      </c>
      <c r="AI16" s="3">
        <v>203616.77</v>
      </c>
      <c r="AJ16" s="3">
        <v>14256280</v>
      </c>
      <c r="AK16" s="3">
        <f>AH16-AI16+AJ16</f>
        <v>79301857.22999999</v>
      </c>
      <c r="AL16" s="3">
        <f>AK16/1000</f>
        <v>79301.85723</v>
      </c>
      <c r="AN16" s="3">
        <v>70204832.15</v>
      </c>
      <c r="AO16" s="3">
        <v>186201.32</v>
      </c>
      <c r="AP16" s="3">
        <v>15903674.430000002</v>
      </c>
      <c r="AQ16" s="3">
        <f>AN16-AO16+AP16</f>
        <v>85922305.26000002</v>
      </c>
      <c r="AR16" s="3">
        <f>AQ16/1000</f>
        <v>85922.30526000002</v>
      </c>
    </row>
    <row r="17" spans="2:25" ht="12.75">
      <c r="B17" s="15"/>
      <c r="C17" s="15"/>
      <c r="L17" s="50"/>
      <c r="M17" s="50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</row>
    <row r="18" spans="1:44" ht="12.75">
      <c r="A18" s="1" t="s">
        <v>11</v>
      </c>
      <c r="B18" s="15">
        <v>16926</v>
      </c>
      <c r="C18" s="15">
        <v>16267</v>
      </c>
      <c r="D18" s="1">
        <v>17470</v>
      </c>
      <c r="E18" s="1">
        <v>17921</v>
      </c>
      <c r="F18" s="1">
        <v>18582</v>
      </c>
      <c r="G18" s="1">
        <v>19819</v>
      </c>
      <c r="H18" s="1">
        <v>21162</v>
      </c>
      <c r="I18" s="1">
        <v>22226</v>
      </c>
      <c r="J18" s="1">
        <v>22814</v>
      </c>
      <c r="K18" s="1">
        <v>23766.702840000005</v>
      </c>
      <c r="L18" s="272">
        <f>(K18-J18)*100/J18</f>
        <v>4.175957043920423</v>
      </c>
      <c r="M18" s="50">
        <f>(K18-Y18)*100/Y18</f>
        <v>46.95990610080144</v>
      </c>
      <c r="N18" s="15">
        <v>6316</v>
      </c>
      <c r="O18" s="15">
        <v>6797</v>
      </c>
      <c r="P18" s="15">
        <v>7933</v>
      </c>
      <c r="Q18" s="28">
        <v>8877</v>
      </c>
      <c r="R18" s="28">
        <v>9900</v>
      </c>
      <c r="S18" s="28">
        <v>10920</v>
      </c>
      <c r="T18" s="28">
        <v>12072</v>
      </c>
      <c r="U18" s="28">
        <v>12784</v>
      </c>
      <c r="V18" s="28">
        <v>13201</v>
      </c>
      <c r="W18" s="29">
        <f>12490.428+1615.668</f>
        <v>14106.096</v>
      </c>
      <c r="X18" s="38">
        <f>13274.194+1826.502</f>
        <v>15100.696</v>
      </c>
      <c r="Y18" s="15">
        <f>14212.639+1959.597</f>
        <v>16172.235999999999</v>
      </c>
      <c r="AA18" s="3">
        <v>18592989</v>
      </c>
      <c r="AB18" s="3">
        <v>0</v>
      </c>
      <c r="AC18" s="3">
        <v>3632785.6</v>
      </c>
      <c r="AD18" s="3">
        <f>AA18-AB18+AC18</f>
        <v>22225774.6</v>
      </c>
      <c r="AE18" s="3">
        <f>AD18/1000</f>
        <v>22225.7746</v>
      </c>
      <c r="AH18" s="3">
        <v>19151266</v>
      </c>
      <c r="AI18" s="3">
        <v>0</v>
      </c>
      <c r="AJ18" s="3">
        <v>3663055.18</v>
      </c>
      <c r="AK18" s="3">
        <f>AH18-AI18+AJ18</f>
        <v>22814321.18</v>
      </c>
      <c r="AL18" s="3">
        <f>AK18/1000</f>
        <v>22814.32118</v>
      </c>
      <c r="AN18" s="3">
        <v>19821002.320000004</v>
      </c>
      <c r="AO18" s="3">
        <v>0</v>
      </c>
      <c r="AP18" s="3">
        <v>3945700.52</v>
      </c>
      <c r="AQ18" s="3">
        <f>AN18-AO18+AP18</f>
        <v>23766702.840000004</v>
      </c>
      <c r="AR18" s="3">
        <f>AQ18/1000</f>
        <v>23766.702840000005</v>
      </c>
    </row>
    <row r="19" spans="1:44" ht="12.75">
      <c r="A19" s="1" t="s">
        <v>12</v>
      </c>
      <c r="B19" s="15">
        <v>77606</v>
      </c>
      <c r="C19" s="15">
        <v>76084</v>
      </c>
      <c r="D19" s="1">
        <v>81496</v>
      </c>
      <c r="E19" s="1">
        <v>86256</v>
      </c>
      <c r="F19" s="1">
        <v>93339</v>
      </c>
      <c r="G19" s="1">
        <v>100264</v>
      </c>
      <c r="H19" s="1">
        <v>105636</v>
      </c>
      <c r="I19" s="1">
        <v>112967</v>
      </c>
      <c r="J19" s="1">
        <v>119724</v>
      </c>
      <c r="K19" s="1">
        <v>128055.34163999998</v>
      </c>
      <c r="L19" s="272">
        <f>(K19-J19)*100/J19</f>
        <v>6.958789916808647</v>
      </c>
      <c r="M19" s="50">
        <f>(K19-Y19)*100/Y19</f>
        <v>66.83162611096694</v>
      </c>
      <c r="N19" s="15">
        <v>30407</v>
      </c>
      <c r="O19" s="15">
        <v>33201</v>
      </c>
      <c r="P19" s="15">
        <v>36765</v>
      </c>
      <c r="Q19" s="28">
        <v>41664</v>
      </c>
      <c r="R19" s="28">
        <v>48096</v>
      </c>
      <c r="S19" s="28">
        <v>53331</v>
      </c>
      <c r="T19" s="28">
        <v>58352</v>
      </c>
      <c r="U19" s="28">
        <v>61496</v>
      </c>
      <c r="V19" s="28">
        <v>63844</v>
      </c>
      <c r="W19" s="29">
        <f>59376.415+8301.349</f>
        <v>67677.764</v>
      </c>
      <c r="X19" s="38">
        <f>63322.936+9118.007</f>
        <v>72440.943</v>
      </c>
      <c r="Y19" s="15">
        <f>66691.727+10065.507</f>
        <v>76757.234</v>
      </c>
      <c r="AA19" s="3">
        <v>94614711</v>
      </c>
      <c r="AB19" s="3">
        <v>373512.02</v>
      </c>
      <c r="AC19" s="3">
        <v>18725505</v>
      </c>
      <c r="AD19" s="3">
        <f>AA19-AB19+AC19</f>
        <v>112966703.98</v>
      </c>
      <c r="AE19" s="3">
        <f>AD19/1000</f>
        <v>112966.70398</v>
      </c>
      <c r="AH19" s="3">
        <v>99755406</v>
      </c>
      <c r="AI19" s="3">
        <v>398990.88</v>
      </c>
      <c r="AJ19" s="3">
        <v>20367231</v>
      </c>
      <c r="AK19" s="3">
        <f>AH19-AI19+AJ19</f>
        <v>119723646.12</v>
      </c>
      <c r="AL19" s="3">
        <f>AK19/1000</f>
        <v>119723.64612</v>
      </c>
      <c r="AN19" s="3">
        <v>106535462.99999999</v>
      </c>
      <c r="AO19" s="3">
        <v>409615.23</v>
      </c>
      <c r="AP19" s="3">
        <v>21929493.87</v>
      </c>
      <c r="AQ19" s="3">
        <f>AN19-AO19+AP19</f>
        <v>128055341.63999999</v>
      </c>
      <c r="AR19" s="3">
        <f>AQ19/1000</f>
        <v>128055.34163999998</v>
      </c>
    </row>
    <row r="20" spans="1:44" ht="12.75">
      <c r="A20" s="1" t="s">
        <v>13</v>
      </c>
      <c r="B20" s="15">
        <v>46415</v>
      </c>
      <c r="C20" s="15">
        <v>43813</v>
      </c>
      <c r="D20" s="1">
        <v>46881</v>
      </c>
      <c r="E20" s="1">
        <v>49561</v>
      </c>
      <c r="F20" s="1">
        <v>53879</v>
      </c>
      <c r="G20" s="1">
        <v>57403</v>
      </c>
      <c r="H20" s="1">
        <v>60292</v>
      </c>
      <c r="I20" s="1">
        <v>63947</v>
      </c>
      <c r="J20" s="1">
        <v>67825</v>
      </c>
      <c r="K20" s="1">
        <v>73191.78221</v>
      </c>
      <c r="L20" s="272">
        <f>(K20-J20)*100/J20</f>
        <v>7.912690320678223</v>
      </c>
      <c r="M20" s="50">
        <f>(K20-Y20)*100/Y20</f>
        <v>65.31938572977212</v>
      </c>
      <c r="N20" s="15">
        <v>18939</v>
      </c>
      <c r="O20" s="15">
        <v>20867</v>
      </c>
      <c r="P20" s="15">
        <v>22850</v>
      </c>
      <c r="Q20" s="28">
        <v>25468</v>
      </c>
      <c r="R20" s="28">
        <v>27922</v>
      </c>
      <c r="S20" s="28">
        <v>31316</v>
      </c>
      <c r="T20" s="28">
        <v>33926</v>
      </c>
      <c r="U20" s="28">
        <v>35495</v>
      </c>
      <c r="V20" s="28">
        <v>37395</v>
      </c>
      <c r="W20" s="29">
        <f>33447.211+5666.297</f>
        <v>39113.508</v>
      </c>
      <c r="X20" s="38">
        <f>36423.041+6205.43</f>
        <v>42628.471</v>
      </c>
      <c r="Y20" s="15">
        <f>37633.736+6639.222</f>
        <v>44272.958</v>
      </c>
      <c r="AA20" s="3">
        <v>51033162</v>
      </c>
      <c r="AB20" s="3">
        <v>0</v>
      </c>
      <c r="AC20" s="3">
        <v>12913411</v>
      </c>
      <c r="AD20" s="3">
        <f>AA20-AB20+AC20</f>
        <v>63946573</v>
      </c>
      <c r="AE20" s="3">
        <f>AD20/1000</f>
        <v>63946.573</v>
      </c>
      <c r="AH20" s="3">
        <v>54207475</v>
      </c>
      <c r="AI20" s="3">
        <v>0</v>
      </c>
      <c r="AJ20" s="3">
        <v>13617223</v>
      </c>
      <c r="AK20" s="3">
        <f>AH20-AI20+AJ20</f>
        <v>67824698</v>
      </c>
      <c r="AL20" s="3">
        <f>AK20/1000</f>
        <v>67824.698</v>
      </c>
      <c r="AN20" s="3">
        <v>57924178.7</v>
      </c>
      <c r="AO20" s="3">
        <v>0</v>
      </c>
      <c r="AP20" s="3">
        <v>15267603.51</v>
      </c>
      <c r="AQ20" s="3">
        <f>AN20-AO20+AP20</f>
        <v>73191782.21000001</v>
      </c>
      <c r="AR20" s="3">
        <f>AQ20/1000</f>
        <v>73191.78221</v>
      </c>
    </row>
    <row r="21" spans="1:44" ht="12.75">
      <c r="A21" s="1" t="s">
        <v>14</v>
      </c>
      <c r="B21" s="15">
        <v>64879</v>
      </c>
      <c r="C21" s="15">
        <v>63494</v>
      </c>
      <c r="D21" s="1">
        <v>67884</v>
      </c>
      <c r="E21" s="1">
        <v>72994</v>
      </c>
      <c r="F21" s="1">
        <v>81350</v>
      </c>
      <c r="G21" s="1">
        <v>88239</v>
      </c>
      <c r="H21" s="1">
        <v>94555</v>
      </c>
      <c r="I21" s="1">
        <v>99872</v>
      </c>
      <c r="J21" s="1">
        <v>107033</v>
      </c>
      <c r="K21" s="1">
        <v>117815.48083000001</v>
      </c>
      <c r="L21" s="272">
        <f>(K21-J21)*100/J21</f>
        <v>10.073977960068405</v>
      </c>
      <c r="M21" s="50">
        <f>(K21-Y21)*100/Y21</f>
        <v>83.6901562824763</v>
      </c>
      <c r="N21" s="15">
        <v>26795</v>
      </c>
      <c r="O21" s="15">
        <v>28739</v>
      </c>
      <c r="P21" s="15">
        <v>31926</v>
      </c>
      <c r="Q21" s="28">
        <v>35569</v>
      </c>
      <c r="R21" s="28">
        <v>40082</v>
      </c>
      <c r="S21" s="28">
        <v>45219</v>
      </c>
      <c r="T21" s="28">
        <v>50366</v>
      </c>
      <c r="U21" s="28">
        <v>52833</v>
      </c>
      <c r="V21" s="28">
        <v>56422</v>
      </c>
      <c r="W21" s="29">
        <f>50977.573+9331.016</f>
        <v>60308.58899999999</v>
      </c>
      <c r="X21" s="38">
        <f>53572.814+9817.683</f>
        <v>63390.497</v>
      </c>
      <c r="Y21" s="15">
        <f>54692.233+9445.924</f>
        <v>64138.157</v>
      </c>
      <c r="AA21" s="3">
        <v>83758459</v>
      </c>
      <c r="AB21" s="3">
        <v>573820.12</v>
      </c>
      <c r="AC21" s="3">
        <v>16687422</v>
      </c>
      <c r="AD21" s="3">
        <f>AA21-AB21+AC21</f>
        <v>99872060.88</v>
      </c>
      <c r="AE21" s="3">
        <f>AD21/1000</f>
        <v>99872.06087999999</v>
      </c>
      <c r="AH21" s="3">
        <v>89386686</v>
      </c>
      <c r="AI21" s="3">
        <v>630138.36</v>
      </c>
      <c r="AJ21" s="3">
        <v>18276252</v>
      </c>
      <c r="AK21" s="3">
        <f>AH21-AI21+AJ21</f>
        <v>107032799.64</v>
      </c>
      <c r="AL21" s="3">
        <f>AK21/1000</f>
        <v>107032.79964</v>
      </c>
      <c r="AN21" s="3">
        <v>98202912.26000002</v>
      </c>
      <c r="AO21" s="3">
        <v>685110.25</v>
      </c>
      <c r="AP21" s="3">
        <v>20297678.82</v>
      </c>
      <c r="AQ21" s="3">
        <f>AN21-AO21+AP21</f>
        <v>117815480.83000001</v>
      </c>
      <c r="AR21" s="3">
        <f>AQ21/1000</f>
        <v>117815.48083000001</v>
      </c>
    </row>
    <row r="22" spans="1:44" ht="12.75">
      <c r="A22" s="1" t="s">
        <v>15</v>
      </c>
      <c r="B22" s="15">
        <v>16785</v>
      </c>
      <c r="C22" s="15">
        <v>15925</v>
      </c>
      <c r="D22" s="1">
        <v>16569</v>
      </c>
      <c r="E22" s="1">
        <v>17581</v>
      </c>
      <c r="F22" s="1">
        <v>18714</v>
      </c>
      <c r="G22" s="1">
        <v>18487</v>
      </c>
      <c r="H22" s="1">
        <v>19083</v>
      </c>
      <c r="I22" s="1">
        <v>19688</v>
      </c>
      <c r="J22" s="1">
        <v>20734</v>
      </c>
      <c r="K22" s="1">
        <v>21936.319569999996</v>
      </c>
      <c r="L22" s="272">
        <f>(K22-J22)*100/J22</f>
        <v>5.798782531108305</v>
      </c>
      <c r="M22" s="50">
        <f>(K22-Y22)*100/Y22</f>
        <v>38.88056255684911</v>
      </c>
      <c r="N22" s="15">
        <v>8580</v>
      </c>
      <c r="O22" s="15">
        <v>9160</v>
      </c>
      <c r="P22" s="15">
        <v>9773</v>
      </c>
      <c r="Q22" s="28">
        <v>10693</v>
      </c>
      <c r="R22" s="28">
        <v>11737</v>
      </c>
      <c r="S22" s="28">
        <v>12870</v>
      </c>
      <c r="T22" s="28">
        <v>13552</v>
      </c>
      <c r="U22" s="28">
        <v>13395</v>
      </c>
      <c r="V22" s="28">
        <v>13961</v>
      </c>
      <c r="W22" s="29">
        <f>12755.609+1952.997</f>
        <v>14708.606</v>
      </c>
      <c r="X22" s="38">
        <f>13482.615+2066.83</f>
        <v>15549.445</v>
      </c>
      <c r="Y22" s="15">
        <f>13587.873+2207.224</f>
        <v>15795.097</v>
      </c>
      <c r="AA22" s="3">
        <v>16702531</v>
      </c>
      <c r="AB22" s="3">
        <v>200446.2</v>
      </c>
      <c r="AC22" s="3">
        <v>3186317.75</v>
      </c>
      <c r="AD22" s="3">
        <f>AA22-AB22+AC22</f>
        <v>19688402.55</v>
      </c>
      <c r="AE22" s="3">
        <f>AD22/1000</f>
        <v>19688.402550000003</v>
      </c>
      <c r="AH22" s="3">
        <v>17615660</v>
      </c>
      <c r="AI22" s="3">
        <v>220199.88</v>
      </c>
      <c r="AJ22" s="3">
        <v>3339031.79</v>
      </c>
      <c r="AK22" s="3">
        <f>AH22-AI22+AJ22</f>
        <v>20734491.91</v>
      </c>
      <c r="AL22" s="3">
        <f>AK22/1000</f>
        <v>20734.49191</v>
      </c>
      <c r="AN22" s="3">
        <v>18618080.689999998</v>
      </c>
      <c r="AO22" s="3">
        <v>213472.75</v>
      </c>
      <c r="AP22" s="3">
        <v>3531711.63</v>
      </c>
      <c r="AQ22" s="3">
        <f>AN22-AO22+AP22</f>
        <v>21936319.569999997</v>
      </c>
      <c r="AR22" s="3">
        <f>AQ22/1000</f>
        <v>21936.319569999996</v>
      </c>
    </row>
    <row r="23" spans="2:25" ht="12.75">
      <c r="B23" s="15"/>
      <c r="C23" s="15"/>
      <c r="L23" s="50"/>
      <c r="M23" s="50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</row>
    <row r="24" spans="1:44" ht="12.75">
      <c r="A24" s="1" t="s">
        <v>16</v>
      </c>
      <c r="B24" s="15">
        <v>104990</v>
      </c>
      <c r="C24" s="15">
        <v>102455</v>
      </c>
      <c r="D24" s="1">
        <v>110067</v>
      </c>
      <c r="E24" s="1">
        <v>117605</v>
      </c>
      <c r="F24" s="1">
        <v>128643</v>
      </c>
      <c r="G24" s="1">
        <v>141866</v>
      </c>
      <c r="H24" s="1">
        <v>148863</v>
      </c>
      <c r="I24" s="1">
        <v>156737</v>
      </c>
      <c r="J24" s="1">
        <v>168331</v>
      </c>
      <c r="K24" s="1">
        <v>180133.71491000004</v>
      </c>
      <c r="L24" s="272">
        <f>(K24-J24)*100/J24</f>
        <v>7.01161099856832</v>
      </c>
      <c r="M24" s="50">
        <f>(K24-Y24)*100/Y24</f>
        <v>77.16618659944493</v>
      </c>
      <c r="N24" s="15">
        <v>38692</v>
      </c>
      <c r="O24" s="15">
        <v>41981</v>
      </c>
      <c r="P24" s="15">
        <v>46730</v>
      </c>
      <c r="Q24" s="28">
        <v>52140</v>
      </c>
      <c r="R24" s="28">
        <v>59105</v>
      </c>
      <c r="S24" s="28">
        <v>66710</v>
      </c>
      <c r="T24" s="28">
        <v>73706</v>
      </c>
      <c r="U24" s="28">
        <v>79051</v>
      </c>
      <c r="V24" s="28">
        <v>83670</v>
      </c>
      <c r="W24" s="29">
        <f>79682.016+10331.642</f>
        <v>90013.658</v>
      </c>
      <c r="X24" s="38">
        <f>87428.687+11649.314</f>
        <v>99078.001</v>
      </c>
      <c r="Y24" s="15">
        <f>89429.424+12245.573</f>
        <v>101674.997</v>
      </c>
      <c r="AA24" s="3">
        <v>134649688</v>
      </c>
      <c r="AB24" s="3">
        <v>556932.21</v>
      </c>
      <c r="AC24" s="3">
        <v>22644209</v>
      </c>
      <c r="AD24" s="3">
        <f>AA24-AB24+AC24</f>
        <v>156736964.79000002</v>
      </c>
      <c r="AE24" s="3">
        <f>AD24/1000</f>
        <v>156736.96479000003</v>
      </c>
      <c r="AH24" s="3">
        <v>143918608</v>
      </c>
      <c r="AI24" s="3">
        <v>665736.98</v>
      </c>
      <c r="AJ24" s="3">
        <v>25078131</v>
      </c>
      <c r="AK24" s="3">
        <f>AH24-AI24+AJ24</f>
        <v>168331002.02</v>
      </c>
      <c r="AL24" s="3">
        <f>AK24/1000</f>
        <v>168331.00202</v>
      </c>
      <c r="AN24" s="3">
        <v>152977106.27000004</v>
      </c>
      <c r="AO24" s="3">
        <v>763330.83</v>
      </c>
      <c r="AP24" s="3">
        <v>27919939.47</v>
      </c>
      <c r="AQ24" s="3">
        <f>AN24-AO24+AP24</f>
        <v>180133714.91000003</v>
      </c>
      <c r="AR24" s="3">
        <f>AQ24/1000</f>
        <v>180133.71491000004</v>
      </c>
    </row>
    <row r="25" spans="1:44" ht="12.75">
      <c r="A25" s="1" t="s">
        <v>17</v>
      </c>
      <c r="B25" s="15">
        <v>17106</v>
      </c>
      <c r="C25" s="15">
        <v>16408</v>
      </c>
      <c r="D25" s="1">
        <v>16892</v>
      </c>
      <c r="E25" s="1">
        <v>17550</v>
      </c>
      <c r="F25" s="1">
        <v>18596</v>
      </c>
      <c r="G25" s="1">
        <v>19502</v>
      </c>
      <c r="H25" s="1">
        <v>19762</v>
      </c>
      <c r="I25" s="1">
        <v>20535</v>
      </c>
      <c r="J25" s="1">
        <v>21407</v>
      </c>
      <c r="K25" s="1">
        <v>22004.08974</v>
      </c>
      <c r="L25" s="272">
        <f>(K25-J25)*100/J25</f>
        <v>2.789226608118837</v>
      </c>
      <c r="M25" s="50">
        <f>(K25-Y25)*100/Y25</f>
        <v>34.318373902151365</v>
      </c>
      <c r="N25" s="15">
        <v>7881</v>
      </c>
      <c r="O25" s="15">
        <v>8484</v>
      </c>
      <c r="P25" s="15">
        <v>9559</v>
      </c>
      <c r="Q25" s="28">
        <v>10480</v>
      </c>
      <c r="R25" s="28">
        <v>11627</v>
      </c>
      <c r="S25" s="28">
        <v>12307</v>
      </c>
      <c r="T25" s="28">
        <v>13596</v>
      </c>
      <c r="U25" s="28">
        <v>13777</v>
      </c>
      <c r="V25" s="28">
        <v>14208</v>
      </c>
      <c r="W25" s="29">
        <f>12806.034+1948.174</f>
        <v>14754.207999999999</v>
      </c>
      <c r="X25" s="38">
        <f>13556.578+2060.921</f>
        <v>15617.499</v>
      </c>
      <c r="Y25" s="15">
        <f>14297.529+2084.511</f>
        <v>16382.04</v>
      </c>
      <c r="AA25" s="3">
        <v>17642960</v>
      </c>
      <c r="AB25" s="3">
        <v>0</v>
      </c>
      <c r="AC25" s="3">
        <v>2891607.98</v>
      </c>
      <c r="AD25" s="3">
        <f>AA25-AB25+AC25</f>
        <v>20534567.98</v>
      </c>
      <c r="AE25" s="3">
        <f>AD25/1000</f>
        <v>20534.56798</v>
      </c>
      <c r="AH25" s="3">
        <v>18330957</v>
      </c>
      <c r="AI25" s="3">
        <v>0</v>
      </c>
      <c r="AJ25" s="3">
        <v>3076393.53</v>
      </c>
      <c r="AK25" s="3">
        <f>AH25-AI25+AJ25</f>
        <v>21407350.53</v>
      </c>
      <c r="AL25" s="3">
        <f>AK25/1000</f>
        <v>21407.35053</v>
      </c>
      <c r="AN25" s="3">
        <v>18790324.009999998</v>
      </c>
      <c r="AO25" s="3">
        <v>0</v>
      </c>
      <c r="AP25" s="3">
        <v>3213765.73</v>
      </c>
      <c r="AQ25" s="3">
        <f>AN25-AO25+AP25</f>
        <v>22004089.74</v>
      </c>
      <c r="AR25" s="3">
        <f>AQ25/1000</f>
        <v>22004.08974</v>
      </c>
    </row>
    <row r="26" spans="1:44" ht="12.75">
      <c r="A26" s="1" t="s">
        <v>18</v>
      </c>
      <c r="B26" s="15">
        <v>115854</v>
      </c>
      <c r="C26" s="15">
        <v>112406</v>
      </c>
      <c r="D26" s="1">
        <v>117750</v>
      </c>
      <c r="E26" s="1">
        <v>125269</v>
      </c>
      <c r="F26" s="1">
        <v>133559</v>
      </c>
      <c r="G26" s="1">
        <v>144605</v>
      </c>
      <c r="H26" s="1">
        <v>150447</v>
      </c>
      <c r="I26" s="1">
        <v>152515</v>
      </c>
      <c r="J26" s="1">
        <v>157199</v>
      </c>
      <c r="K26" s="1">
        <v>177164.79252999998</v>
      </c>
      <c r="L26" s="272">
        <f>(K26-J26)*100/J26</f>
        <v>12.700966628286425</v>
      </c>
      <c r="M26" s="50">
        <f>(K26-Y26)*100/Y26</f>
        <v>61.01939106905692</v>
      </c>
      <c r="N26" s="15">
        <v>45061</v>
      </c>
      <c r="O26" s="15">
        <v>49300</v>
      </c>
      <c r="P26" s="15">
        <v>55117</v>
      </c>
      <c r="Q26" s="28">
        <v>60128</v>
      </c>
      <c r="R26" s="28">
        <v>68210</v>
      </c>
      <c r="S26" s="28">
        <v>74920</v>
      </c>
      <c r="T26" s="28">
        <v>82193</v>
      </c>
      <c r="U26" s="28">
        <v>86213</v>
      </c>
      <c r="V26" s="28">
        <v>91283</v>
      </c>
      <c r="W26" s="29">
        <f>86040.623+11643.357</f>
        <v>97683.98000000001</v>
      </c>
      <c r="X26" s="38">
        <f>93150.36+13503.302</f>
        <v>106653.662</v>
      </c>
      <c r="Y26" s="15">
        <f>95981.486+14045.506</f>
        <v>110026.992</v>
      </c>
      <c r="AA26" s="3">
        <v>128406492</v>
      </c>
      <c r="AB26" s="3">
        <v>0</v>
      </c>
      <c r="AC26" s="3">
        <v>24108805</v>
      </c>
      <c r="AD26" s="3">
        <f>AA26-AB26+AC26</f>
        <v>152515297</v>
      </c>
      <c r="AE26" s="3">
        <f>AD26/1000</f>
        <v>152515.297</v>
      </c>
      <c r="AH26" s="3">
        <v>131688444</v>
      </c>
      <c r="AI26" s="3">
        <v>0</v>
      </c>
      <c r="AJ26" s="3">
        <v>25510414</v>
      </c>
      <c r="AK26" s="3">
        <f>AH26-AI26+AJ26</f>
        <v>157198858</v>
      </c>
      <c r="AL26" s="3">
        <f>AK26/1000</f>
        <v>157198.858</v>
      </c>
      <c r="AN26" s="3">
        <v>147121796.75999996</v>
      </c>
      <c r="AO26" s="3">
        <v>0</v>
      </c>
      <c r="AP26" s="3">
        <v>30042995.770000003</v>
      </c>
      <c r="AQ26" s="3">
        <f>AN26-AO26+AP26</f>
        <v>177164792.52999997</v>
      </c>
      <c r="AR26" s="3">
        <f>AQ26/1000</f>
        <v>177164.79252999998</v>
      </c>
    </row>
    <row r="27" spans="1:44" ht="12.75">
      <c r="A27" s="1" t="s">
        <v>19</v>
      </c>
      <c r="B27" s="15">
        <v>142951</v>
      </c>
      <c r="C27" s="15">
        <v>139239</v>
      </c>
      <c r="D27" s="1">
        <v>149092</v>
      </c>
      <c r="E27" s="1">
        <v>168233</v>
      </c>
      <c r="F27" s="1">
        <v>189576</v>
      </c>
      <c r="G27" s="1">
        <v>211455</v>
      </c>
      <c r="H27" s="1">
        <v>223137</v>
      </c>
      <c r="I27" s="1">
        <v>244268</v>
      </c>
      <c r="J27" s="1">
        <v>263709</v>
      </c>
      <c r="K27" s="1">
        <v>279590.70275</v>
      </c>
      <c r="L27" s="272">
        <f>(K27-J27)*100/J27</f>
        <v>6.022434861912182</v>
      </c>
      <c r="M27" s="50">
        <f>(K27-Y27)*100/Y27</f>
        <v>102.79356904686973</v>
      </c>
      <c r="N27" s="15">
        <v>47827</v>
      </c>
      <c r="O27" s="15">
        <v>54271</v>
      </c>
      <c r="P27" s="15">
        <v>61965</v>
      </c>
      <c r="Q27" s="28">
        <v>69055</v>
      </c>
      <c r="R27" s="28">
        <v>79587</v>
      </c>
      <c r="S27" s="28">
        <v>90380</v>
      </c>
      <c r="T27" s="28">
        <v>103828</v>
      </c>
      <c r="U27" s="28">
        <v>104704</v>
      </c>
      <c r="V27" s="28">
        <v>108400</v>
      </c>
      <c r="W27" s="29">
        <f>99012.319+17811.134</f>
        <v>116823.45300000001</v>
      </c>
      <c r="X27" s="38">
        <f>109857.72+19556.499</f>
        <v>129414.219</v>
      </c>
      <c r="Y27" s="15">
        <f>117012.502+20857.108</f>
        <v>137869.61</v>
      </c>
      <c r="AA27" s="3">
        <v>192218687</v>
      </c>
      <c r="AB27" s="3">
        <v>0</v>
      </c>
      <c r="AC27" s="3">
        <v>52049295</v>
      </c>
      <c r="AD27" s="3">
        <f>AA27-AB27+AC27</f>
        <v>244267982</v>
      </c>
      <c r="AE27" s="3">
        <f>AD27/1000</f>
        <v>244267.982</v>
      </c>
      <c r="AH27" s="3">
        <v>205194658</v>
      </c>
      <c r="AI27" s="3">
        <v>0</v>
      </c>
      <c r="AJ27" s="3">
        <v>58514583</v>
      </c>
      <c r="AK27" s="3">
        <f>AH27-AI27+AJ27</f>
        <v>263709241</v>
      </c>
      <c r="AL27" s="3">
        <f>AK27/1000</f>
        <v>263709.241</v>
      </c>
      <c r="AN27" s="3">
        <v>217772832.10000002</v>
      </c>
      <c r="AO27" s="3">
        <v>0</v>
      </c>
      <c r="AP27" s="3">
        <v>61817870.650000006</v>
      </c>
      <c r="AQ27" s="3">
        <f>AN27-AO27+AP27</f>
        <v>279590702.75</v>
      </c>
      <c r="AR27" s="3">
        <f>AQ27/1000</f>
        <v>279590.70275</v>
      </c>
    </row>
    <row r="28" spans="1:44" ht="12.75">
      <c r="A28" s="1" t="s">
        <v>20</v>
      </c>
      <c r="B28" s="15">
        <v>9961</v>
      </c>
      <c r="C28" s="15">
        <v>10610</v>
      </c>
      <c r="D28" s="1">
        <v>9911</v>
      </c>
      <c r="E28" s="1">
        <v>10376</v>
      </c>
      <c r="F28" s="1">
        <v>11227</v>
      </c>
      <c r="G28" s="1">
        <v>12259</v>
      </c>
      <c r="H28" s="1">
        <v>12638</v>
      </c>
      <c r="I28" s="1">
        <v>11844</v>
      </c>
      <c r="J28" s="1">
        <v>12111</v>
      </c>
      <c r="K28" s="1">
        <v>12520.08673</v>
      </c>
      <c r="L28" s="272">
        <f>(K28-J28)*100/J28</f>
        <v>3.377811328544306</v>
      </c>
      <c r="M28" s="50">
        <f>(K28-Y28)*100/Y28</f>
        <v>33.40109959250083</v>
      </c>
      <c r="N28" s="15">
        <v>4153</v>
      </c>
      <c r="O28" s="15">
        <v>4534</v>
      </c>
      <c r="P28" s="28">
        <v>4944</v>
      </c>
      <c r="Q28" s="28">
        <v>5352</v>
      </c>
      <c r="R28" s="28">
        <v>6142</v>
      </c>
      <c r="S28" s="28">
        <v>6909</v>
      </c>
      <c r="T28" s="28">
        <v>7715</v>
      </c>
      <c r="U28" s="28">
        <v>7667</v>
      </c>
      <c r="V28" s="28">
        <v>7875</v>
      </c>
      <c r="W28" s="29">
        <f>7381.345+1009.954</f>
        <v>8391.299</v>
      </c>
      <c r="X28" s="38">
        <f>7990.039+1120.255</f>
        <v>9110.294</v>
      </c>
      <c r="Y28" s="15">
        <f>8223.017+1162.278</f>
        <v>9385.295</v>
      </c>
      <c r="AA28" s="3">
        <v>10115623</v>
      </c>
      <c r="AB28" s="3">
        <v>122967.45</v>
      </c>
      <c r="AC28" s="3">
        <v>1850899.52</v>
      </c>
      <c r="AD28" s="3">
        <f>AA28-AB28+AC28</f>
        <v>11843555.07</v>
      </c>
      <c r="AE28" s="3">
        <f>AD28/1000</f>
        <v>11843.55507</v>
      </c>
      <c r="AH28" s="3">
        <v>10154883</v>
      </c>
      <c r="AI28" s="3">
        <v>112143.44</v>
      </c>
      <c r="AJ28" s="3">
        <v>2067967.72</v>
      </c>
      <c r="AK28" s="3">
        <f>AH28-AI28+AJ28</f>
        <v>12110707.280000001</v>
      </c>
      <c r="AL28" s="3">
        <f>AK28/1000</f>
        <v>12110.70728</v>
      </c>
      <c r="AN28" s="3">
        <v>10432645.85</v>
      </c>
      <c r="AO28" s="3">
        <v>142778.99</v>
      </c>
      <c r="AP28" s="3">
        <v>2230219.87</v>
      </c>
      <c r="AQ28" s="3">
        <f>AN28-AO28+AP28</f>
        <v>12520086.73</v>
      </c>
      <c r="AR28" s="3">
        <f>AQ28/1000</f>
        <v>12520.08673</v>
      </c>
    </row>
    <row r="29" spans="2:25" ht="12.75">
      <c r="B29" s="15"/>
      <c r="C29" s="15"/>
      <c r="L29" s="50"/>
      <c r="M29" s="50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</row>
    <row r="30" spans="1:44" ht="12.75">
      <c r="A30" s="1" t="s">
        <v>21</v>
      </c>
      <c r="B30" s="15">
        <v>532592</v>
      </c>
      <c r="C30" s="15">
        <v>507831</v>
      </c>
      <c r="D30" s="1">
        <v>543534</v>
      </c>
      <c r="E30" s="1">
        <v>587150</v>
      </c>
      <c r="F30" s="1">
        <v>656718</v>
      </c>
      <c r="G30" s="1">
        <v>720451</v>
      </c>
      <c r="H30" s="1">
        <v>771970</v>
      </c>
      <c r="I30" s="1">
        <v>798730</v>
      </c>
      <c r="J30" s="1">
        <v>842267</v>
      </c>
      <c r="K30" s="1">
        <v>888140.2725899996</v>
      </c>
      <c r="L30" s="272">
        <f>(K30-J30)*100/J30</f>
        <v>5.446405069888717</v>
      </c>
      <c r="M30" s="50">
        <f>(K30-Y30)*100/Y30</f>
        <v>73.36048623566776</v>
      </c>
      <c r="N30" s="15">
        <v>235359</v>
      </c>
      <c r="O30" s="15">
        <v>260765</v>
      </c>
      <c r="P30" s="28">
        <v>284750</v>
      </c>
      <c r="Q30" s="28">
        <v>316287</v>
      </c>
      <c r="R30" s="28">
        <v>350270</v>
      </c>
      <c r="S30" s="28">
        <v>394235</v>
      </c>
      <c r="T30" s="28">
        <v>430009</v>
      </c>
      <c r="U30" s="28">
        <v>436943</v>
      </c>
      <c r="V30" s="28">
        <v>447330</v>
      </c>
      <c r="W30" s="29">
        <f>396395.489+67281.325</f>
        <v>463676.814</v>
      </c>
      <c r="X30" s="38">
        <f>417945.929+71445.171</f>
        <v>489391.1</v>
      </c>
      <c r="Y30" s="15">
        <f>437403.757+74904.608</f>
        <v>512308.365</v>
      </c>
      <c r="AA30" s="3">
        <v>656624875</v>
      </c>
      <c r="AB30" s="3">
        <v>2712515.46</v>
      </c>
      <c r="AC30" s="3">
        <v>144817929</v>
      </c>
      <c r="AD30" s="3">
        <f>AA30-AB30+AC30</f>
        <v>798730288.54</v>
      </c>
      <c r="AE30" s="3">
        <f>AD30/1000</f>
        <v>798730.28854</v>
      </c>
      <c r="AH30" s="3">
        <v>687788361</v>
      </c>
      <c r="AI30" s="3">
        <v>1520940.68</v>
      </c>
      <c r="AJ30" s="3">
        <v>155999135</v>
      </c>
      <c r="AK30" s="3">
        <f>AH30-AI30+AJ30</f>
        <v>842266555.32</v>
      </c>
      <c r="AL30" s="3">
        <f>AK30/1000</f>
        <v>842266.55532</v>
      </c>
      <c r="AN30" s="3">
        <v>720588725.3799996</v>
      </c>
      <c r="AO30" s="3">
        <v>646429.82</v>
      </c>
      <c r="AP30" s="3">
        <v>168197977.03</v>
      </c>
      <c r="AQ30" s="3">
        <f>AN30-AO30+AP30</f>
        <v>888140272.5899996</v>
      </c>
      <c r="AR30" s="3">
        <f>AQ30/1000</f>
        <v>888140.2725899996</v>
      </c>
    </row>
    <row r="31" spans="1:44" ht="12.75">
      <c r="A31" s="1" t="s">
        <v>22</v>
      </c>
      <c r="B31" s="15">
        <v>401175</v>
      </c>
      <c r="C31" s="15">
        <v>387009</v>
      </c>
      <c r="D31" s="1">
        <v>416633</v>
      </c>
      <c r="E31" s="1">
        <v>434973</v>
      </c>
      <c r="F31" s="1">
        <v>472737</v>
      </c>
      <c r="G31" s="1">
        <v>518718</v>
      </c>
      <c r="H31" s="1">
        <v>552351</v>
      </c>
      <c r="I31" s="1">
        <v>542082</v>
      </c>
      <c r="J31" s="1">
        <v>557697</v>
      </c>
      <c r="K31" s="1">
        <v>596564.5183199999</v>
      </c>
      <c r="L31" s="272">
        <f>(K31-J31)*100/J31</f>
        <v>6.969289474391993</v>
      </c>
      <c r="M31" s="50">
        <f>(K31-Y31)*100/Y31</f>
        <v>53.69646930174074</v>
      </c>
      <c r="N31" s="15">
        <v>191074</v>
      </c>
      <c r="O31" s="15">
        <v>205318</v>
      </c>
      <c r="P31" s="28">
        <v>227438</v>
      </c>
      <c r="Q31" s="28">
        <v>252565</v>
      </c>
      <c r="R31" s="28">
        <v>275612</v>
      </c>
      <c r="S31" s="28">
        <v>295145</v>
      </c>
      <c r="T31" s="28">
        <v>317938</v>
      </c>
      <c r="U31" s="28">
        <v>313362</v>
      </c>
      <c r="V31" s="28">
        <v>333054</v>
      </c>
      <c r="W31" s="29">
        <f>292032.151+59034.523</f>
        <v>351066.674</v>
      </c>
      <c r="X31" s="38">
        <f>312382.895+63995.284</f>
        <v>376378.179</v>
      </c>
      <c r="Y31" s="15">
        <f>321711.276+66433.306</f>
        <v>388144.582</v>
      </c>
      <c r="AA31" s="3">
        <v>440503691</v>
      </c>
      <c r="AB31" s="3">
        <v>811598.78</v>
      </c>
      <c r="AC31" s="3">
        <v>102390223</v>
      </c>
      <c r="AD31" s="3">
        <f>AA31-AB31+AC31</f>
        <v>542082315.22</v>
      </c>
      <c r="AE31" s="3">
        <f>AD31/1000</f>
        <v>542082.31522</v>
      </c>
      <c r="AH31" s="3">
        <v>451467136</v>
      </c>
      <c r="AI31" s="3">
        <v>796592.58</v>
      </c>
      <c r="AJ31" s="3">
        <v>107026791</v>
      </c>
      <c r="AK31" s="3">
        <f>AH31-AI31+AJ31</f>
        <v>557697334.4200001</v>
      </c>
      <c r="AL31" s="3">
        <f>AK31/1000</f>
        <v>557697.3344200001</v>
      </c>
      <c r="AN31" s="3">
        <v>480437709.31999993</v>
      </c>
      <c r="AO31" s="3">
        <v>1174698.57</v>
      </c>
      <c r="AP31" s="3">
        <v>117301507.57</v>
      </c>
      <c r="AQ31" s="3">
        <f>AN31-AO31+AP31</f>
        <v>596564518.3199999</v>
      </c>
      <c r="AR31" s="3">
        <f>AQ31/1000</f>
        <v>596564.5183199999</v>
      </c>
    </row>
    <row r="32" spans="1:44" ht="12.75">
      <c r="A32" s="1" t="s">
        <v>23</v>
      </c>
      <c r="B32" s="15">
        <v>19445</v>
      </c>
      <c r="C32" s="15">
        <v>19067</v>
      </c>
      <c r="D32" s="1">
        <v>21097</v>
      </c>
      <c r="E32" s="1">
        <v>23131</v>
      </c>
      <c r="F32" s="1">
        <v>25355</v>
      </c>
      <c r="G32" s="1">
        <v>27906</v>
      </c>
      <c r="H32" s="1">
        <v>29295</v>
      </c>
      <c r="I32" s="1">
        <v>30569</v>
      </c>
      <c r="J32" s="1">
        <v>32081</v>
      </c>
      <c r="K32" s="1">
        <v>34181.58531</v>
      </c>
      <c r="L32" s="272">
        <f>(K32-J32)*100/J32</f>
        <v>6.5477550886817815</v>
      </c>
      <c r="M32" s="50">
        <f>(K32-Y32)*100/Y32</f>
        <v>88.55864693545453</v>
      </c>
      <c r="N32" s="15">
        <v>7331</v>
      </c>
      <c r="O32" s="15">
        <v>8689</v>
      </c>
      <c r="P32" s="28">
        <v>10505</v>
      </c>
      <c r="Q32" s="28">
        <v>11268</v>
      </c>
      <c r="R32" s="28">
        <v>12002</v>
      </c>
      <c r="S32" s="28">
        <v>13396</v>
      </c>
      <c r="T32" s="28">
        <v>14609</v>
      </c>
      <c r="U32" s="28">
        <v>15086</v>
      </c>
      <c r="V32" s="28">
        <v>15593</v>
      </c>
      <c r="W32" s="29">
        <f>14842.918+1986.592</f>
        <v>16829.51</v>
      </c>
      <c r="X32" s="38">
        <f>15478.858+2097.141</f>
        <v>17575.999</v>
      </c>
      <c r="Y32" s="15">
        <f>15913.44+2214.387</f>
        <v>18127.827</v>
      </c>
      <c r="AA32" s="3">
        <v>25626527</v>
      </c>
      <c r="AB32" s="3">
        <v>101865.58</v>
      </c>
      <c r="AC32" s="3">
        <v>5044647.75</v>
      </c>
      <c r="AD32" s="3">
        <f>AA32-AB32+AC32</f>
        <v>30569309.17</v>
      </c>
      <c r="AE32" s="3">
        <f>AD32/1000</f>
        <v>30569.30917</v>
      </c>
      <c r="AH32" s="3">
        <v>26844096</v>
      </c>
      <c r="AI32" s="3">
        <v>147751.38</v>
      </c>
      <c r="AJ32" s="3">
        <v>5384538</v>
      </c>
      <c r="AK32" s="3">
        <f>AH32-AI32+AJ32</f>
        <v>32080882.62</v>
      </c>
      <c r="AL32" s="3">
        <f>AK32/1000</f>
        <v>32080.88262</v>
      </c>
      <c r="AN32" s="3">
        <v>28708941.160000004</v>
      </c>
      <c r="AO32" s="3">
        <v>181069.22</v>
      </c>
      <c r="AP32" s="3">
        <v>5653713.369999999</v>
      </c>
      <c r="AQ32" s="3">
        <f>AN32-AO32+AP32</f>
        <v>34181585.31</v>
      </c>
      <c r="AR32" s="3">
        <f>AQ32/1000</f>
        <v>34181.58531</v>
      </c>
    </row>
    <row r="33" spans="1:44" ht="12.75">
      <c r="A33" s="1" t="s">
        <v>24</v>
      </c>
      <c r="B33" s="15">
        <v>44689</v>
      </c>
      <c r="C33" s="15">
        <v>42861</v>
      </c>
      <c r="D33" s="1">
        <v>45851</v>
      </c>
      <c r="E33" s="1">
        <v>48369</v>
      </c>
      <c r="F33" s="1">
        <v>52330</v>
      </c>
      <c r="G33" s="1">
        <v>57131</v>
      </c>
      <c r="H33" s="1">
        <v>60341</v>
      </c>
      <c r="I33" s="1">
        <v>63119</v>
      </c>
      <c r="J33" s="1">
        <v>66859</v>
      </c>
      <c r="K33" s="1">
        <v>71407.97784</v>
      </c>
      <c r="L33" s="272">
        <f>(K33-J33)*100/J33</f>
        <v>6.803837688269353</v>
      </c>
      <c r="M33" s="50">
        <f>(K33-Y33)*100/Y33</f>
        <v>71.71774949063962</v>
      </c>
      <c r="N33" s="15">
        <v>18245</v>
      </c>
      <c r="O33" s="15">
        <v>19731</v>
      </c>
      <c r="P33" s="28">
        <v>22527</v>
      </c>
      <c r="Q33" s="28">
        <v>24732</v>
      </c>
      <c r="R33" s="28">
        <v>26935</v>
      </c>
      <c r="S33" s="28">
        <v>29839</v>
      </c>
      <c r="T33" s="28">
        <v>33131</v>
      </c>
      <c r="U33" s="28">
        <v>36412</v>
      </c>
      <c r="V33" s="28">
        <v>37284</v>
      </c>
      <c r="W33" s="29">
        <f>31976.109+5634.756</f>
        <v>37610.865</v>
      </c>
      <c r="X33" s="38">
        <f>34429.461+6055.81</f>
        <v>40485.271</v>
      </c>
      <c r="Y33" s="15">
        <f>35240.813+6343.693</f>
        <v>41584.506</v>
      </c>
      <c r="AA33" s="3">
        <v>51175586</v>
      </c>
      <c r="AB33" s="3">
        <v>183473.35</v>
      </c>
      <c r="AC33" s="3">
        <v>12126909</v>
      </c>
      <c r="AD33" s="3">
        <f>AA33-AB33+AC33</f>
        <v>63119021.65</v>
      </c>
      <c r="AE33" s="3">
        <f>AD33/1000</f>
        <v>63119.021649999995</v>
      </c>
      <c r="AH33" s="3">
        <v>53729157</v>
      </c>
      <c r="AI33" s="3">
        <v>188791.85</v>
      </c>
      <c r="AJ33" s="3">
        <v>13319095</v>
      </c>
      <c r="AK33" s="3">
        <f>AH33-AI33+AJ33</f>
        <v>66859460.15</v>
      </c>
      <c r="AL33" s="3">
        <f>AK33/1000</f>
        <v>66859.46015</v>
      </c>
      <c r="AN33" s="3">
        <v>57627906.82000001</v>
      </c>
      <c r="AO33" s="3">
        <v>239265.5</v>
      </c>
      <c r="AP33" s="3">
        <v>14019336.520000001</v>
      </c>
      <c r="AQ33" s="3">
        <f>AN33-AO33+AP33</f>
        <v>71407977.84</v>
      </c>
      <c r="AR33" s="3">
        <f>AQ33/1000</f>
        <v>71407.97784</v>
      </c>
    </row>
    <row r="34" spans="1:44" ht="12.75">
      <c r="A34" s="1" t="s">
        <v>25</v>
      </c>
      <c r="B34" s="15">
        <v>10842</v>
      </c>
      <c r="C34" s="15">
        <v>10097</v>
      </c>
      <c r="D34" s="1">
        <v>10366</v>
      </c>
      <c r="E34" s="1">
        <v>11237</v>
      </c>
      <c r="F34" s="1">
        <v>11980</v>
      </c>
      <c r="G34" s="1">
        <v>12437</v>
      </c>
      <c r="H34" s="1">
        <v>12808</v>
      </c>
      <c r="I34" s="1">
        <v>13118</v>
      </c>
      <c r="J34" s="1">
        <v>13595</v>
      </c>
      <c r="K34" s="1">
        <v>14591.17688</v>
      </c>
      <c r="L34" s="272">
        <f>(K34-J34)*100/J34</f>
        <v>7.327523942625971</v>
      </c>
      <c r="M34" s="50">
        <f>(K34-Y34)*100/Y34</f>
        <v>35.87915832118684</v>
      </c>
      <c r="N34" s="15">
        <v>4871</v>
      </c>
      <c r="O34" s="15">
        <v>5279</v>
      </c>
      <c r="P34" s="28">
        <v>6036</v>
      </c>
      <c r="Q34" s="28">
        <v>6424</v>
      </c>
      <c r="R34" s="28">
        <v>7107</v>
      </c>
      <c r="S34" s="28">
        <v>7881</v>
      </c>
      <c r="T34" s="28">
        <v>8715</v>
      </c>
      <c r="U34" s="28">
        <v>8623</v>
      </c>
      <c r="V34" s="28">
        <v>9201</v>
      </c>
      <c r="W34" s="29">
        <f>8848.369+1268.194</f>
        <v>10116.563</v>
      </c>
      <c r="X34" s="38">
        <f>9325.718+1252.871</f>
        <v>10578.589</v>
      </c>
      <c r="Y34" s="15">
        <f>9431.212+1307.136</f>
        <v>10738.348</v>
      </c>
      <c r="AA34" s="3">
        <v>11177046</v>
      </c>
      <c r="AB34" s="3">
        <v>125602.71</v>
      </c>
      <c r="AC34" s="3">
        <v>2066623.64</v>
      </c>
      <c r="AD34" s="3">
        <f>AA34-AB34+AC34</f>
        <v>13118066.93</v>
      </c>
      <c r="AE34" s="3">
        <f>AD34/1000</f>
        <v>13118.066929999999</v>
      </c>
      <c r="AH34" s="3">
        <v>11559491</v>
      </c>
      <c r="AI34" s="3">
        <v>62545.01</v>
      </c>
      <c r="AJ34" s="3">
        <v>2097608.31</v>
      </c>
      <c r="AK34" s="3">
        <f>AH34-AI34+AJ34</f>
        <v>13594554.3</v>
      </c>
      <c r="AL34" s="3">
        <f>AK34/1000</f>
        <v>13594.554300000002</v>
      </c>
      <c r="AN34" s="3">
        <v>12574071.270000001</v>
      </c>
      <c r="AO34" s="3">
        <v>137859.16</v>
      </c>
      <c r="AP34" s="3">
        <v>2154964.77</v>
      </c>
      <c r="AQ34" s="3">
        <f>AN34-AO34+AP34</f>
        <v>14591176.88</v>
      </c>
      <c r="AR34" s="3">
        <f>AQ34/1000</f>
        <v>14591.17688</v>
      </c>
    </row>
    <row r="35" spans="2:25" ht="12.75">
      <c r="B35" s="15"/>
      <c r="C35" s="15"/>
      <c r="L35" s="50"/>
      <c r="M35" s="50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</row>
    <row r="36" spans="1:44" ht="12.75">
      <c r="A36" s="1" t="s">
        <v>26</v>
      </c>
      <c r="B36" s="15">
        <v>14765</v>
      </c>
      <c r="C36" s="15">
        <v>13698</v>
      </c>
      <c r="D36" s="1">
        <v>14376</v>
      </c>
      <c r="E36" s="1">
        <v>15163</v>
      </c>
      <c r="F36" s="1">
        <v>16438</v>
      </c>
      <c r="G36" s="1">
        <v>18115</v>
      </c>
      <c r="H36" s="1">
        <v>18744</v>
      </c>
      <c r="I36" s="1">
        <v>19379</v>
      </c>
      <c r="J36" s="1">
        <v>19245</v>
      </c>
      <c r="K36" s="1">
        <v>19894.834469999998</v>
      </c>
      <c r="L36" s="272">
        <f>(K36-J36)*100/J36</f>
        <v>3.3766405300077835</v>
      </c>
      <c r="M36" s="50">
        <f>(K36-Y36)*100/Y36</f>
        <v>44.10764659136401</v>
      </c>
      <c r="N36" s="15">
        <v>6545</v>
      </c>
      <c r="O36" s="15">
        <v>7114</v>
      </c>
      <c r="P36" s="28">
        <v>7695</v>
      </c>
      <c r="Q36" s="28">
        <v>8886</v>
      </c>
      <c r="R36" s="28">
        <v>10038</v>
      </c>
      <c r="S36" s="28">
        <v>11614</v>
      </c>
      <c r="T36" s="28">
        <v>12131</v>
      </c>
      <c r="U36" s="28">
        <v>12072</v>
      </c>
      <c r="V36" s="28">
        <v>12248</v>
      </c>
      <c r="W36" s="29">
        <f>11352.991+1548.907</f>
        <v>12901.898</v>
      </c>
      <c r="X36" s="38">
        <f>11858.172+1490.217</f>
        <v>13348.389000000001</v>
      </c>
      <c r="Y36" s="15">
        <f>12197.58+1607.957</f>
        <v>13805.537</v>
      </c>
      <c r="AA36" s="3">
        <v>16710391</v>
      </c>
      <c r="AB36" s="3">
        <v>0</v>
      </c>
      <c r="AC36" s="3">
        <v>2668116.55</v>
      </c>
      <c r="AD36" s="3">
        <f>AA36-AB36+AC36</f>
        <v>19378507.55</v>
      </c>
      <c r="AE36" s="3">
        <f>AD36/1000</f>
        <v>19378.507550000002</v>
      </c>
      <c r="AH36" s="3">
        <v>16562937</v>
      </c>
      <c r="AI36" s="3">
        <v>0</v>
      </c>
      <c r="AJ36" s="3">
        <v>2681994.6</v>
      </c>
      <c r="AK36" s="3">
        <f>AH36-AI36+AJ36</f>
        <v>19244931.6</v>
      </c>
      <c r="AL36" s="3">
        <f>AK36/1000</f>
        <v>19244.9316</v>
      </c>
      <c r="AN36" s="3">
        <v>17269091.98</v>
      </c>
      <c r="AO36" s="3">
        <v>0</v>
      </c>
      <c r="AP36" s="3">
        <v>2625742.49</v>
      </c>
      <c r="AQ36" s="3">
        <f>AN36-AO36+AP36</f>
        <v>19894834.47</v>
      </c>
      <c r="AR36" s="3">
        <f>AQ36/1000</f>
        <v>19894.834469999998</v>
      </c>
    </row>
    <row r="37" spans="1:44" ht="12.75">
      <c r="A37" s="1" t="s">
        <v>27</v>
      </c>
      <c r="B37" s="15">
        <v>62469</v>
      </c>
      <c r="C37" s="15">
        <v>58978</v>
      </c>
      <c r="D37" s="1">
        <v>63803</v>
      </c>
      <c r="E37" s="1">
        <v>67566</v>
      </c>
      <c r="F37" s="1">
        <v>70270</v>
      </c>
      <c r="G37" s="1">
        <v>74966</v>
      </c>
      <c r="H37" s="1">
        <v>77546</v>
      </c>
      <c r="I37" s="1">
        <v>81541</v>
      </c>
      <c r="J37" s="1">
        <v>86553</v>
      </c>
      <c r="K37" s="1">
        <v>94978.24774999998</v>
      </c>
      <c r="L37" s="272">
        <f>(K37-J37)*100/J37</f>
        <v>9.7342064977528</v>
      </c>
      <c r="M37" s="50">
        <f>(K37-Y37)*100/Y37</f>
        <v>54.661563625664776</v>
      </c>
      <c r="N37" s="15">
        <v>30549</v>
      </c>
      <c r="O37" s="15">
        <v>33280</v>
      </c>
      <c r="P37" s="28">
        <v>36367</v>
      </c>
      <c r="Q37" s="28">
        <v>39203</v>
      </c>
      <c r="R37" s="28">
        <v>42168</v>
      </c>
      <c r="S37" s="28">
        <v>45748</v>
      </c>
      <c r="T37" s="28">
        <v>50020</v>
      </c>
      <c r="U37" s="28">
        <v>51549</v>
      </c>
      <c r="V37" s="28">
        <v>53042</v>
      </c>
      <c r="W37" s="29">
        <f>48911.459+6917.28</f>
        <v>55828.739</v>
      </c>
      <c r="X37" s="38">
        <f>52668.1+7653.217</f>
        <v>60321.316999999995</v>
      </c>
      <c r="Y37" s="15">
        <f>53624.262+7786.114</f>
        <v>61410.376000000004</v>
      </c>
      <c r="AA37" s="3">
        <v>69064773</v>
      </c>
      <c r="AB37" s="3">
        <v>47394.22</v>
      </c>
      <c r="AC37" s="3">
        <v>12523366</v>
      </c>
      <c r="AD37" s="3">
        <f>AA37-AB37+AC37</f>
        <v>81540744.78</v>
      </c>
      <c r="AE37" s="3">
        <f>AD37/1000</f>
        <v>81540.74478000001</v>
      </c>
      <c r="AH37" s="3">
        <v>73259897</v>
      </c>
      <c r="AI37" s="3">
        <v>0</v>
      </c>
      <c r="AJ37" s="3">
        <v>13293569</v>
      </c>
      <c r="AK37" s="3">
        <f>AH37-AI37+AJ37</f>
        <v>86553466</v>
      </c>
      <c r="AL37" s="3">
        <f>AK37/1000</f>
        <v>86553.466</v>
      </c>
      <c r="AN37" s="3">
        <v>80184177.13999999</v>
      </c>
      <c r="AO37" s="3">
        <v>0</v>
      </c>
      <c r="AP37" s="3">
        <v>14794070.61</v>
      </c>
      <c r="AQ37" s="3">
        <f>AN37-AO37+AP37</f>
        <v>94978247.74999999</v>
      </c>
      <c r="AR37" s="3">
        <f>AQ37/1000</f>
        <v>94978.24774999998</v>
      </c>
    </row>
    <row r="38" spans="1:44" ht="12.75">
      <c r="A38" s="1" t="s">
        <v>28</v>
      </c>
      <c r="B38" s="15">
        <v>44100</v>
      </c>
      <c r="C38" s="15">
        <v>42830</v>
      </c>
      <c r="D38" s="1">
        <v>46597</v>
      </c>
      <c r="E38" s="1">
        <v>49291.05</v>
      </c>
      <c r="F38" s="1">
        <v>53435</v>
      </c>
      <c r="G38" s="1">
        <v>56262</v>
      </c>
      <c r="H38" s="1">
        <v>58601</v>
      </c>
      <c r="I38" s="1">
        <v>62024</v>
      </c>
      <c r="J38" s="1">
        <v>64944</v>
      </c>
      <c r="K38" s="1">
        <v>69498.16771</v>
      </c>
      <c r="L38" s="272">
        <f>(K38-J38)*100/J38</f>
        <v>7.01245335981768</v>
      </c>
      <c r="M38" s="50">
        <f>(K38-Y38)*100/Y38</f>
        <v>67.57595950737252</v>
      </c>
      <c r="N38" s="15">
        <v>18393</v>
      </c>
      <c r="O38" s="15">
        <v>20164</v>
      </c>
      <c r="P38" s="28">
        <v>22062</v>
      </c>
      <c r="Q38" s="28">
        <v>24693</v>
      </c>
      <c r="R38" s="28">
        <v>27631</v>
      </c>
      <c r="S38" s="28">
        <v>30530</v>
      </c>
      <c r="T38" s="28">
        <v>34404</v>
      </c>
      <c r="U38" s="28">
        <v>34980</v>
      </c>
      <c r="V38" s="28">
        <v>36781</v>
      </c>
      <c r="W38" s="29">
        <f>33634.569+4821.776</f>
        <v>38456.345</v>
      </c>
      <c r="X38" s="38">
        <f>36060.569+5115.419</f>
        <v>41175.988000000005</v>
      </c>
      <c r="Y38" s="15">
        <f>36174.63+5298.006</f>
        <v>41472.636</v>
      </c>
      <c r="AA38" s="3">
        <v>51724652</v>
      </c>
      <c r="AB38" s="3">
        <v>252683.2</v>
      </c>
      <c r="AC38" s="3">
        <v>10551701</v>
      </c>
      <c r="AD38" s="3">
        <f>AA38-AB38+AC38</f>
        <v>62023669.8</v>
      </c>
      <c r="AE38" s="3">
        <f>AD38/1000</f>
        <v>62023.669799999996</v>
      </c>
      <c r="AH38" s="3">
        <v>53874438</v>
      </c>
      <c r="AI38" s="3">
        <v>295625.24</v>
      </c>
      <c r="AJ38" s="3">
        <v>11364746</v>
      </c>
      <c r="AK38" s="3">
        <f>AH38-AI38+AJ38</f>
        <v>64943558.76</v>
      </c>
      <c r="AL38" s="3">
        <f>AK38/1000</f>
        <v>64943.55876</v>
      </c>
      <c r="AN38" s="3">
        <v>57629456.66</v>
      </c>
      <c r="AO38" s="3">
        <v>367953.4</v>
      </c>
      <c r="AP38" s="3">
        <v>12236664.45</v>
      </c>
      <c r="AQ38" s="3">
        <f>AN38-AO38+AP38</f>
        <v>69498167.71</v>
      </c>
      <c r="AR38" s="3">
        <f>AQ38/1000</f>
        <v>69498.16771</v>
      </c>
    </row>
    <row r="39" spans="1:44" ht="12.75">
      <c r="A39" s="18" t="s">
        <v>29</v>
      </c>
      <c r="B39" s="15">
        <v>23537</v>
      </c>
      <c r="C39" s="15">
        <v>22792</v>
      </c>
      <c r="D39" s="1">
        <v>24801</v>
      </c>
      <c r="E39" s="1">
        <v>26074</v>
      </c>
      <c r="F39" s="1">
        <v>28571</v>
      </c>
      <c r="G39" s="1">
        <v>31161</v>
      </c>
      <c r="H39" s="1">
        <v>33311</v>
      </c>
      <c r="I39" s="1">
        <v>35321</v>
      </c>
      <c r="J39" s="1">
        <v>38245</v>
      </c>
      <c r="K39" s="1">
        <v>40676.46020999999</v>
      </c>
      <c r="L39" s="272">
        <f>(K39-J39)*100/J39</f>
        <v>6.35758977644134</v>
      </c>
      <c r="M39" s="50">
        <f>(K39-Y39)*100/Y39</f>
        <v>83.92873782569984</v>
      </c>
      <c r="N39" s="15">
        <v>10062</v>
      </c>
      <c r="O39" s="15">
        <v>10947</v>
      </c>
      <c r="P39" s="28">
        <v>12947</v>
      </c>
      <c r="Q39" s="28">
        <v>13674</v>
      </c>
      <c r="R39" s="28">
        <v>14827</v>
      </c>
      <c r="S39" s="28">
        <v>16411</v>
      </c>
      <c r="T39" s="28">
        <v>17986</v>
      </c>
      <c r="U39" s="28">
        <v>18649</v>
      </c>
      <c r="V39" s="28">
        <v>19563</v>
      </c>
      <c r="W39" s="29">
        <f>18189.896+2156.269</f>
        <v>20346.165</v>
      </c>
      <c r="X39" s="38">
        <f>19273.581+2416.267</f>
        <v>21689.847999999998</v>
      </c>
      <c r="Y39" s="15">
        <f>19586.712+2528.625</f>
        <v>22115.337</v>
      </c>
      <c r="AA39" s="3">
        <v>30256273</v>
      </c>
      <c r="AB39" s="3">
        <v>188205.97</v>
      </c>
      <c r="AC39" s="3">
        <v>5253347.99</v>
      </c>
      <c r="AD39" s="3">
        <f>AA39-AB39+AC39</f>
        <v>35321415.02</v>
      </c>
      <c r="AE39" s="3">
        <f>AD39/1000</f>
        <v>35321.41502</v>
      </c>
      <c r="AH39" s="3">
        <v>32448352</v>
      </c>
      <c r="AI39" s="3">
        <v>190222.76</v>
      </c>
      <c r="AJ39" s="3">
        <v>5986886</v>
      </c>
      <c r="AK39" s="3">
        <f>AH39-AI39+AJ39</f>
        <v>38245015.239999995</v>
      </c>
      <c r="AL39" s="3">
        <f>AK39/1000</f>
        <v>38245.01523999999</v>
      </c>
      <c r="AN39" s="3">
        <v>34213400.47999999</v>
      </c>
      <c r="AO39" s="3">
        <v>222145.58</v>
      </c>
      <c r="AP39" s="3">
        <v>6685205.3100000005</v>
      </c>
      <c r="AQ39" s="3">
        <f>AN39-AO39+AP39</f>
        <v>40676460.20999999</v>
      </c>
      <c r="AR39" s="3">
        <f>AQ39/1000</f>
        <v>40676.46020999999</v>
      </c>
    </row>
    <row r="40" spans="1:25" ht="12.75">
      <c r="A40" s="1" t="s">
        <v>245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W40" s="19"/>
      <c r="X40" s="7"/>
      <c r="Y40" s="7"/>
    </row>
    <row r="41" spans="15:25" ht="12.75">
      <c r="O41" s="15"/>
      <c r="P41" s="15"/>
      <c r="Q41" s="15"/>
      <c r="R41" s="15"/>
      <c r="W41" s="15"/>
      <c r="X41" s="15"/>
      <c r="Y41" s="15"/>
    </row>
    <row r="42" spans="1:25" ht="12.75">
      <c r="A42" s="3"/>
      <c r="O42" s="15"/>
      <c r="P42" s="15"/>
      <c r="Q42" s="15"/>
      <c r="W42" s="15"/>
      <c r="X42" s="15"/>
      <c r="Y42" s="15"/>
    </row>
    <row r="43" spans="15:25" ht="12.75">
      <c r="O43" s="15"/>
      <c r="P43" s="15"/>
      <c r="Q43" s="15"/>
      <c r="W43" s="15"/>
      <c r="X43" s="15"/>
      <c r="Y43" s="15"/>
    </row>
    <row r="44" spans="15:25" ht="12.75">
      <c r="O44" s="15"/>
      <c r="P44" s="15"/>
      <c r="Q44" s="15"/>
      <c r="W44" s="15"/>
      <c r="X44" s="15"/>
      <c r="Y44" s="15"/>
    </row>
    <row r="45" spans="15:25" ht="12.75">
      <c r="O45" s="15"/>
      <c r="P45" s="15"/>
      <c r="Q45" s="15"/>
      <c r="W45" s="15"/>
      <c r="X45" s="15"/>
      <c r="Y45" s="15"/>
    </row>
    <row r="46" spans="15:25" ht="12.75">
      <c r="O46" s="15"/>
      <c r="P46" s="15"/>
      <c r="Q46" s="15"/>
      <c r="W46" s="15"/>
      <c r="X46" s="15"/>
      <c r="Y46" s="15"/>
    </row>
    <row r="47" spans="23:25" ht="12.75">
      <c r="W47" s="15"/>
      <c r="X47" s="15"/>
      <c r="Y47" s="15"/>
    </row>
    <row r="48" spans="23:25" ht="12.75">
      <c r="W48" s="15"/>
      <c r="X48" s="15"/>
      <c r="Y48" s="15"/>
    </row>
    <row r="49" spans="23:25" ht="12.75">
      <c r="W49" s="15"/>
      <c r="X49" s="15"/>
      <c r="Y49" s="15"/>
    </row>
    <row r="50" spans="23:25" ht="12.75">
      <c r="W50" s="15"/>
      <c r="X50" s="15"/>
      <c r="Y50" s="15"/>
    </row>
    <row r="51" spans="23:25" ht="12.75">
      <c r="W51" s="15"/>
      <c r="X51" s="15"/>
      <c r="Y51" s="15"/>
    </row>
  </sheetData>
  <sheetProtection password="CAF5" sheet="1" objects="1" scenarios="1"/>
  <mergeCells count="10">
    <mergeCell ref="AH4:AK4"/>
    <mergeCell ref="AH6:AJ6"/>
    <mergeCell ref="AH7:AI7"/>
    <mergeCell ref="AJ7:AJ9"/>
    <mergeCell ref="AH5:AK5"/>
    <mergeCell ref="AA4:AD4"/>
    <mergeCell ref="AA7:AB7"/>
    <mergeCell ref="AC7:AC9"/>
    <mergeCell ref="Z5:AC5"/>
    <mergeCell ref="AA6:AC6"/>
  </mergeCells>
  <printOptions horizontalCentered="1"/>
  <pageMargins left="0.48" right="0.45" top="1" bottom="1" header="0.5" footer="0.5"/>
  <pageSetup fitToHeight="1" fitToWidth="1" orientation="landscape" scale="77" r:id="rId1"/>
  <headerFooter alignWithMargins="0">
    <oddFooter>&amp;L&amp;"Lucida Sans,Italic"&amp;10MSDE-DBS  12 / 2007&amp;C- 11 -
&amp;R&amp;"Lucida Sans,Italic"&amp;10Selected Financial Data - Part 4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workbookViewId="0" topLeftCell="AI2">
      <selection activeCell="K16" sqref="K16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7.875" style="1" customWidth="1"/>
    <col min="15" max="15" width="9.375" style="1" customWidth="1"/>
    <col min="16" max="24" width="10.125" style="1" customWidth="1"/>
    <col min="25" max="25" width="13.25390625" style="1" customWidth="1"/>
    <col min="26" max="26" width="11.125" style="1" bestFit="1" customWidth="1"/>
    <col min="27" max="27" width="11.125" style="3" bestFit="1" customWidth="1"/>
    <col min="28" max="28" width="10.875" style="3" customWidth="1"/>
    <col min="29" max="29" width="12.375" style="3" customWidth="1"/>
    <col min="30" max="30" width="11.875" style="3" customWidth="1"/>
    <col min="31" max="32" width="10.125" style="3" customWidth="1"/>
    <col min="33" max="33" width="11.125" style="3" bestFit="1" customWidth="1"/>
    <col min="34" max="34" width="10.00390625" style="3" customWidth="1"/>
    <col min="35" max="35" width="11.625" style="3" customWidth="1"/>
    <col min="36" max="36" width="12.125" style="3" customWidth="1"/>
    <col min="37" max="37" width="14.125" style="3" customWidth="1"/>
    <col min="38" max="38" width="10.00390625" style="3" customWidth="1"/>
    <col min="39" max="39" width="11.125" style="3" bestFit="1" customWidth="1"/>
    <col min="40" max="41" width="10.00390625" style="3" customWidth="1"/>
    <col min="42" max="42" width="11.375" style="3" bestFit="1" customWidth="1"/>
    <col min="43" max="16384" width="10.00390625" style="3" customWidth="1"/>
  </cols>
  <sheetData>
    <row r="1" spans="1:18" ht="15.75" customHeight="1">
      <c r="A1" s="263" t="s">
        <v>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0"/>
      <c r="O1" s="10"/>
      <c r="P1" s="2"/>
      <c r="Q1" s="2"/>
      <c r="R1" s="2"/>
    </row>
    <row r="2" spans="1:25" ht="12.7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73"/>
      <c r="O2" s="73"/>
      <c r="P2" s="2"/>
      <c r="Q2" s="2"/>
      <c r="R2" s="2"/>
      <c r="W2" s="73"/>
      <c r="X2" s="73"/>
      <c r="Y2" s="73"/>
    </row>
    <row r="3" spans="1:26" s="248" customFormat="1" ht="12.75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73"/>
      <c r="P3" s="73"/>
      <c r="Q3" s="73"/>
      <c r="R3" s="73"/>
      <c r="S3" s="73"/>
      <c r="T3" s="73"/>
      <c r="U3" s="73"/>
      <c r="V3" s="73"/>
      <c r="W3" s="222"/>
      <c r="X3" s="222"/>
      <c r="Y3" s="222"/>
      <c r="Z3" s="73"/>
    </row>
    <row r="4" spans="1:43" s="248" customFormat="1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73"/>
      <c r="P4" s="73"/>
      <c r="Q4" s="73"/>
      <c r="R4" s="73"/>
      <c r="S4" s="73"/>
      <c r="T4" s="73"/>
      <c r="U4" s="73"/>
      <c r="V4" s="73"/>
      <c r="W4" s="222"/>
      <c r="X4" s="222"/>
      <c r="Y4" s="222"/>
      <c r="Z4" s="73"/>
      <c r="AA4" s="309" t="s">
        <v>204</v>
      </c>
      <c r="AB4" s="309"/>
      <c r="AC4" s="309"/>
      <c r="AD4" s="309"/>
      <c r="AE4" s="309"/>
      <c r="AG4" s="309" t="s">
        <v>205</v>
      </c>
      <c r="AH4" s="309"/>
      <c r="AI4" s="309"/>
      <c r="AJ4" s="309"/>
      <c r="AK4" s="309"/>
      <c r="AM4" s="309" t="s">
        <v>224</v>
      </c>
      <c r="AN4" s="309"/>
      <c r="AO4" s="309"/>
      <c r="AP4" s="309"/>
      <c r="AQ4" s="309"/>
    </row>
    <row r="5" spans="1:14" ht="13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4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AA6" s="111" t="s">
        <v>143</v>
      </c>
      <c r="AB6" s="117" t="s">
        <v>149</v>
      </c>
      <c r="AC6" s="117" t="s">
        <v>151</v>
      </c>
      <c r="AD6" s="118" t="s">
        <v>114</v>
      </c>
      <c r="AG6" s="111" t="s">
        <v>143</v>
      </c>
      <c r="AH6" s="117" t="s">
        <v>149</v>
      </c>
      <c r="AI6" s="117" t="s">
        <v>151</v>
      </c>
      <c r="AJ6" s="118" t="s">
        <v>114</v>
      </c>
      <c r="AM6" s="111" t="s">
        <v>143</v>
      </c>
      <c r="AN6" s="117" t="s">
        <v>149</v>
      </c>
      <c r="AO6" s="117" t="s">
        <v>151</v>
      </c>
      <c r="AP6" s="118" t="s">
        <v>114</v>
      </c>
    </row>
    <row r="7" spans="1:42" ht="12.75">
      <c r="A7" s="7"/>
      <c r="B7" s="7"/>
      <c r="C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AA7" s="41" t="s">
        <v>114</v>
      </c>
      <c r="AC7" s="31" t="s">
        <v>114</v>
      </c>
      <c r="AD7" s="111" t="s">
        <v>143</v>
      </c>
      <c r="AG7" s="41" t="s">
        <v>114</v>
      </c>
      <c r="AI7" s="31" t="s">
        <v>114</v>
      </c>
      <c r="AJ7" s="111" t="s">
        <v>143</v>
      </c>
      <c r="AM7" s="41" t="s">
        <v>114</v>
      </c>
      <c r="AO7" s="31" t="s">
        <v>114</v>
      </c>
      <c r="AP7" s="111" t="s">
        <v>143</v>
      </c>
    </row>
    <row r="8" spans="1:4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O8" s="7"/>
      <c r="P8" s="7"/>
      <c r="Q8" s="7"/>
      <c r="T8" s="7"/>
      <c r="U8" s="7"/>
      <c r="V8" s="7"/>
      <c r="W8" s="7"/>
      <c r="X8" s="7"/>
      <c r="Y8" s="7"/>
      <c r="AA8" s="41" t="s">
        <v>145</v>
      </c>
      <c r="AB8" s="110" t="s">
        <v>147</v>
      </c>
      <c r="AC8" s="41" t="s">
        <v>147</v>
      </c>
      <c r="AD8" s="117" t="s">
        <v>152</v>
      </c>
      <c r="AG8" s="41" t="s">
        <v>145</v>
      </c>
      <c r="AH8" s="110" t="s">
        <v>147</v>
      </c>
      <c r="AI8" s="41" t="s">
        <v>147</v>
      </c>
      <c r="AJ8" s="117" t="s">
        <v>152</v>
      </c>
      <c r="AM8" s="41" t="s">
        <v>145</v>
      </c>
      <c r="AN8" s="110" t="s">
        <v>147</v>
      </c>
      <c r="AO8" s="41" t="s">
        <v>147</v>
      </c>
      <c r="AP8" s="117" t="s">
        <v>152</v>
      </c>
    </row>
    <row r="9" spans="1:42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6" t="s">
        <v>181</v>
      </c>
      <c r="X9" s="36" t="s">
        <v>182</v>
      </c>
      <c r="Y9" s="36" t="s">
        <v>183</v>
      </c>
      <c r="AA9" s="42" t="s">
        <v>146</v>
      </c>
      <c r="AB9" s="42" t="s">
        <v>148</v>
      </c>
      <c r="AC9" s="42" t="s">
        <v>150</v>
      </c>
      <c r="AD9" s="117" t="s">
        <v>153</v>
      </c>
      <c r="AG9" s="42" t="s">
        <v>146</v>
      </c>
      <c r="AH9" s="42" t="s">
        <v>148</v>
      </c>
      <c r="AI9" s="42" t="s">
        <v>150</v>
      </c>
      <c r="AJ9" s="117" t="s">
        <v>153</v>
      </c>
      <c r="AM9" s="42" t="s">
        <v>146</v>
      </c>
      <c r="AN9" s="42" t="s">
        <v>148</v>
      </c>
      <c r="AO9" s="42" t="s">
        <v>150</v>
      </c>
      <c r="AP9" s="117" t="s">
        <v>153</v>
      </c>
    </row>
    <row r="10" spans="1:43" ht="12.75">
      <c r="A10" s="7" t="s">
        <v>5</v>
      </c>
      <c r="B10" s="11">
        <f>SUM(B12:B43)</f>
        <v>118365</v>
      </c>
      <c r="C10" s="11">
        <f aca="true" t="shared" si="0" ref="C10:K10">SUM(C12:C43)</f>
        <v>128153</v>
      </c>
      <c r="D10" s="11">
        <f t="shared" si="0"/>
        <v>148298</v>
      </c>
      <c r="E10" s="11">
        <f t="shared" si="0"/>
        <v>157072.46999999997</v>
      </c>
      <c r="F10" s="11">
        <f t="shared" si="0"/>
        <v>165196</v>
      </c>
      <c r="G10" s="11">
        <f t="shared" si="0"/>
        <v>168490</v>
      </c>
      <c r="H10" s="11">
        <f t="shared" si="0"/>
        <v>169444</v>
      </c>
      <c r="I10" s="11">
        <f t="shared" si="0"/>
        <v>199115</v>
      </c>
      <c r="J10" s="11">
        <f t="shared" si="0"/>
        <v>212154</v>
      </c>
      <c r="K10" s="11">
        <f t="shared" si="0"/>
        <v>225699.26067</v>
      </c>
      <c r="L10" s="271">
        <f>(K10-J10)*100/J10</f>
        <v>6.384636004977511</v>
      </c>
      <c r="M10" s="271">
        <f>(K10-Y10)*100/Y10</f>
        <v>112.18746026290273</v>
      </c>
      <c r="N10" s="11">
        <f aca="true" t="shared" si="1" ref="N10:Y10">SUM(N12:N43)</f>
        <v>51235</v>
      </c>
      <c r="O10" s="11">
        <f t="shared" si="1"/>
        <v>53826</v>
      </c>
      <c r="P10" s="11">
        <f t="shared" si="1"/>
        <v>58258</v>
      </c>
      <c r="Q10" s="11">
        <f t="shared" si="1"/>
        <v>66768</v>
      </c>
      <c r="R10" s="11">
        <f t="shared" si="1"/>
        <v>73781</v>
      </c>
      <c r="S10" s="11">
        <f t="shared" si="1"/>
        <v>74878</v>
      </c>
      <c r="T10" s="11">
        <f t="shared" si="1"/>
        <v>83017</v>
      </c>
      <c r="U10" s="11">
        <f t="shared" si="1"/>
        <v>79703</v>
      </c>
      <c r="V10" s="11">
        <f t="shared" si="1"/>
        <v>86937.35100000001</v>
      </c>
      <c r="W10" s="11">
        <f t="shared" si="1"/>
        <v>92660.43199999999</v>
      </c>
      <c r="X10" s="11">
        <f t="shared" si="1"/>
        <v>102245.94799999999</v>
      </c>
      <c r="Y10" s="11">
        <f t="shared" si="1"/>
        <v>106367.85999999999</v>
      </c>
      <c r="AA10" s="11">
        <f>SUM(AA12:AA43)</f>
        <v>180428021.14</v>
      </c>
      <c r="AB10" s="11">
        <f>SUM(AB12:AB43)</f>
        <v>902268.8799999999</v>
      </c>
      <c r="AC10" s="11">
        <f>SUM(AC12:AC43)</f>
        <v>19586974.45</v>
      </c>
      <c r="AD10" s="11">
        <f>SUM(AD12:AD43)</f>
        <v>199112726.71</v>
      </c>
      <c r="AE10" s="11">
        <f>SUM(AE12:AE43)</f>
        <v>199112.72671000002</v>
      </c>
      <c r="AG10" s="11">
        <f>SUM(AG12:AG43)</f>
        <v>198386931.60000002</v>
      </c>
      <c r="AH10" s="11">
        <f>SUM(AH12:AH43)</f>
        <v>598290.4299999999</v>
      </c>
      <c r="AI10" s="11">
        <f>SUM(AI12:AI43)</f>
        <v>14365748.91</v>
      </c>
      <c r="AJ10" s="11">
        <f>SUM(AJ12:AJ43)</f>
        <v>212154390.07999995</v>
      </c>
      <c r="AK10" s="11">
        <f>SUM(AK12:AK43)</f>
        <v>212154.39007999995</v>
      </c>
      <c r="AM10" s="11">
        <f>SUM(AM12:AM43)</f>
        <v>210645798.68</v>
      </c>
      <c r="AN10" s="11">
        <f>SUM(AN12:AN43)</f>
        <v>435938.30000000005</v>
      </c>
      <c r="AO10" s="11">
        <f>SUM(AO12:AO43)</f>
        <v>15489400.289999997</v>
      </c>
      <c r="AP10" s="11">
        <f>SUM(AP12:AP43)</f>
        <v>225699260.67000005</v>
      </c>
      <c r="AQ10" s="11">
        <f>SUM(AQ12:AQ43)</f>
        <v>225699.26067</v>
      </c>
    </row>
    <row r="11" spans="2:27" ht="12.75">
      <c r="B11" s="15"/>
      <c r="C11" s="32"/>
      <c r="M11" s="15"/>
      <c r="O11" s="15"/>
      <c r="R11" s="15"/>
      <c r="S11" s="15"/>
      <c r="X11" s="22"/>
      <c r="Y11" s="15"/>
      <c r="AA11" s="1"/>
    </row>
    <row r="12" spans="1:43" ht="12.75">
      <c r="A12" s="1" t="s">
        <v>6</v>
      </c>
      <c r="B12" s="15">
        <v>1510</v>
      </c>
      <c r="C12" s="85">
        <v>1591</v>
      </c>
      <c r="D12" s="1">
        <v>1212</v>
      </c>
      <c r="E12" s="1">
        <v>1387</v>
      </c>
      <c r="F12" s="1">
        <v>1743</v>
      </c>
      <c r="G12" s="1">
        <v>2200</v>
      </c>
      <c r="H12" s="1">
        <v>1850</v>
      </c>
      <c r="I12" s="1">
        <v>3355</v>
      </c>
      <c r="J12" s="1">
        <v>2726</v>
      </c>
      <c r="K12" s="1">
        <v>2536.37907</v>
      </c>
      <c r="L12" s="271">
        <f>(K12-J12)*100/J12</f>
        <v>-6.956013573000735</v>
      </c>
      <c r="M12" s="271">
        <f>(K12-Y12)*100/Y12</f>
        <v>77.68141286050242</v>
      </c>
      <c r="N12" s="15">
        <v>944</v>
      </c>
      <c r="O12" s="15">
        <v>973</v>
      </c>
      <c r="P12" s="15">
        <v>937</v>
      </c>
      <c r="Q12" s="28">
        <v>1132</v>
      </c>
      <c r="R12" s="28">
        <v>1082</v>
      </c>
      <c r="S12" s="28">
        <v>988</v>
      </c>
      <c r="T12" s="28">
        <v>1358</v>
      </c>
      <c r="U12" s="28">
        <v>1281</v>
      </c>
      <c r="V12" s="28">
        <f>1289.705+41.488</f>
        <v>1331.193</v>
      </c>
      <c r="W12" s="29">
        <f>1145.467+44.58</f>
        <v>1190.047</v>
      </c>
      <c r="X12" s="38">
        <f>1173.419+43.288</f>
        <v>1216.707</v>
      </c>
      <c r="Y12" s="15">
        <f>1371.021+56.466</f>
        <v>1427.4869999999999</v>
      </c>
      <c r="AA12" s="1">
        <v>3155991.97</v>
      </c>
      <c r="AB12" s="3">
        <v>18504.38</v>
      </c>
      <c r="AC12" s="100">
        <v>217752.79</v>
      </c>
      <c r="AD12" s="3">
        <f>AA12-AB12+AC12</f>
        <v>3355240.3800000004</v>
      </c>
      <c r="AE12" s="3">
        <f>AD12/1000</f>
        <v>3355.24038</v>
      </c>
      <c r="AG12" s="3">
        <v>2576381</v>
      </c>
      <c r="AH12" s="3">
        <v>11025</v>
      </c>
      <c r="AI12" s="3">
        <v>161032</v>
      </c>
      <c r="AJ12" s="3">
        <f>AG12-AH12+AI12</f>
        <v>2726388</v>
      </c>
      <c r="AK12" s="3">
        <f>AJ12/1000</f>
        <v>2726.388</v>
      </c>
      <c r="AM12" s="3">
        <v>2391158.39</v>
      </c>
      <c r="AN12" s="3">
        <v>22822.37</v>
      </c>
      <c r="AO12" s="3">
        <v>168043.05</v>
      </c>
      <c r="AP12" s="3">
        <f>AM12-AN12+AO12</f>
        <v>2536379.07</v>
      </c>
      <c r="AQ12" s="3">
        <f>AP12/1000</f>
        <v>2536.37907</v>
      </c>
    </row>
    <row r="13" spans="1:43" ht="12.75">
      <c r="A13" s="1" t="s">
        <v>7</v>
      </c>
      <c r="B13" s="15">
        <v>8912</v>
      </c>
      <c r="C13" s="85">
        <v>8435</v>
      </c>
      <c r="D13" s="1">
        <v>7928</v>
      </c>
      <c r="E13" s="1">
        <v>10301.81</v>
      </c>
      <c r="F13" s="1">
        <v>12755</v>
      </c>
      <c r="G13" s="1">
        <v>13182</v>
      </c>
      <c r="H13" s="1">
        <v>14885</v>
      </c>
      <c r="I13" s="1">
        <v>19833</v>
      </c>
      <c r="J13" s="1">
        <v>19045</v>
      </c>
      <c r="K13" s="1">
        <v>15171.93221</v>
      </c>
      <c r="L13" s="271">
        <f>(K13-J13)*100/J13</f>
        <v>-20.336402152796005</v>
      </c>
      <c r="M13" s="271">
        <f>(K13-Y13)*100/Y13</f>
        <v>75.12983825465923</v>
      </c>
      <c r="N13" s="15">
        <v>5395</v>
      </c>
      <c r="O13" s="15">
        <v>6289</v>
      </c>
      <c r="P13" s="15">
        <v>6767</v>
      </c>
      <c r="Q13" s="28">
        <v>7175</v>
      </c>
      <c r="R13" s="28">
        <v>7630</v>
      </c>
      <c r="S13" s="28">
        <v>7504</v>
      </c>
      <c r="T13" s="28">
        <v>6932</v>
      </c>
      <c r="U13" s="28">
        <v>7161</v>
      </c>
      <c r="V13" s="28">
        <f>7309.27+192.166</f>
        <v>7501.436000000001</v>
      </c>
      <c r="W13" s="29">
        <f>7046.705+247.969</f>
        <v>7294.674</v>
      </c>
      <c r="X13" s="38">
        <f>6976.744+241.606</f>
        <v>7218.349999999999</v>
      </c>
      <c r="Y13" s="15">
        <f>8457.689+205.559</f>
        <v>8663.248</v>
      </c>
      <c r="AA13" s="1">
        <v>18523412</v>
      </c>
      <c r="AB13" s="3">
        <v>0</v>
      </c>
      <c r="AC13" s="100">
        <v>1309909.6</v>
      </c>
      <c r="AD13" s="3">
        <f>AA13-AB13+AC13</f>
        <v>19833321.6</v>
      </c>
      <c r="AE13" s="3">
        <f>AD13/1000</f>
        <v>19833.321600000003</v>
      </c>
      <c r="AG13" s="3">
        <v>17479522</v>
      </c>
      <c r="AH13" s="3">
        <v>0</v>
      </c>
      <c r="AI13" s="3">
        <v>1565393.4</v>
      </c>
      <c r="AJ13" s="3">
        <f>AG13-AH13+AI13</f>
        <v>19044915.4</v>
      </c>
      <c r="AK13" s="3">
        <f>AJ13/1000</f>
        <v>19044.915399999998</v>
      </c>
      <c r="AM13" s="3">
        <v>13649630.21</v>
      </c>
      <c r="AN13" s="3">
        <v>0</v>
      </c>
      <c r="AO13" s="3">
        <v>1522302</v>
      </c>
      <c r="AP13" s="3">
        <f>AM13-AN13+AO13</f>
        <v>15171932.21</v>
      </c>
      <c r="AQ13" s="3">
        <f>AP13/1000</f>
        <v>15171.93221</v>
      </c>
    </row>
    <row r="14" spans="1:43" ht="12.75">
      <c r="A14" s="1" t="s">
        <v>8</v>
      </c>
      <c r="B14" s="15">
        <v>13038</v>
      </c>
      <c r="C14" s="85">
        <v>20520</v>
      </c>
      <c r="D14" s="1">
        <v>24200</v>
      </c>
      <c r="E14" s="1">
        <v>23185</v>
      </c>
      <c r="F14" s="1">
        <v>11949</v>
      </c>
      <c r="G14" s="1">
        <v>14471</v>
      </c>
      <c r="H14" s="1">
        <v>6320</v>
      </c>
      <c r="I14" s="1">
        <v>21649</v>
      </c>
      <c r="J14" s="1">
        <v>31057</v>
      </c>
      <c r="K14" s="1">
        <v>24806.690609999998</v>
      </c>
      <c r="L14" s="271">
        <f>(K14-J14)*100/J14</f>
        <v>-20.12528380075346</v>
      </c>
      <c r="M14" s="271">
        <f>(K14-Y14)*100/Y14</f>
        <v>145.87030083236363</v>
      </c>
      <c r="N14" s="15">
        <v>6059</v>
      </c>
      <c r="O14" s="15">
        <v>6628</v>
      </c>
      <c r="P14" s="15">
        <v>5979</v>
      </c>
      <c r="Q14" s="28">
        <v>9487</v>
      </c>
      <c r="R14" s="28">
        <v>11057</v>
      </c>
      <c r="S14" s="28">
        <v>7688</v>
      </c>
      <c r="T14" s="28">
        <v>9749</v>
      </c>
      <c r="U14" s="28">
        <v>11196</v>
      </c>
      <c r="V14" s="28">
        <f>10121.235+556.359</f>
        <v>10677.594000000001</v>
      </c>
      <c r="W14" s="29">
        <f>10298.384+618.024</f>
        <v>10916.408</v>
      </c>
      <c r="X14" s="38">
        <f>10338.604+737.458</f>
        <v>11076.062</v>
      </c>
      <c r="Y14" s="15">
        <f>9312.388+776.952</f>
        <v>10089.34</v>
      </c>
      <c r="AA14" s="1">
        <v>12065115</v>
      </c>
      <c r="AB14" s="3">
        <v>0</v>
      </c>
      <c r="AC14" s="100">
        <v>9583591</v>
      </c>
      <c r="AD14" s="3">
        <f>AA14-AB14+AC14</f>
        <v>21648706</v>
      </c>
      <c r="AE14" s="3">
        <f>AD14/1000</f>
        <v>21648.706</v>
      </c>
      <c r="AG14" s="3">
        <v>30036410</v>
      </c>
      <c r="AH14" s="3">
        <v>0</v>
      </c>
      <c r="AI14" s="3">
        <v>1020128.26</v>
      </c>
      <c r="AJ14" s="3">
        <f>AG14-AH14+AI14</f>
        <v>31056538.26</v>
      </c>
      <c r="AK14" s="3">
        <f>AJ14/1000</f>
        <v>31056.53826</v>
      </c>
      <c r="AM14" s="3">
        <v>24493800.97</v>
      </c>
      <c r="AN14" s="3">
        <v>0</v>
      </c>
      <c r="AO14" s="3">
        <v>312889.64</v>
      </c>
      <c r="AP14" s="3">
        <f>AM14-AN14+AO14</f>
        <v>24806690.61</v>
      </c>
      <c r="AQ14" s="3">
        <f>AP14/1000</f>
        <v>24806.690609999998</v>
      </c>
    </row>
    <row r="15" spans="1:43" ht="12.75">
      <c r="A15" s="1" t="s">
        <v>9</v>
      </c>
      <c r="B15" s="15">
        <v>17138</v>
      </c>
      <c r="C15" s="85">
        <v>13771</v>
      </c>
      <c r="D15" s="1">
        <v>17796</v>
      </c>
      <c r="E15" s="1">
        <v>19895</v>
      </c>
      <c r="F15" s="1">
        <v>30914</v>
      </c>
      <c r="G15" s="1">
        <v>25049</v>
      </c>
      <c r="H15" s="1">
        <v>21485</v>
      </c>
      <c r="I15" s="1">
        <v>25013</v>
      </c>
      <c r="J15" s="1">
        <v>26160</v>
      </c>
      <c r="K15" s="1">
        <v>25451.316400000003</v>
      </c>
      <c r="L15" s="271">
        <f>(K15-J15)*100/J15</f>
        <v>-2.709035168195706</v>
      </c>
      <c r="M15" s="271">
        <f>(K15-Y15)*100/Y15</f>
        <v>79.1419228979258</v>
      </c>
      <c r="N15" s="15">
        <v>6120</v>
      </c>
      <c r="O15" s="15">
        <v>6280</v>
      </c>
      <c r="P15" s="15">
        <v>7435</v>
      </c>
      <c r="Q15" s="28">
        <v>7899</v>
      </c>
      <c r="R15" s="28">
        <v>6779</v>
      </c>
      <c r="S15" s="28">
        <v>6661</v>
      </c>
      <c r="T15" s="28">
        <v>8505</v>
      </c>
      <c r="U15" s="28">
        <v>8729</v>
      </c>
      <c r="V15" s="28">
        <f>8990.268+256.153</f>
        <v>9246.421</v>
      </c>
      <c r="W15" s="29">
        <f>11845.479+237.188</f>
        <v>12082.667</v>
      </c>
      <c r="X15" s="38">
        <f>14503.129+281.919</f>
        <v>14785.048</v>
      </c>
      <c r="Y15" s="15">
        <f>13940.889+266.459</f>
        <v>14207.348</v>
      </c>
      <c r="AA15" s="1">
        <v>23556944</v>
      </c>
      <c r="AB15" s="3">
        <v>22404.7</v>
      </c>
      <c r="AC15" s="100">
        <v>1478105.36</v>
      </c>
      <c r="AD15" s="3">
        <f>AA15-AB15+AC15</f>
        <v>25012644.66</v>
      </c>
      <c r="AE15" s="3">
        <f>AD15/1000</f>
        <v>25012.64466</v>
      </c>
      <c r="AG15" s="3">
        <v>23900345</v>
      </c>
      <c r="AH15" s="3">
        <v>12746.95</v>
      </c>
      <c r="AI15" s="3">
        <v>2272764.26</v>
      </c>
      <c r="AJ15" s="3">
        <f>AG15-AH15+AI15</f>
        <v>26160362.310000002</v>
      </c>
      <c r="AK15" s="3">
        <f>AJ15/1000</f>
        <v>26160.362310000004</v>
      </c>
      <c r="AM15" s="3">
        <v>23789127.740000002</v>
      </c>
      <c r="AN15" s="3">
        <v>6986.22</v>
      </c>
      <c r="AO15" s="3">
        <v>1669174.88</v>
      </c>
      <c r="AP15" s="3">
        <f>AM15-AN15+AO15</f>
        <v>25451316.400000002</v>
      </c>
      <c r="AQ15" s="3">
        <f>AP15/1000</f>
        <v>25451.316400000003</v>
      </c>
    </row>
    <row r="16" spans="1:43" ht="12.75">
      <c r="A16" s="1" t="s">
        <v>10</v>
      </c>
      <c r="B16" s="15">
        <v>2415</v>
      </c>
      <c r="C16" s="85">
        <v>2451</v>
      </c>
      <c r="D16" s="1">
        <v>2503</v>
      </c>
      <c r="E16" s="1">
        <v>2934</v>
      </c>
      <c r="F16" s="1">
        <v>3371</v>
      </c>
      <c r="G16" s="1">
        <v>2935</v>
      </c>
      <c r="H16" s="1">
        <v>3307</v>
      </c>
      <c r="I16" s="1">
        <v>3420</v>
      </c>
      <c r="J16" s="1">
        <v>3175</v>
      </c>
      <c r="K16" s="1">
        <v>3198.73117</v>
      </c>
      <c r="L16" s="271">
        <f>(K16-J16)*100/J16</f>
        <v>0.747438425196851</v>
      </c>
      <c r="M16" s="271">
        <f>(K16-Y16)*100/Y16</f>
        <v>26.610367485909983</v>
      </c>
      <c r="N16" s="15">
        <v>889</v>
      </c>
      <c r="O16" s="15">
        <v>970</v>
      </c>
      <c r="P16" s="15">
        <v>925</v>
      </c>
      <c r="Q16" s="28">
        <v>1102</v>
      </c>
      <c r="R16" s="28">
        <v>1292</v>
      </c>
      <c r="S16" s="28">
        <v>1344</v>
      </c>
      <c r="T16" s="28">
        <v>1594</v>
      </c>
      <c r="U16" s="28">
        <v>1776</v>
      </c>
      <c r="V16" s="28">
        <f>2147.481+56.866</f>
        <v>2204.347</v>
      </c>
      <c r="W16" s="29">
        <f>2167.412+100.095</f>
        <v>2267.5069999999996</v>
      </c>
      <c r="X16" s="38">
        <f>2101.896+96.839</f>
        <v>2198.735</v>
      </c>
      <c r="Y16" s="15">
        <f>2364.224+162.213</f>
        <v>2526.4370000000004</v>
      </c>
      <c r="AA16" s="1">
        <v>3098520.7</v>
      </c>
      <c r="AB16" s="3">
        <v>8552.34</v>
      </c>
      <c r="AC16" s="100">
        <v>329615.64</v>
      </c>
      <c r="AD16" s="3">
        <f>AA16-AB16+AC16</f>
        <v>3419584.0000000005</v>
      </c>
      <c r="AE16" s="3">
        <f>AD16/1000</f>
        <v>3419.5840000000003</v>
      </c>
      <c r="AG16" s="3">
        <v>2812874.75</v>
      </c>
      <c r="AH16" s="3">
        <v>22138.29</v>
      </c>
      <c r="AI16" s="3">
        <v>384120.52</v>
      </c>
      <c r="AJ16" s="3">
        <f>AG16-AH16+AI16</f>
        <v>3174856.98</v>
      </c>
      <c r="AK16" s="3">
        <f>AJ16/1000</f>
        <v>3174.85698</v>
      </c>
      <c r="AM16" s="3">
        <v>2867215.25</v>
      </c>
      <c r="AN16" s="3">
        <v>11292.46</v>
      </c>
      <c r="AO16" s="3">
        <v>342808.38</v>
      </c>
      <c r="AP16" s="3">
        <f>AM16-AN16+AO16</f>
        <v>3198731.17</v>
      </c>
      <c r="AQ16" s="3">
        <f>AP16/1000</f>
        <v>3198.73117</v>
      </c>
    </row>
    <row r="17" spans="2:40" ht="12.75">
      <c r="B17" s="15"/>
      <c r="C17" s="85"/>
      <c r="L17" s="271"/>
      <c r="M17" s="271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  <c r="AA17" s="1"/>
      <c r="AC17" s="100"/>
      <c r="AN17" s="100"/>
    </row>
    <row r="18" spans="1:43" ht="12.75">
      <c r="A18" s="1" t="s">
        <v>11</v>
      </c>
      <c r="B18" s="15">
        <v>867</v>
      </c>
      <c r="C18" s="85">
        <v>817</v>
      </c>
      <c r="D18" s="1">
        <v>808</v>
      </c>
      <c r="E18" s="1">
        <v>1016</v>
      </c>
      <c r="F18" s="1">
        <v>1266</v>
      </c>
      <c r="G18" s="1">
        <v>1190</v>
      </c>
      <c r="H18" s="1">
        <v>1142</v>
      </c>
      <c r="I18" s="1">
        <v>1232</v>
      </c>
      <c r="J18" s="1">
        <v>933</v>
      </c>
      <c r="K18" s="1">
        <v>1149.40526</v>
      </c>
      <c r="L18" s="271">
        <f>(K18-J18)*100/J18</f>
        <v>23.194561629153267</v>
      </c>
      <c r="M18" s="271">
        <f>(K18-Y18)*100/Y18</f>
        <v>80.23044742231185</v>
      </c>
      <c r="N18" s="15">
        <v>268</v>
      </c>
      <c r="O18" s="15">
        <v>336</v>
      </c>
      <c r="P18" s="15">
        <v>344</v>
      </c>
      <c r="Q18" s="28">
        <v>339</v>
      </c>
      <c r="R18" s="28">
        <v>420</v>
      </c>
      <c r="S18" s="28">
        <v>409</v>
      </c>
      <c r="T18" s="28">
        <v>467</v>
      </c>
      <c r="U18" s="28">
        <v>429</v>
      </c>
      <c r="V18" s="28">
        <f>531.577+27.956</f>
        <v>559.533</v>
      </c>
      <c r="W18" s="29">
        <f>640.399+29.637</f>
        <v>670.0360000000001</v>
      </c>
      <c r="X18" s="38">
        <f>768.326+31.511</f>
        <v>799.837</v>
      </c>
      <c r="Y18" s="15">
        <f>602.432+35.31</f>
        <v>637.742</v>
      </c>
      <c r="AA18" s="1">
        <v>1170252.08</v>
      </c>
      <c r="AB18" s="3">
        <v>0</v>
      </c>
      <c r="AC18" s="100">
        <v>61536.83</v>
      </c>
      <c r="AD18" s="3">
        <f>AA18-AB18+AC18</f>
        <v>1231788.9100000001</v>
      </c>
      <c r="AE18" s="3">
        <f>AD18/1000</f>
        <v>1231.7889100000002</v>
      </c>
      <c r="AG18" s="3">
        <v>874644.6</v>
      </c>
      <c r="AH18" s="3">
        <v>0</v>
      </c>
      <c r="AI18" s="3">
        <v>58457.74</v>
      </c>
      <c r="AJ18" s="3">
        <f>AG18-AH18+AI18</f>
        <v>933102.34</v>
      </c>
      <c r="AK18" s="3">
        <f>AJ18/1000</f>
        <v>933.1023399999999</v>
      </c>
      <c r="AM18" s="3">
        <v>1049427.61</v>
      </c>
      <c r="AN18" s="3">
        <v>0</v>
      </c>
      <c r="AO18" s="3">
        <v>99977.65</v>
      </c>
      <c r="AP18" s="3">
        <f>AM18-AN18+AO18</f>
        <v>1149405.26</v>
      </c>
      <c r="AQ18" s="3">
        <f>AP18/1000</f>
        <v>1149.40526</v>
      </c>
    </row>
    <row r="19" spans="1:43" ht="12.75">
      <c r="A19" s="1" t="s">
        <v>12</v>
      </c>
      <c r="B19" s="15">
        <v>4443</v>
      </c>
      <c r="C19" s="85">
        <v>3403</v>
      </c>
      <c r="D19" s="1">
        <v>4324</v>
      </c>
      <c r="E19" s="1">
        <v>4323</v>
      </c>
      <c r="F19" s="1">
        <v>4975</v>
      </c>
      <c r="G19" s="1">
        <v>5733</v>
      </c>
      <c r="H19" s="1">
        <v>8311</v>
      </c>
      <c r="I19" s="1">
        <v>6879</v>
      </c>
      <c r="J19" s="1">
        <v>8679</v>
      </c>
      <c r="K19" s="1">
        <v>8698.928250000003</v>
      </c>
      <c r="L19" s="271">
        <f>(K19-J19)*100/J19</f>
        <v>0.22961458693400924</v>
      </c>
      <c r="M19" s="271">
        <f>(K19-Y19)*100/Y19</f>
        <v>186.0803527706679</v>
      </c>
      <c r="N19" s="15">
        <v>1774</v>
      </c>
      <c r="O19" s="15">
        <v>1805</v>
      </c>
      <c r="P19" s="15">
        <v>1900</v>
      </c>
      <c r="Q19" s="28">
        <v>2094</v>
      </c>
      <c r="R19" s="28">
        <v>2317</v>
      </c>
      <c r="S19" s="28">
        <v>2648</v>
      </c>
      <c r="T19" s="28">
        <v>3095</v>
      </c>
      <c r="U19" s="28">
        <v>2858</v>
      </c>
      <c r="V19" s="28">
        <f>3000.603+197.829</f>
        <v>3198.4320000000002</v>
      </c>
      <c r="W19" s="29">
        <f>3069.181+212.298</f>
        <v>3281.4790000000003</v>
      </c>
      <c r="X19" s="38">
        <f>4576.299+291.499</f>
        <v>4867.798</v>
      </c>
      <c r="Y19" s="15">
        <f>2766.735+273.994</f>
        <v>3040.7290000000003</v>
      </c>
      <c r="AA19" s="1">
        <v>6541196</v>
      </c>
      <c r="AB19" s="3">
        <v>26547.6</v>
      </c>
      <c r="AC19" s="100">
        <v>364092.67</v>
      </c>
      <c r="AD19" s="3">
        <f>AA19-AB19+AC19</f>
        <v>6878741.07</v>
      </c>
      <c r="AE19" s="3">
        <f>AD19/1000</f>
        <v>6878.74107</v>
      </c>
      <c r="AG19" s="3">
        <v>8323165</v>
      </c>
      <c r="AH19" s="3">
        <v>26903.74</v>
      </c>
      <c r="AI19" s="3">
        <v>382645.94</v>
      </c>
      <c r="AJ19" s="3">
        <f>AG19-AH19+AI19</f>
        <v>8678907.2</v>
      </c>
      <c r="AK19" s="3">
        <f>AJ19/1000</f>
        <v>8678.9072</v>
      </c>
      <c r="AM19" s="3">
        <v>8318163.500000002</v>
      </c>
      <c r="AN19" s="3">
        <v>30077.15</v>
      </c>
      <c r="AO19" s="3">
        <v>410841.9</v>
      </c>
      <c r="AP19" s="3">
        <f>AM19-AN19+AO19</f>
        <v>8698928.250000002</v>
      </c>
      <c r="AQ19" s="3">
        <f>AP19/1000</f>
        <v>8698.928250000003</v>
      </c>
    </row>
    <row r="20" spans="1:43" ht="12.75">
      <c r="A20" s="1" t="s">
        <v>13</v>
      </c>
      <c r="B20" s="15">
        <v>1652</v>
      </c>
      <c r="C20" s="85">
        <v>1969</v>
      </c>
      <c r="D20" s="1">
        <v>2592</v>
      </c>
      <c r="E20" s="1">
        <v>2298</v>
      </c>
      <c r="F20" s="1">
        <v>2331</v>
      </c>
      <c r="G20" s="1">
        <v>2847</v>
      </c>
      <c r="H20" s="1">
        <v>3202</v>
      </c>
      <c r="I20" s="1">
        <v>2867</v>
      </c>
      <c r="J20" s="1">
        <v>3063</v>
      </c>
      <c r="K20" s="1">
        <v>3070.29281</v>
      </c>
      <c r="L20" s="271">
        <f>(K20-J20)*100/J20</f>
        <v>0.23809369898791766</v>
      </c>
      <c r="M20" s="271">
        <f>(K20-Y20)*100/Y20</f>
        <v>93.23276600484986</v>
      </c>
      <c r="N20" s="15">
        <v>1010</v>
      </c>
      <c r="O20" s="15">
        <v>888</v>
      </c>
      <c r="P20" s="15">
        <v>799</v>
      </c>
      <c r="Q20" s="28">
        <v>1254</v>
      </c>
      <c r="R20" s="28">
        <v>1486</v>
      </c>
      <c r="S20" s="28">
        <v>1510</v>
      </c>
      <c r="T20" s="28">
        <v>1504</v>
      </c>
      <c r="U20" s="28">
        <v>1968</v>
      </c>
      <c r="V20" s="28">
        <f>1184.891+63.407</f>
        <v>1248.298</v>
      </c>
      <c r="W20" s="29">
        <f>1401.841+89.234</f>
        <v>1491.0749999999998</v>
      </c>
      <c r="X20" s="38">
        <f>1415.867+106.176</f>
        <v>1522.043</v>
      </c>
      <c r="Y20" s="15">
        <f>1485.162+103.747</f>
        <v>1588.909</v>
      </c>
      <c r="AA20" s="1">
        <v>2640537.82</v>
      </c>
      <c r="AB20" s="3">
        <v>0</v>
      </c>
      <c r="AC20" s="100">
        <v>226328.09</v>
      </c>
      <c r="AD20" s="3">
        <f>AA20-AB20+AC20</f>
        <v>2866865.9099999997</v>
      </c>
      <c r="AE20" s="3">
        <f>AD20/1000</f>
        <v>2866.8659099999995</v>
      </c>
      <c r="AG20" s="3">
        <v>2763119.79</v>
      </c>
      <c r="AH20" s="3">
        <v>0</v>
      </c>
      <c r="AI20" s="3">
        <v>300280.48</v>
      </c>
      <c r="AJ20" s="3">
        <f>AG20-AH20+AI20</f>
        <v>3063400.27</v>
      </c>
      <c r="AK20" s="3">
        <f>AJ20/1000</f>
        <v>3063.40027</v>
      </c>
      <c r="AM20" s="3">
        <v>2866571.31</v>
      </c>
      <c r="AN20" s="3">
        <v>0</v>
      </c>
      <c r="AO20" s="3">
        <v>203721.5</v>
      </c>
      <c r="AP20" s="3">
        <f>AM20-AN20+AO20</f>
        <v>3070292.81</v>
      </c>
      <c r="AQ20" s="3">
        <f>AP20/1000</f>
        <v>3070.29281</v>
      </c>
    </row>
    <row r="21" spans="1:43" ht="12.75">
      <c r="A21" s="1" t="s">
        <v>14</v>
      </c>
      <c r="B21" s="15">
        <v>3349</v>
      </c>
      <c r="C21" s="85">
        <v>2812</v>
      </c>
      <c r="D21" s="1">
        <v>3241</v>
      </c>
      <c r="E21" s="1">
        <v>4473</v>
      </c>
      <c r="F21" s="1">
        <v>3844</v>
      </c>
      <c r="G21" s="1">
        <v>4872</v>
      </c>
      <c r="H21" s="1">
        <v>5452</v>
      </c>
      <c r="I21" s="1">
        <v>6121</v>
      </c>
      <c r="J21" s="1">
        <v>8360</v>
      </c>
      <c r="K21" s="1">
        <v>9063.051810000003</v>
      </c>
      <c r="L21" s="271">
        <f>(K21-J21)*100/J21</f>
        <v>8.409710645933046</v>
      </c>
      <c r="M21" s="271">
        <f>(K21-Y21)*100/Y21</f>
        <v>330.92566039942784</v>
      </c>
      <c r="N21" s="15">
        <v>1018</v>
      </c>
      <c r="O21" s="15">
        <v>1280</v>
      </c>
      <c r="P21" s="15">
        <v>1817</v>
      </c>
      <c r="Q21" s="28">
        <v>1867</v>
      </c>
      <c r="R21" s="28">
        <v>1859</v>
      </c>
      <c r="S21" s="28">
        <v>2179</v>
      </c>
      <c r="T21" s="28">
        <v>2045</v>
      </c>
      <c r="U21" s="28">
        <v>1791</v>
      </c>
      <c r="V21" s="28">
        <f>2094.013+65.518</f>
        <v>2159.531</v>
      </c>
      <c r="W21" s="29">
        <f>1867.932+126.749</f>
        <v>1994.681</v>
      </c>
      <c r="X21" s="38">
        <f>1920.384+61.494</f>
        <v>1981.878</v>
      </c>
      <c r="Y21" s="15">
        <f>2046.87+56.289</f>
        <v>2103.159</v>
      </c>
      <c r="AA21" s="1">
        <v>5893332</v>
      </c>
      <c r="AB21" s="3">
        <v>53727.33</v>
      </c>
      <c r="AC21" s="100">
        <v>281348.93</v>
      </c>
      <c r="AD21" s="3">
        <f>AA21-AB21+AC21</f>
        <v>6120953.6</v>
      </c>
      <c r="AE21" s="3">
        <f>AD21/1000</f>
        <v>6120.9536</v>
      </c>
      <c r="AG21" s="3">
        <v>8112400</v>
      </c>
      <c r="AH21" s="3">
        <v>69240.87</v>
      </c>
      <c r="AI21" s="3">
        <v>316833</v>
      </c>
      <c r="AJ21" s="3">
        <f>AG21-AH21+AI21</f>
        <v>8359992.13</v>
      </c>
      <c r="AK21" s="3">
        <f>AJ21/1000</f>
        <v>8359.99213</v>
      </c>
      <c r="AM21" s="3">
        <v>8851957.230000002</v>
      </c>
      <c r="AN21" s="3">
        <v>61667.07</v>
      </c>
      <c r="AO21" s="3">
        <v>272761.65</v>
      </c>
      <c r="AP21" s="3">
        <f>AM21-AN21+AO21</f>
        <v>9063051.810000002</v>
      </c>
      <c r="AQ21" s="3">
        <f>AP21/1000</f>
        <v>9063.051810000003</v>
      </c>
    </row>
    <row r="22" spans="1:43" ht="12.75">
      <c r="A22" s="1" t="s">
        <v>15</v>
      </c>
      <c r="B22" s="15">
        <v>754</v>
      </c>
      <c r="C22" s="85">
        <v>944</v>
      </c>
      <c r="D22" s="1">
        <v>779</v>
      </c>
      <c r="E22" s="1">
        <v>951</v>
      </c>
      <c r="F22" s="1">
        <v>869</v>
      </c>
      <c r="G22" s="1">
        <v>762</v>
      </c>
      <c r="H22" s="1">
        <v>1113</v>
      </c>
      <c r="I22" s="1">
        <v>1448</v>
      </c>
      <c r="J22" s="1">
        <v>1454</v>
      </c>
      <c r="K22" s="1">
        <v>1316.1938</v>
      </c>
      <c r="L22" s="271">
        <f>(K22-J22)*100/J22</f>
        <v>-9.477730398899586</v>
      </c>
      <c r="M22" s="271">
        <f>(K22-Y22)*100/Y22</f>
        <v>90.08686961758593</v>
      </c>
      <c r="N22" s="15">
        <v>384</v>
      </c>
      <c r="O22" s="15">
        <v>348</v>
      </c>
      <c r="P22" s="15">
        <v>364</v>
      </c>
      <c r="Q22" s="28">
        <v>382</v>
      </c>
      <c r="R22" s="28">
        <v>423</v>
      </c>
      <c r="S22" s="28">
        <v>449</v>
      </c>
      <c r="T22" s="28">
        <v>536</v>
      </c>
      <c r="U22" s="28">
        <v>456</v>
      </c>
      <c r="V22" s="28">
        <f>489.899+34.139</f>
        <v>524.038</v>
      </c>
      <c r="W22" s="29">
        <f>620.312+44.517</f>
        <v>664.8290000000001</v>
      </c>
      <c r="X22" s="38">
        <f>674.24+45.444</f>
        <v>719.684</v>
      </c>
      <c r="Y22" s="15">
        <f>652.659+39.758</f>
        <v>692.417</v>
      </c>
      <c r="AA22" s="1">
        <v>1410842.82</v>
      </c>
      <c r="AB22" s="3">
        <v>26064.88</v>
      </c>
      <c r="AC22" s="100">
        <v>62892.97</v>
      </c>
      <c r="AD22" s="3">
        <f>AA22-AB22+AC22</f>
        <v>1447670.9100000001</v>
      </c>
      <c r="AE22" s="3">
        <f>AD22/1000</f>
        <v>1447.67091</v>
      </c>
      <c r="AG22" s="3">
        <v>1430998.93</v>
      </c>
      <c r="AH22" s="3">
        <v>19543.35</v>
      </c>
      <c r="AI22" s="3">
        <v>42795.73</v>
      </c>
      <c r="AJ22" s="3">
        <f>AG22-AH22+AI22</f>
        <v>1454251.3099999998</v>
      </c>
      <c r="AK22" s="3">
        <f>AJ22/1000</f>
        <v>1454.2513099999999</v>
      </c>
      <c r="AM22" s="3">
        <v>1263764.71</v>
      </c>
      <c r="AN22" s="3">
        <v>23512.43</v>
      </c>
      <c r="AO22" s="3">
        <v>75941.52</v>
      </c>
      <c r="AP22" s="3">
        <f>AM22-AN22+AO22</f>
        <v>1316193.8</v>
      </c>
      <c r="AQ22" s="3">
        <f>AP22/1000</f>
        <v>1316.1938</v>
      </c>
    </row>
    <row r="23" spans="2:29" ht="12.75">
      <c r="B23" s="15"/>
      <c r="C23" s="85"/>
      <c r="L23" s="271"/>
      <c r="M23" s="271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  <c r="AA23" s="1"/>
      <c r="AC23" s="100"/>
    </row>
    <row r="24" spans="1:43" ht="12.75">
      <c r="A24" s="1" t="s">
        <v>16</v>
      </c>
      <c r="B24" s="15">
        <v>4153</v>
      </c>
      <c r="C24" s="85">
        <v>5019</v>
      </c>
      <c r="D24" s="1">
        <v>5693</v>
      </c>
      <c r="E24" s="1">
        <v>4750.73</v>
      </c>
      <c r="F24" s="1">
        <v>5323</v>
      </c>
      <c r="G24" s="1">
        <v>7154</v>
      </c>
      <c r="H24" s="1">
        <v>6842</v>
      </c>
      <c r="I24" s="1">
        <v>10040</v>
      </c>
      <c r="J24" s="1">
        <v>7585</v>
      </c>
      <c r="K24" s="1">
        <v>10272.426720000001</v>
      </c>
      <c r="L24" s="271">
        <f>(K24-J24)*100/J24</f>
        <v>35.43080711931445</v>
      </c>
      <c r="M24" s="271">
        <f>(K24-Y24)*100/Y24</f>
        <v>157.81142750873204</v>
      </c>
      <c r="N24" s="15">
        <v>1932</v>
      </c>
      <c r="O24" s="15">
        <v>1853</v>
      </c>
      <c r="P24" s="15">
        <v>2081</v>
      </c>
      <c r="Q24" s="28">
        <v>2423</v>
      </c>
      <c r="R24" s="28">
        <v>2953</v>
      </c>
      <c r="S24" s="28">
        <v>3156</v>
      </c>
      <c r="T24" s="28">
        <v>3386</v>
      </c>
      <c r="U24" s="28">
        <v>3194</v>
      </c>
      <c r="V24" s="28">
        <f>3040.017+188.168</f>
        <v>3228.185</v>
      </c>
      <c r="W24" s="29">
        <f>2936.017+186.746</f>
        <v>3122.763</v>
      </c>
      <c r="X24" s="38">
        <f>3291.797+193.647</f>
        <v>3485.444</v>
      </c>
      <c r="Y24" s="15">
        <f>3780.892+203.581</f>
        <v>3984.473</v>
      </c>
      <c r="AA24" s="1">
        <v>9619372</v>
      </c>
      <c r="AB24" s="3">
        <v>76834.72</v>
      </c>
      <c r="AC24" s="100">
        <v>497021.95</v>
      </c>
      <c r="AD24" s="3">
        <f>AA24-AB24+AC24</f>
        <v>10039559.229999999</v>
      </c>
      <c r="AE24" s="3">
        <f>AD24/1000</f>
        <v>10039.559229999999</v>
      </c>
      <c r="AG24" s="3">
        <v>7127790</v>
      </c>
      <c r="AH24" s="3">
        <v>57966.42</v>
      </c>
      <c r="AI24" s="3">
        <v>515518.15</v>
      </c>
      <c r="AJ24" s="3">
        <f>AG24-AH24+AI24</f>
        <v>7585341.73</v>
      </c>
      <c r="AK24" s="3">
        <f>AJ24/1000</f>
        <v>7585.34173</v>
      </c>
      <c r="AM24" s="3">
        <v>9747799.020000001</v>
      </c>
      <c r="AN24" s="3">
        <v>67454.38</v>
      </c>
      <c r="AO24" s="3">
        <v>592082.08</v>
      </c>
      <c r="AP24" s="3">
        <f>AM24-AN24+AO24</f>
        <v>10272426.72</v>
      </c>
      <c r="AQ24" s="3">
        <f>AP24/1000</f>
        <v>10272.426720000001</v>
      </c>
    </row>
    <row r="25" spans="1:43" ht="12.75">
      <c r="A25" s="1" t="s">
        <v>17</v>
      </c>
      <c r="B25" s="15">
        <v>606</v>
      </c>
      <c r="C25" s="85">
        <v>648</v>
      </c>
      <c r="D25" s="1">
        <v>870</v>
      </c>
      <c r="E25" s="1">
        <v>971.93</v>
      </c>
      <c r="F25" s="1">
        <v>1032</v>
      </c>
      <c r="G25" s="1">
        <v>1198</v>
      </c>
      <c r="H25" s="1">
        <v>1102</v>
      </c>
      <c r="I25" s="1">
        <v>1140</v>
      </c>
      <c r="J25" s="1">
        <v>928</v>
      </c>
      <c r="K25" s="1">
        <v>1066.64318</v>
      </c>
      <c r="L25" s="271">
        <f>(K25-J25)*100/J25</f>
        <v>14.93999784482759</v>
      </c>
      <c r="M25" s="271">
        <f>(K25-Y25)*100/Y25</f>
        <v>130.62206193635987</v>
      </c>
      <c r="N25" s="15">
        <v>333</v>
      </c>
      <c r="O25" s="15">
        <v>350</v>
      </c>
      <c r="P25" s="15">
        <v>425</v>
      </c>
      <c r="Q25" s="28">
        <v>439</v>
      </c>
      <c r="R25" s="28">
        <v>511</v>
      </c>
      <c r="S25" s="28">
        <v>557</v>
      </c>
      <c r="T25" s="28">
        <v>340</v>
      </c>
      <c r="U25" s="28">
        <v>548</v>
      </c>
      <c r="V25" s="28">
        <f>583.549+15.356</f>
        <v>598.905</v>
      </c>
      <c r="W25" s="29">
        <f>563.146+16.911</f>
        <v>580.057</v>
      </c>
      <c r="X25" s="38">
        <f>514.444+23.662</f>
        <v>538.106</v>
      </c>
      <c r="Y25" s="15">
        <f>445.3+17.207</f>
        <v>462.507</v>
      </c>
      <c r="AA25" s="1">
        <v>1072713.33</v>
      </c>
      <c r="AB25" s="3">
        <v>0</v>
      </c>
      <c r="AC25" s="100">
        <v>67404.79</v>
      </c>
      <c r="AD25" s="3">
        <f>AA25-AB25+AC25</f>
        <v>1140118.12</v>
      </c>
      <c r="AE25" s="3">
        <f>AD25/1000</f>
        <v>1140.11812</v>
      </c>
      <c r="AG25" s="3">
        <v>883309.31</v>
      </c>
      <c r="AH25" s="3">
        <v>0</v>
      </c>
      <c r="AI25" s="3">
        <v>44384.34</v>
      </c>
      <c r="AJ25" s="3">
        <f>AG25-AH25+AI25</f>
        <v>927693.65</v>
      </c>
      <c r="AK25" s="3">
        <f>AJ25/1000</f>
        <v>927.69365</v>
      </c>
      <c r="AM25" s="3">
        <v>1010812.69</v>
      </c>
      <c r="AN25" s="3">
        <v>0</v>
      </c>
      <c r="AO25" s="3">
        <v>55830.49</v>
      </c>
      <c r="AP25" s="3">
        <f>AM25-AN25+AO25</f>
        <v>1066643.18</v>
      </c>
      <c r="AQ25" s="3">
        <f>AP25/1000</f>
        <v>1066.64318</v>
      </c>
    </row>
    <row r="26" spans="1:43" ht="12.75">
      <c r="A26" s="1" t="s">
        <v>18</v>
      </c>
      <c r="B26" s="15">
        <v>6217</v>
      </c>
      <c r="C26" s="85">
        <v>6212</v>
      </c>
      <c r="D26" s="1">
        <v>6103</v>
      </c>
      <c r="E26" s="1">
        <v>5270</v>
      </c>
      <c r="F26" s="1">
        <v>5773</v>
      </c>
      <c r="G26" s="1">
        <v>6699</v>
      </c>
      <c r="H26" s="1">
        <v>7316</v>
      </c>
      <c r="I26" s="1">
        <v>7109</v>
      </c>
      <c r="J26" s="1">
        <v>6957</v>
      </c>
      <c r="K26" s="1">
        <v>9738.85589</v>
      </c>
      <c r="L26" s="271">
        <f>(K26-J26)*100/J26</f>
        <v>39.986429351732085</v>
      </c>
      <c r="M26" s="271">
        <f>(K26-Y26)*100/Y26</f>
        <v>55.98584126047522</v>
      </c>
      <c r="N26" s="15">
        <v>2338</v>
      </c>
      <c r="O26" s="15">
        <v>2378</v>
      </c>
      <c r="P26" s="15">
        <v>2492</v>
      </c>
      <c r="Q26" s="28">
        <v>2639</v>
      </c>
      <c r="R26" s="28">
        <v>3106</v>
      </c>
      <c r="S26" s="28">
        <v>3541</v>
      </c>
      <c r="T26" s="28">
        <v>3833</v>
      </c>
      <c r="U26" s="28">
        <v>4372</v>
      </c>
      <c r="V26" s="28">
        <f>4882.398+139.684</f>
        <v>5022.082</v>
      </c>
      <c r="W26" s="29">
        <f>5718.579+230.947</f>
        <v>5949.526</v>
      </c>
      <c r="X26" s="38">
        <f>5941.856+187.617</f>
        <v>6129.473</v>
      </c>
      <c r="Y26" s="15">
        <f>6052.769+190.654</f>
        <v>6243.423000000001</v>
      </c>
      <c r="AA26" s="1">
        <v>6878110</v>
      </c>
      <c r="AB26" s="3">
        <v>0</v>
      </c>
      <c r="AC26" s="100">
        <v>230711.15</v>
      </c>
      <c r="AD26" s="3">
        <f>AA26-AB26+AC26</f>
        <v>7108821.15</v>
      </c>
      <c r="AE26" s="3">
        <f>AD26/1000</f>
        <v>7108.821150000001</v>
      </c>
      <c r="AG26" s="3">
        <v>6590470</v>
      </c>
      <c r="AH26" s="3">
        <v>0</v>
      </c>
      <c r="AI26" s="3">
        <v>366844.76</v>
      </c>
      <c r="AJ26" s="3">
        <f>AG26-AH26+AI26</f>
        <v>6957314.76</v>
      </c>
      <c r="AK26" s="3">
        <f>AJ26/1000</f>
        <v>6957.31476</v>
      </c>
      <c r="AM26" s="3">
        <v>9223712.14</v>
      </c>
      <c r="AN26" s="3">
        <v>0</v>
      </c>
      <c r="AO26" s="3">
        <v>515143.75</v>
      </c>
      <c r="AP26" s="3">
        <f>AM26-AN26+AO26</f>
        <v>9738855.89</v>
      </c>
      <c r="AQ26" s="3">
        <f>AP26/1000</f>
        <v>9738.85589</v>
      </c>
    </row>
    <row r="27" spans="1:43" ht="12.75">
      <c r="A27" s="1" t="s">
        <v>19</v>
      </c>
      <c r="B27" s="15">
        <v>6427</v>
      </c>
      <c r="C27" s="85">
        <v>5743</v>
      </c>
      <c r="D27" s="1">
        <v>7516</v>
      </c>
      <c r="E27" s="1">
        <v>7514</v>
      </c>
      <c r="F27" s="1">
        <v>10094</v>
      </c>
      <c r="G27" s="1">
        <v>8985</v>
      </c>
      <c r="H27" s="1">
        <v>10793</v>
      </c>
      <c r="I27" s="1">
        <v>11600</v>
      </c>
      <c r="J27" s="1">
        <v>10664</v>
      </c>
      <c r="K27" s="1">
        <v>12965.42389</v>
      </c>
      <c r="L27" s="271">
        <f>(K27-J27)*100/J27</f>
        <v>21.581244279819956</v>
      </c>
      <c r="M27" s="271">
        <f>(K27-Y27)*100/Y27</f>
        <v>102.21620923991027</v>
      </c>
      <c r="N27" s="15">
        <v>3153</v>
      </c>
      <c r="O27" s="15">
        <v>3036</v>
      </c>
      <c r="P27" s="15">
        <v>3273</v>
      </c>
      <c r="Q27" s="28">
        <v>3805</v>
      </c>
      <c r="R27" s="28">
        <v>4461</v>
      </c>
      <c r="S27" s="28">
        <v>5180</v>
      </c>
      <c r="T27" s="28">
        <v>6017</v>
      </c>
      <c r="U27" s="28">
        <v>5306</v>
      </c>
      <c r="V27" s="28">
        <f>4951.315+194.165</f>
        <v>5145.48</v>
      </c>
      <c r="W27" s="29">
        <f>5255.808+146.452</f>
        <v>5402.26</v>
      </c>
      <c r="X27" s="38">
        <f>5144.574+189.844</f>
        <v>5334.418</v>
      </c>
      <c r="Y27" s="15">
        <f>6207.545+204.119</f>
        <v>6411.664</v>
      </c>
      <c r="AA27" s="1">
        <v>10731389</v>
      </c>
      <c r="AB27" s="3">
        <v>0</v>
      </c>
      <c r="AC27" s="100">
        <v>868446.6</v>
      </c>
      <c r="AD27" s="3">
        <f>AA27-AB27+AC27</f>
        <v>11599835.6</v>
      </c>
      <c r="AE27" s="3">
        <f>AD27/1000</f>
        <v>11599.8356</v>
      </c>
      <c r="AG27" s="3">
        <v>9096260</v>
      </c>
      <c r="AH27" s="3">
        <v>0</v>
      </c>
      <c r="AI27" s="3">
        <v>1567626.36</v>
      </c>
      <c r="AJ27" s="3">
        <f>AG27-AH27+AI27</f>
        <v>10663886.36</v>
      </c>
      <c r="AK27" s="3">
        <f>AJ27/1000</f>
        <v>10663.886359999999</v>
      </c>
      <c r="AM27" s="3">
        <v>11583124.73</v>
      </c>
      <c r="AN27" s="3">
        <v>0</v>
      </c>
      <c r="AO27" s="3">
        <v>1382299.16</v>
      </c>
      <c r="AP27" s="3">
        <f>AM27-AN27+AO27</f>
        <v>12965423.89</v>
      </c>
      <c r="AQ27" s="3">
        <f>AP27/1000</f>
        <v>12965.42389</v>
      </c>
    </row>
    <row r="28" spans="1:43" ht="12.75">
      <c r="A28" s="1" t="s">
        <v>20</v>
      </c>
      <c r="B28" s="15">
        <v>395</v>
      </c>
      <c r="C28" s="85">
        <v>430</v>
      </c>
      <c r="D28" s="1">
        <v>549</v>
      </c>
      <c r="E28" s="1">
        <v>563</v>
      </c>
      <c r="F28" s="1">
        <v>721</v>
      </c>
      <c r="G28" s="1">
        <v>630</v>
      </c>
      <c r="H28" s="1">
        <v>524</v>
      </c>
      <c r="I28" s="1">
        <v>456</v>
      </c>
      <c r="J28" s="1">
        <v>541</v>
      </c>
      <c r="K28" s="1">
        <v>615.62278</v>
      </c>
      <c r="L28" s="271">
        <f>(K28-J28)*100/J28</f>
        <v>13.793489833641411</v>
      </c>
      <c r="M28" s="271">
        <f>(K28-Y28)*100/Y28</f>
        <v>58.1171451613732</v>
      </c>
      <c r="N28" s="15">
        <v>225</v>
      </c>
      <c r="O28" s="15">
        <v>212</v>
      </c>
      <c r="P28" s="28">
        <v>223</v>
      </c>
      <c r="Q28" s="28">
        <v>229</v>
      </c>
      <c r="R28" s="28">
        <v>274</v>
      </c>
      <c r="S28" s="28">
        <v>305</v>
      </c>
      <c r="T28" s="28">
        <v>301</v>
      </c>
      <c r="U28" s="28">
        <v>295</v>
      </c>
      <c r="V28" s="28">
        <f>283.888+29.713</f>
        <v>313.601</v>
      </c>
      <c r="W28" s="29">
        <f>364.049+24.906</f>
        <v>388.955</v>
      </c>
      <c r="X28" s="38">
        <f>383.057+24.943</f>
        <v>408</v>
      </c>
      <c r="Y28" s="15">
        <f>364.405+24.941</f>
        <v>389.34599999999995</v>
      </c>
      <c r="AA28" s="1">
        <v>435689.69</v>
      </c>
      <c r="AB28" s="3">
        <v>14017.38</v>
      </c>
      <c r="AC28" s="100">
        <v>34542.11</v>
      </c>
      <c r="AD28" s="3">
        <f>AA28-AB28+AC28</f>
        <v>456214.42</v>
      </c>
      <c r="AE28" s="3">
        <f>AD28/1000</f>
        <v>456.21441999999996</v>
      </c>
      <c r="AG28" s="3">
        <v>521675.6</v>
      </c>
      <c r="AH28" s="3">
        <v>8668.14</v>
      </c>
      <c r="AI28" s="3">
        <v>28420.31</v>
      </c>
      <c r="AJ28" s="3">
        <f>AG28-AH28+AI28</f>
        <v>541427.77</v>
      </c>
      <c r="AK28" s="3">
        <f>AJ28/1000</f>
        <v>541.42777</v>
      </c>
      <c r="AM28" s="3">
        <v>612528.14</v>
      </c>
      <c r="AN28" s="3">
        <v>21168.12</v>
      </c>
      <c r="AO28" s="3">
        <v>24262.76</v>
      </c>
      <c r="AP28" s="3">
        <f>AM28-AN28+AO28</f>
        <v>615622.78</v>
      </c>
      <c r="AQ28" s="3">
        <f>AP28/1000</f>
        <v>615.62278</v>
      </c>
    </row>
    <row r="29" spans="2:29" ht="12.75">
      <c r="B29" s="15"/>
      <c r="C29" s="85"/>
      <c r="L29" s="271"/>
      <c r="M29" s="271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  <c r="AA29" s="1"/>
      <c r="AC29" s="100"/>
    </row>
    <row r="30" spans="1:43" ht="12.75">
      <c r="A30" s="1" t="s">
        <v>21</v>
      </c>
      <c r="B30" s="15">
        <v>16408</v>
      </c>
      <c r="C30" s="85">
        <v>18803</v>
      </c>
      <c r="D30" s="1">
        <v>25157</v>
      </c>
      <c r="E30" s="1">
        <v>26957</v>
      </c>
      <c r="F30" s="1">
        <v>25988</v>
      </c>
      <c r="G30" s="1">
        <v>27901</v>
      </c>
      <c r="H30" s="1">
        <v>26252</v>
      </c>
      <c r="I30" s="1">
        <v>27622</v>
      </c>
      <c r="J30" s="1">
        <v>32099</v>
      </c>
      <c r="K30" s="1">
        <v>36798.049680000004</v>
      </c>
      <c r="L30" s="271">
        <f>(K30-J30)*100/J30</f>
        <v>14.639240100937734</v>
      </c>
      <c r="M30" s="271">
        <f>(K30-Y30)*100/Y30</f>
        <v>125.61217516869087</v>
      </c>
      <c r="N30" s="15">
        <v>8230</v>
      </c>
      <c r="O30" s="15">
        <v>8521</v>
      </c>
      <c r="P30" s="28">
        <v>9408</v>
      </c>
      <c r="Q30" s="28">
        <v>9792</v>
      </c>
      <c r="R30" s="28">
        <v>12864</v>
      </c>
      <c r="S30" s="28">
        <v>13505</v>
      </c>
      <c r="T30" s="28">
        <v>14174</v>
      </c>
      <c r="U30" s="28">
        <v>11761</v>
      </c>
      <c r="V30" s="28">
        <f>12906.998+1062.065</f>
        <v>13969.063</v>
      </c>
      <c r="W30" s="29">
        <f>13796.317+1099.854</f>
        <v>14896.170999999998</v>
      </c>
      <c r="X30" s="38">
        <f>14526.142+1155.61</f>
        <v>15681.752</v>
      </c>
      <c r="Y30" s="15">
        <f>15125.828+1184.484</f>
        <v>16310.312</v>
      </c>
      <c r="AA30" s="1">
        <v>25859194</v>
      </c>
      <c r="AB30" s="3">
        <v>402297.23</v>
      </c>
      <c r="AC30" s="100">
        <v>2164896.82</v>
      </c>
      <c r="AD30" s="3">
        <f>AA30-AB30+AC30</f>
        <v>27621793.59</v>
      </c>
      <c r="AE30" s="3">
        <f>AD30/1000</f>
        <v>27621.79359</v>
      </c>
      <c r="AG30" s="3">
        <v>29915605</v>
      </c>
      <c r="AH30" s="3">
        <v>50956.43</v>
      </c>
      <c r="AI30" s="3">
        <v>2234194.54</v>
      </c>
      <c r="AJ30" s="3">
        <f>AG30-AH30+AI30</f>
        <v>32098843.11</v>
      </c>
      <c r="AK30" s="3">
        <f>AJ30/1000</f>
        <v>32098.843109999998</v>
      </c>
      <c r="AM30" s="3">
        <v>33422458.210000005</v>
      </c>
      <c r="AN30" s="3">
        <v>42545.38</v>
      </c>
      <c r="AO30" s="3">
        <v>3418136.85</v>
      </c>
      <c r="AP30" s="3">
        <f>AM30-AN30+AO30</f>
        <v>36798049.68000001</v>
      </c>
      <c r="AQ30" s="3">
        <f>AP30/1000</f>
        <v>36798.049680000004</v>
      </c>
    </row>
    <row r="31" spans="1:43" ht="12.75">
      <c r="A31" s="1" t="s">
        <v>22</v>
      </c>
      <c r="B31" s="15">
        <v>19573</v>
      </c>
      <c r="C31" s="85">
        <v>22005</v>
      </c>
      <c r="D31" s="1">
        <v>24053</v>
      </c>
      <c r="E31" s="1">
        <v>26841</v>
      </c>
      <c r="F31" s="1">
        <v>28530</v>
      </c>
      <c r="G31" s="1">
        <v>26783</v>
      </c>
      <c r="H31" s="1">
        <v>32785</v>
      </c>
      <c r="I31" s="1">
        <v>28987</v>
      </c>
      <c r="J31" s="1">
        <v>26773</v>
      </c>
      <c r="K31" s="1">
        <v>38233.735250000005</v>
      </c>
      <c r="L31" s="271">
        <f>(K31-J31)*100/J31</f>
        <v>42.80706401972138</v>
      </c>
      <c r="M31" s="271">
        <f>(K31-Y31)*100/Y31</f>
        <v>110.05452066181313</v>
      </c>
      <c r="N31" s="15">
        <v>6249</v>
      </c>
      <c r="O31" s="15">
        <v>7023</v>
      </c>
      <c r="P31" s="28">
        <v>7952</v>
      </c>
      <c r="Q31" s="28">
        <v>8680</v>
      </c>
      <c r="R31" s="28">
        <v>8472</v>
      </c>
      <c r="S31" s="28">
        <v>9398</v>
      </c>
      <c r="T31" s="28">
        <v>10817</v>
      </c>
      <c r="U31" s="28">
        <v>9120</v>
      </c>
      <c r="V31" s="28">
        <f>11037.616+284.925</f>
        <v>11322.541</v>
      </c>
      <c r="W31" s="29">
        <f>11226.083+358.6</f>
        <v>11584.683</v>
      </c>
      <c r="X31" s="38">
        <f>14021.388+490.977</f>
        <v>14512.365000000002</v>
      </c>
      <c r="Y31" s="15">
        <f>17755.06+446.755</f>
        <v>18201.815000000002</v>
      </c>
      <c r="AA31" s="1">
        <v>28539537</v>
      </c>
      <c r="AB31" s="3">
        <v>183974.72</v>
      </c>
      <c r="AC31" s="100">
        <v>631603.37</v>
      </c>
      <c r="AD31" s="3">
        <f>AA31-AB31+AC31</f>
        <v>28987165.650000002</v>
      </c>
      <c r="AE31" s="3">
        <f>AD31/1000</f>
        <v>28987.165650000003</v>
      </c>
      <c r="AG31" s="3">
        <v>25224791</v>
      </c>
      <c r="AH31" s="3">
        <v>184822.57</v>
      </c>
      <c r="AI31" s="3">
        <v>1732821.74</v>
      </c>
      <c r="AJ31" s="3">
        <f>AG31-AH31+AI31</f>
        <v>26772790.169999998</v>
      </c>
      <c r="AK31" s="3">
        <f>AJ31/1000</f>
        <v>26772.790169999997</v>
      </c>
      <c r="AM31" s="3">
        <v>35153140.52000001</v>
      </c>
      <c r="AN31" s="3">
        <v>28031.88</v>
      </c>
      <c r="AO31" s="3">
        <v>3108626.61</v>
      </c>
      <c r="AP31" s="3">
        <f>AM31-AN31+AO31</f>
        <v>38233735.25000001</v>
      </c>
      <c r="AQ31" s="3">
        <f>AP31/1000</f>
        <v>38233.735250000005</v>
      </c>
    </row>
    <row r="32" spans="1:43" ht="12.75">
      <c r="A32" s="1" t="s">
        <v>23</v>
      </c>
      <c r="B32" s="15">
        <v>1558</v>
      </c>
      <c r="C32" s="85">
        <v>1635</v>
      </c>
      <c r="D32" s="1">
        <v>1854</v>
      </c>
      <c r="E32" s="1">
        <v>1643</v>
      </c>
      <c r="F32" s="1">
        <v>1714</v>
      </c>
      <c r="G32" s="1">
        <v>2037</v>
      </c>
      <c r="H32" s="1">
        <v>2226</v>
      </c>
      <c r="I32" s="1">
        <v>2023</v>
      </c>
      <c r="J32" s="1">
        <v>1771</v>
      </c>
      <c r="K32" s="1">
        <v>1726.61716</v>
      </c>
      <c r="L32" s="271">
        <f>(K32-J32)*100/J32</f>
        <v>-2.506089215132693</v>
      </c>
      <c r="M32" s="271">
        <f>(K32-Y32)*100/Y32</f>
        <v>28.501907117249957</v>
      </c>
      <c r="N32" s="15">
        <v>406</v>
      </c>
      <c r="O32" s="15">
        <v>406</v>
      </c>
      <c r="P32" s="28">
        <v>563</v>
      </c>
      <c r="Q32" s="28">
        <v>691</v>
      </c>
      <c r="R32" s="28">
        <v>851</v>
      </c>
      <c r="S32" s="28">
        <v>905</v>
      </c>
      <c r="T32" s="28">
        <v>884</v>
      </c>
      <c r="U32" s="28">
        <v>986</v>
      </c>
      <c r="V32" s="28">
        <f>1005.797+61.44</f>
        <v>1067.237</v>
      </c>
      <c r="W32" s="29">
        <f>1003.284+52.487</f>
        <v>1055.771</v>
      </c>
      <c r="X32" s="38">
        <f>1037.886+61.966</f>
        <v>1099.8519999999999</v>
      </c>
      <c r="Y32" s="15">
        <f>1279.32+64.331</f>
        <v>1343.6509999999998</v>
      </c>
      <c r="AA32" s="1">
        <v>1907628.03</v>
      </c>
      <c r="AB32" s="3">
        <v>3842.78</v>
      </c>
      <c r="AC32" s="100">
        <v>119608.94</v>
      </c>
      <c r="AD32" s="3">
        <f>AA32-AB32+AC32</f>
        <v>2023394.19</v>
      </c>
      <c r="AE32" s="3">
        <f>AD32/1000</f>
        <v>2023.39419</v>
      </c>
      <c r="AG32" s="3">
        <v>1658139.75</v>
      </c>
      <c r="AH32" s="3">
        <v>1690.97</v>
      </c>
      <c r="AI32" s="3">
        <v>114366.4</v>
      </c>
      <c r="AJ32" s="3">
        <f>AG32-AH32+AI32</f>
        <v>1770815.18</v>
      </c>
      <c r="AK32" s="3">
        <f>AJ32/1000</f>
        <v>1770.8151799999998</v>
      </c>
      <c r="AM32" s="3">
        <v>1624476.52</v>
      </c>
      <c r="AN32" s="3">
        <v>7827.8</v>
      </c>
      <c r="AO32" s="3">
        <v>109968.44</v>
      </c>
      <c r="AP32" s="3">
        <f>AM32-AN32+AO32</f>
        <v>1726617.16</v>
      </c>
      <c r="AQ32" s="3">
        <f>AP32/1000</f>
        <v>1726.61716</v>
      </c>
    </row>
    <row r="33" spans="1:43" ht="12.75">
      <c r="A33" s="1" t="s">
        <v>24</v>
      </c>
      <c r="B33" s="15">
        <v>1889</v>
      </c>
      <c r="C33" s="85">
        <v>2622</v>
      </c>
      <c r="D33" s="1">
        <v>2896</v>
      </c>
      <c r="E33" s="1">
        <v>2507</v>
      </c>
      <c r="F33" s="1">
        <v>2574</v>
      </c>
      <c r="G33" s="1">
        <v>3143</v>
      </c>
      <c r="H33" s="1">
        <v>2623</v>
      </c>
      <c r="I33" s="1">
        <v>3566</v>
      </c>
      <c r="J33" s="1">
        <v>4120</v>
      </c>
      <c r="K33" s="1">
        <v>3610.9520599999996</v>
      </c>
      <c r="L33" s="271">
        <f>(K33-J33)*100/J33</f>
        <v>-12.355532524271855</v>
      </c>
      <c r="M33" s="271">
        <f>(K33-Y33)*100/Y33</f>
        <v>145.5456142223866</v>
      </c>
      <c r="N33" s="15">
        <v>1071</v>
      </c>
      <c r="O33" s="15">
        <v>966</v>
      </c>
      <c r="P33" s="28">
        <v>1086</v>
      </c>
      <c r="Q33" s="28">
        <v>1175</v>
      </c>
      <c r="R33" s="28">
        <v>1280</v>
      </c>
      <c r="S33" s="28">
        <v>1496</v>
      </c>
      <c r="T33" s="28">
        <v>1717</v>
      </c>
      <c r="U33" s="28">
        <v>1657</v>
      </c>
      <c r="V33" s="28">
        <f>1775.767+137.098</f>
        <v>1912.865</v>
      </c>
      <c r="W33" s="29">
        <f>1685.747+90.827</f>
        <v>1776.574</v>
      </c>
      <c r="X33" s="38">
        <f>2239.055+101.434</f>
        <v>2340.489</v>
      </c>
      <c r="Y33" s="15">
        <f>1368.375+102.208</f>
        <v>1470.583</v>
      </c>
      <c r="AA33" s="1">
        <v>3338109.3</v>
      </c>
      <c r="AB33" s="3">
        <v>23304.96</v>
      </c>
      <c r="AC33" s="100">
        <v>250927.33</v>
      </c>
      <c r="AD33" s="3">
        <f>AA33-AB33+AC33</f>
        <v>3565731.67</v>
      </c>
      <c r="AE33" s="3">
        <f>AD33/1000</f>
        <v>3565.73167</v>
      </c>
      <c r="AG33" s="3">
        <v>3823322</v>
      </c>
      <c r="AH33" s="3">
        <v>42244.11</v>
      </c>
      <c r="AI33" s="3">
        <v>339057.65</v>
      </c>
      <c r="AJ33" s="3">
        <f>AG33-AH33+AI33</f>
        <v>4120135.54</v>
      </c>
      <c r="AK33" s="3">
        <f>AJ33/1000</f>
        <v>4120.13554</v>
      </c>
      <c r="AM33" s="3">
        <v>3499025.28</v>
      </c>
      <c r="AN33" s="3">
        <v>46538.89</v>
      </c>
      <c r="AO33" s="3">
        <v>158465.67</v>
      </c>
      <c r="AP33" s="3">
        <f>AM33-AN33+AO33</f>
        <v>3610952.0599999996</v>
      </c>
      <c r="AQ33" s="3">
        <f>AP33/1000</f>
        <v>3610.9520599999996</v>
      </c>
    </row>
    <row r="34" spans="1:43" ht="12.75">
      <c r="A34" s="1" t="s">
        <v>25</v>
      </c>
      <c r="B34" s="15">
        <v>464</v>
      </c>
      <c r="C34" s="85">
        <v>708</v>
      </c>
      <c r="D34" s="1">
        <v>844</v>
      </c>
      <c r="E34" s="1">
        <v>910</v>
      </c>
      <c r="F34" s="1">
        <v>760</v>
      </c>
      <c r="G34" s="1">
        <v>881</v>
      </c>
      <c r="H34" s="1">
        <v>910</v>
      </c>
      <c r="I34" s="1">
        <v>848</v>
      </c>
      <c r="J34" s="1">
        <v>1106</v>
      </c>
      <c r="K34" s="1">
        <v>1146.7490400000002</v>
      </c>
      <c r="L34" s="271">
        <f>(K34-J34)*100/J34</f>
        <v>3.6843616636528163</v>
      </c>
      <c r="M34" s="271">
        <f>(K34-Y34)*100/Y34</f>
        <v>170.8205604165929</v>
      </c>
      <c r="N34" s="15">
        <v>273</v>
      </c>
      <c r="O34" s="15">
        <v>253</v>
      </c>
      <c r="P34" s="28">
        <v>227</v>
      </c>
      <c r="Q34" s="28">
        <v>274</v>
      </c>
      <c r="R34" s="28">
        <v>343</v>
      </c>
      <c r="S34" s="28">
        <v>385</v>
      </c>
      <c r="T34" s="28">
        <v>337</v>
      </c>
      <c r="U34" s="28">
        <v>337</v>
      </c>
      <c r="V34" s="28">
        <f>385.741+23.122</f>
        <v>408.863</v>
      </c>
      <c r="W34" s="29">
        <f>339.032+5.435</f>
        <v>344.467</v>
      </c>
      <c r="X34" s="38">
        <f>410.531+12.979</f>
        <v>423.51</v>
      </c>
      <c r="Y34" s="15">
        <f>416.296+7.139</f>
        <v>423.435</v>
      </c>
      <c r="AA34" s="1">
        <v>817853.16</v>
      </c>
      <c r="AB34" s="3">
        <v>7140.46</v>
      </c>
      <c r="AC34" s="100">
        <v>37495.66</v>
      </c>
      <c r="AD34" s="3">
        <f>AA34-AB34+AC34</f>
        <v>848208.3600000001</v>
      </c>
      <c r="AE34" s="3">
        <f>AD34/1000</f>
        <v>848.2083600000001</v>
      </c>
      <c r="AG34" s="3">
        <v>1081589.02</v>
      </c>
      <c r="AH34" s="3">
        <v>5241.63</v>
      </c>
      <c r="AI34" s="3">
        <v>29683.58</v>
      </c>
      <c r="AJ34" s="3">
        <f>AG34-AH34+AI34</f>
        <v>1106030.9700000002</v>
      </c>
      <c r="AK34" s="3">
        <f>AJ34/1000</f>
        <v>1106.0309700000003</v>
      </c>
      <c r="AM34" s="3">
        <v>1064019.82</v>
      </c>
      <c r="AN34" s="3">
        <v>14872.06</v>
      </c>
      <c r="AO34" s="3">
        <v>97601.28</v>
      </c>
      <c r="AP34" s="3">
        <f>AM34-AN34+AO34</f>
        <v>1146749.04</v>
      </c>
      <c r="AQ34" s="3">
        <f>AP34/1000</f>
        <v>1146.7490400000002</v>
      </c>
    </row>
    <row r="35" spans="2:29" ht="12.75">
      <c r="B35" s="15"/>
      <c r="C35" s="85"/>
      <c r="L35" s="271"/>
      <c r="M35" s="271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  <c r="AA35" s="1"/>
      <c r="AC35" s="100"/>
    </row>
    <row r="36" spans="1:43" ht="12.75">
      <c r="A36" s="1" t="s">
        <v>26</v>
      </c>
      <c r="B36" s="15">
        <v>646</v>
      </c>
      <c r="C36" s="85">
        <v>780</v>
      </c>
      <c r="D36" s="1">
        <v>722</v>
      </c>
      <c r="E36" s="1">
        <v>862</v>
      </c>
      <c r="F36" s="1">
        <v>749</v>
      </c>
      <c r="G36" s="1">
        <v>1088</v>
      </c>
      <c r="H36" s="1">
        <v>859</v>
      </c>
      <c r="I36" s="1">
        <v>1222</v>
      </c>
      <c r="J36" s="1">
        <v>916</v>
      </c>
      <c r="K36" s="1">
        <v>1161.31845</v>
      </c>
      <c r="L36" s="271">
        <f>(K36-J36)*100/J36</f>
        <v>26.781490174672488</v>
      </c>
      <c r="M36" s="271">
        <f>(K36-Y36)*100/Y36</f>
        <v>94.87268788479318</v>
      </c>
      <c r="N36" s="15">
        <v>438</v>
      </c>
      <c r="O36" s="15">
        <v>408</v>
      </c>
      <c r="P36" s="28">
        <v>378</v>
      </c>
      <c r="Q36" s="28">
        <v>557</v>
      </c>
      <c r="R36" s="28">
        <v>531</v>
      </c>
      <c r="S36" s="28">
        <v>635</v>
      </c>
      <c r="T36" s="28">
        <v>714</v>
      </c>
      <c r="U36" s="28">
        <v>376</v>
      </c>
      <c r="V36" s="28">
        <f>415.313+15.044</f>
        <v>430.35699999999997</v>
      </c>
      <c r="W36" s="29">
        <f>519.25+19.59</f>
        <v>538.84</v>
      </c>
      <c r="X36" s="38">
        <f>700.339+19.941</f>
        <v>720.2800000000001</v>
      </c>
      <c r="Y36" s="15">
        <f>565.605+30.332</f>
        <v>595.937</v>
      </c>
      <c r="AA36" s="1">
        <v>1137086.82</v>
      </c>
      <c r="AB36" s="3">
        <v>0</v>
      </c>
      <c r="AC36" s="100">
        <v>84855.31</v>
      </c>
      <c r="AD36" s="3">
        <f>AA36-AB36+AC36</f>
        <v>1221942.1300000001</v>
      </c>
      <c r="AE36" s="3">
        <f>AD36/1000</f>
        <v>1221.9421300000001</v>
      </c>
      <c r="AG36" s="3">
        <v>813331.88</v>
      </c>
      <c r="AH36" s="3">
        <v>0</v>
      </c>
      <c r="AI36" s="3">
        <v>102236.07</v>
      </c>
      <c r="AJ36" s="3">
        <f>AG36-AH36+AI36</f>
        <v>915567.95</v>
      </c>
      <c r="AK36" s="3">
        <f>AJ36/1000</f>
        <v>915.56795</v>
      </c>
      <c r="AM36" s="3">
        <v>1062642.46</v>
      </c>
      <c r="AN36" s="3">
        <v>0</v>
      </c>
      <c r="AO36" s="3">
        <v>98675.99</v>
      </c>
      <c r="AP36" s="3">
        <f>AM36-AN36+AO36</f>
        <v>1161318.45</v>
      </c>
      <c r="AQ36" s="3">
        <f>AP36/1000</f>
        <v>1161.31845</v>
      </c>
    </row>
    <row r="37" spans="1:43" ht="12.75">
      <c r="A37" s="1" t="s">
        <v>27</v>
      </c>
      <c r="B37" s="15">
        <v>2377</v>
      </c>
      <c r="C37" s="85">
        <v>3112</v>
      </c>
      <c r="D37" s="1">
        <v>2986</v>
      </c>
      <c r="E37" s="1">
        <v>2918</v>
      </c>
      <c r="F37" s="1">
        <v>3040</v>
      </c>
      <c r="G37" s="1">
        <v>3974</v>
      </c>
      <c r="H37" s="1">
        <v>4578</v>
      </c>
      <c r="I37" s="1">
        <v>6358</v>
      </c>
      <c r="J37" s="1">
        <v>8000</v>
      </c>
      <c r="K37" s="1">
        <v>7442.2038600000005</v>
      </c>
      <c r="L37" s="271">
        <f>(K37-J37)*100/J37</f>
        <v>-6.972451749999993</v>
      </c>
      <c r="M37" s="271">
        <f>(K37-Y37)*100/Y37</f>
        <v>214.30508719383334</v>
      </c>
      <c r="N37" s="15">
        <v>1109</v>
      </c>
      <c r="O37" s="15">
        <v>994</v>
      </c>
      <c r="P37" s="28">
        <v>1064</v>
      </c>
      <c r="Q37" s="28">
        <v>1204</v>
      </c>
      <c r="R37" s="28">
        <v>1490</v>
      </c>
      <c r="S37" s="28">
        <v>1662</v>
      </c>
      <c r="T37" s="28">
        <v>1700</v>
      </c>
      <c r="U37" s="28">
        <v>1519</v>
      </c>
      <c r="V37" s="28">
        <f>1753.539+37.014</f>
        <v>1790.5529999999999</v>
      </c>
      <c r="W37" s="29">
        <f>2089.922+63.469</f>
        <v>2153.391</v>
      </c>
      <c r="X37" s="38">
        <f>2091.648+48.767</f>
        <v>2140.415</v>
      </c>
      <c r="Y37" s="15">
        <f>2304.619+63.209</f>
        <v>2367.828</v>
      </c>
      <c r="AA37" s="1">
        <v>6209516</v>
      </c>
      <c r="AB37" s="3">
        <v>527.48</v>
      </c>
      <c r="AC37" s="100">
        <v>148540.94</v>
      </c>
      <c r="AD37" s="3">
        <f>AA37-AB37+AC37</f>
        <v>6357529.46</v>
      </c>
      <c r="AE37" s="3">
        <f>AD37/1000</f>
        <v>6357.52946</v>
      </c>
      <c r="AG37" s="3">
        <v>7804565</v>
      </c>
      <c r="AH37" s="3">
        <v>0</v>
      </c>
      <c r="AI37" s="3">
        <v>195076.45</v>
      </c>
      <c r="AJ37" s="3">
        <f>AG37-AH37+AI37</f>
        <v>7999641.45</v>
      </c>
      <c r="AK37" s="3">
        <f>AJ37/1000</f>
        <v>7999.64145</v>
      </c>
      <c r="AM37" s="3">
        <v>7095481.92</v>
      </c>
      <c r="AN37" s="3">
        <v>0</v>
      </c>
      <c r="AO37" s="3">
        <v>346721.94</v>
      </c>
      <c r="AP37" s="3">
        <f>AM37-AN37+AO37</f>
        <v>7442203.86</v>
      </c>
      <c r="AQ37" s="3">
        <f>AP37/1000</f>
        <v>7442.2038600000005</v>
      </c>
    </row>
    <row r="38" spans="1:43" ht="12.75">
      <c r="A38" s="1" t="s">
        <v>28</v>
      </c>
      <c r="B38" s="15">
        <v>1981</v>
      </c>
      <c r="C38" s="85">
        <v>2199</v>
      </c>
      <c r="D38" s="1">
        <v>2335</v>
      </c>
      <c r="E38" s="1">
        <v>2948</v>
      </c>
      <c r="F38" s="1">
        <v>2977</v>
      </c>
      <c r="G38" s="1">
        <v>2946</v>
      </c>
      <c r="H38" s="1">
        <v>3138</v>
      </c>
      <c r="I38" s="1">
        <v>3611</v>
      </c>
      <c r="J38" s="1">
        <v>3328</v>
      </c>
      <c r="K38" s="1">
        <v>3875.6392699999997</v>
      </c>
      <c r="L38" s="271">
        <f>(K38-J38)*100/J38</f>
        <v>16.455506911057682</v>
      </c>
      <c r="M38" s="271">
        <f>(K38-Y38)*100/Y38</f>
        <v>111.24782832172616</v>
      </c>
      <c r="N38" s="15">
        <v>999</v>
      </c>
      <c r="O38" s="15">
        <v>979</v>
      </c>
      <c r="P38" s="28">
        <v>1198</v>
      </c>
      <c r="Q38" s="28">
        <v>1316</v>
      </c>
      <c r="R38" s="28">
        <v>1385</v>
      </c>
      <c r="S38" s="28">
        <v>1762</v>
      </c>
      <c r="T38" s="28">
        <v>1862</v>
      </c>
      <c r="U38" s="28">
        <v>1357</v>
      </c>
      <c r="V38" s="28">
        <f>1737.202+83.553</f>
        <v>1820.755</v>
      </c>
      <c r="W38" s="29">
        <f>1498.062+79.272</f>
        <v>1577.3339999999998</v>
      </c>
      <c r="X38" s="38">
        <f>1555.068+74.509</f>
        <v>1629.577</v>
      </c>
      <c r="Y38" s="15">
        <f>1766.551+68.09</f>
        <v>1834.6409999999998</v>
      </c>
      <c r="AA38" s="1">
        <v>3421262.15</v>
      </c>
      <c r="AB38" s="3">
        <v>29233.42</v>
      </c>
      <c r="AC38" s="100">
        <v>218497.73</v>
      </c>
      <c r="AD38" s="3">
        <f>AA38-AB38+AC38</f>
        <v>3610526.46</v>
      </c>
      <c r="AE38" s="3">
        <f>AD38/1000</f>
        <v>3610.52646</v>
      </c>
      <c r="AG38" s="3">
        <v>3196182.51</v>
      </c>
      <c r="AH38" s="3">
        <v>62941.95</v>
      </c>
      <c r="AI38" s="3">
        <v>194642.51</v>
      </c>
      <c r="AJ38" s="3">
        <f>AG38-AH38+AI38</f>
        <v>3327883.0699999994</v>
      </c>
      <c r="AK38" s="3">
        <f>AJ38/1000</f>
        <v>3327.8830699999994</v>
      </c>
      <c r="AM38" s="3">
        <v>3731774.76</v>
      </c>
      <c r="AN38" s="3">
        <v>28847.02</v>
      </c>
      <c r="AO38" s="3">
        <v>172711.53</v>
      </c>
      <c r="AP38" s="3">
        <f>AM38-AN38+AO38</f>
        <v>3875639.2699999996</v>
      </c>
      <c r="AQ38" s="3">
        <f>AP38/1000</f>
        <v>3875.6392699999997</v>
      </c>
    </row>
    <row r="39" spans="1:43" ht="12.75">
      <c r="A39" s="18" t="s">
        <v>29</v>
      </c>
      <c r="B39" s="15">
        <v>1593</v>
      </c>
      <c r="C39" s="85">
        <v>1524</v>
      </c>
      <c r="D39" s="1">
        <v>1337</v>
      </c>
      <c r="E39" s="1">
        <v>1653</v>
      </c>
      <c r="F39" s="1">
        <v>1904</v>
      </c>
      <c r="G39" s="1">
        <v>1830</v>
      </c>
      <c r="H39" s="1">
        <v>2429</v>
      </c>
      <c r="I39" s="1">
        <v>2716</v>
      </c>
      <c r="J39" s="1">
        <v>2714</v>
      </c>
      <c r="K39" s="1">
        <v>2582.10205</v>
      </c>
      <c r="L39" s="271">
        <f>(K39-J39)*100/J39</f>
        <v>-4.859909727339721</v>
      </c>
      <c r="M39" s="271">
        <f>(K39-Y39)*100/Y39</f>
        <v>91.06457312962796</v>
      </c>
      <c r="N39" s="15">
        <v>618</v>
      </c>
      <c r="O39" s="15">
        <v>650</v>
      </c>
      <c r="P39" s="28">
        <v>621</v>
      </c>
      <c r="Q39" s="28">
        <v>813</v>
      </c>
      <c r="R39" s="28">
        <v>915</v>
      </c>
      <c r="S39" s="28">
        <v>1011</v>
      </c>
      <c r="T39" s="28">
        <v>1150</v>
      </c>
      <c r="U39" s="28">
        <v>1230</v>
      </c>
      <c r="V39" s="28">
        <f>1193.549+62.492</f>
        <v>1256.041</v>
      </c>
      <c r="W39" s="29">
        <f>1373.98+62.257</f>
        <v>1436.237</v>
      </c>
      <c r="X39" s="38">
        <f>1343.098+73.027</f>
        <v>1416.125</v>
      </c>
      <c r="Y39" s="15">
        <f>1269.758+81.671</f>
        <v>1351.429</v>
      </c>
      <c r="AA39" s="1">
        <v>2404416.27</v>
      </c>
      <c r="AB39" s="3">
        <v>5294.5</v>
      </c>
      <c r="AC39" s="115">
        <v>317247.87</v>
      </c>
      <c r="AD39" s="3">
        <f>AA39-AB39+AC39</f>
        <v>2716369.64</v>
      </c>
      <c r="AE39" s="3">
        <f>AD39/1000</f>
        <v>2716.3696400000003</v>
      </c>
      <c r="AG39" s="3">
        <v>2340039.46</v>
      </c>
      <c r="AH39" s="3">
        <v>22160.01</v>
      </c>
      <c r="AI39" s="3">
        <v>396424.72</v>
      </c>
      <c r="AJ39" s="3">
        <f>AG39-AH39+AI39</f>
        <v>2714304.17</v>
      </c>
      <c r="AK39" s="3">
        <f>AJ39/1000</f>
        <v>2714.30417</v>
      </c>
      <c r="AM39" s="3">
        <v>2273985.55</v>
      </c>
      <c r="AN39" s="3">
        <v>22295.07</v>
      </c>
      <c r="AO39" s="3">
        <v>330411.57</v>
      </c>
      <c r="AP39" s="3">
        <f>AM39-AN39+AO39</f>
        <v>2582102.05</v>
      </c>
      <c r="AQ39" s="3">
        <f>AP39/1000</f>
        <v>2582.10205</v>
      </c>
    </row>
    <row r="40" spans="1:25" ht="12.75">
      <c r="A40" s="1" t="s">
        <v>246</v>
      </c>
      <c r="B40" s="19"/>
      <c r="C40" s="19"/>
      <c r="D40" s="19"/>
      <c r="E40" s="3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W40" s="19"/>
      <c r="X40" s="7"/>
      <c r="Y40" s="7"/>
    </row>
    <row r="42" spans="1:18" ht="12.75">
      <c r="A42" s="3"/>
      <c r="P42" s="15"/>
      <c r="Q42" s="15"/>
      <c r="R42" s="15"/>
    </row>
    <row r="43" spans="16:18" ht="12.75">
      <c r="P43" s="15"/>
      <c r="Q43" s="15"/>
      <c r="R43" s="15"/>
    </row>
    <row r="44" spans="16:18" ht="12.75">
      <c r="P44" s="15"/>
      <c r="Q44" s="15"/>
      <c r="R44" s="15"/>
    </row>
    <row r="45" spans="16:18" ht="12.75">
      <c r="P45" s="15"/>
      <c r="Q45" s="15"/>
      <c r="R45" s="15"/>
    </row>
    <row r="46" spans="16:18" ht="12.75">
      <c r="P46" s="15"/>
      <c r="Q46" s="15"/>
      <c r="R46" s="15"/>
    </row>
  </sheetData>
  <sheetProtection password="CAF5" sheet="1" objects="1" scenarios="1"/>
  <mergeCells count="3">
    <mergeCell ref="AA4:AE4"/>
    <mergeCell ref="AG4:AK4"/>
    <mergeCell ref="AM4:AQ4"/>
  </mergeCells>
  <printOptions/>
  <pageMargins left="0.49" right="0.41" top="1" bottom="1" header="0.5" footer="0.5"/>
  <pageSetup fitToHeight="1" fitToWidth="1" orientation="landscape" scale="77" r:id="rId1"/>
  <headerFooter alignWithMargins="0">
    <oddHeader>&amp;R&amp;10
</oddHeader>
    <oddFooter>&amp;L&amp;"Lucida Sans,Italic"&amp;10MSDE-DBS  12 / 2007
&amp;C- 12 -&amp;R&amp;"Lucida Sans,Italic"&amp;10Selected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workbookViewId="0" topLeftCell="A1">
      <pane xSplit="14970" topLeftCell="IV1" activePane="topLeft" state="split"/>
      <selection pane="topLeft" activeCell="F8" sqref="F8"/>
      <selection pane="topRight" activeCell="O1" sqref="O1"/>
    </sheetView>
  </sheetViews>
  <sheetFormatPr defaultColWidth="9.00390625" defaultRowHeight="15.75"/>
  <cols>
    <col min="1" max="1" width="12.875" style="1" customWidth="1"/>
    <col min="2" max="4" width="12.625" style="1" customWidth="1"/>
    <col min="5" max="5" width="11.375" style="1" customWidth="1"/>
    <col min="6" max="6" width="11.00390625" style="1" customWidth="1"/>
    <col min="7" max="7" width="10.625" style="1" customWidth="1"/>
    <col min="8" max="8" width="10.75390625" style="1" customWidth="1"/>
    <col min="9" max="9" width="10.25390625" style="1" customWidth="1"/>
    <col min="10" max="11" width="10.50390625" style="1" customWidth="1"/>
    <col min="12" max="13" width="6.625" style="1" customWidth="1"/>
    <col min="14" max="14" width="13.375" style="1" customWidth="1"/>
    <col min="15" max="20" width="10.125" style="1" customWidth="1"/>
    <col min="21" max="21" width="10.125" style="3" customWidth="1"/>
    <col min="22" max="22" width="11.25390625" style="1" customWidth="1"/>
    <col min="23" max="24" width="12.375" style="3" customWidth="1"/>
    <col min="25" max="25" width="12.625" style="1" customWidth="1"/>
    <col min="26" max="26" width="12.375" style="3" customWidth="1"/>
    <col min="27" max="27" width="11.25390625" style="3" customWidth="1"/>
    <col min="28" max="28" width="11.125" style="3" customWidth="1"/>
    <col min="29" max="29" width="11.375" style="3" customWidth="1"/>
    <col min="30" max="32" width="10.125" style="3" customWidth="1"/>
    <col min="33" max="33" width="10.75390625" style="3" bestFit="1" customWidth="1"/>
    <col min="34" max="36" width="10.125" style="3" customWidth="1"/>
    <col min="37" max="37" width="11.375" style="3" customWidth="1"/>
    <col min="38" max="16384" width="10.00390625" style="3" customWidth="1"/>
  </cols>
  <sheetData>
    <row r="1" spans="1:25" ht="15.75" customHeight="1">
      <c r="A1" s="123" t="s">
        <v>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P1" s="2"/>
      <c r="Q1" s="2"/>
      <c r="R1" s="2"/>
      <c r="V1" s="123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P2" s="2"/>
      <c r="Q2" s="2"/>
      <c r="R2" s="2"/>
      <c r="V2" s="123"/>
      <c r="Y2" s="123"/>
    </row>
    <row r="3" spans="1:25" ht="12.75">
      <c r="A3" s="123" t="s">
        <v>56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P3" s="2"/>
      <c r="Q3" s="2"/>
      <c r="R3" s="2"/>
      <c r="V3" s="123"/>
      <c r="Y3" s="123"/>
    </row>
    <row r="4" spans="1:25" ht="12.75">
      <c r="A4" s="123" t="s">
        <v>223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P4" s="2"/>
      <c r="Q4" s="2"/>
      <c r="R4" s="2"/>
      <c r="V4" s="123"/>
      <c r="Y4" s="123"/>
    </row>
    <row r="5" ht="13.5" thickBot="1"/>
    <row r="6" spans="1:3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293" t="s">
        <v>206</v>
      </c>
      <c r="AB6" s="293"/>
      <c r="AC6" s="293"/>
      <c r="AE6" s="293" t="s">
        <v>207</v>
      </c>
      <c r="AF6" s="293"/>
      <c r="AG6" s="293"/>
      <c r="AI6" s="293" t="s">
        <v>225</v>
      </c>
      <c r="AJ6" s="293"/>
      <c r="AK6" s="293"/>
    </row>
    <row r="7" spans="12:37" ht="15.75">
      <c r="L7" s="290" t="s">
        <v>34</v>
      </c>
      <c r="M7" s="310"/>
      <c r="U7" s="1"/>
      <c r="W7" s="1"/>
      <c r="X7" s="1"/>
      <c r="Z7" s="1"/>
      <c r="AA7" s="41" t="s">
        <v>143</v>
      </c>
      <c r="AB7" s="3" t="s">
        <v>144</v>
      </c>
      <c r="AC7" s="21" t="s">
        <v>114</v>
      </c>
      <c r="AE7" s="41" t="s">
        <v>143</v>
      </c>
      <c r="AF7" s="3" t="s">
        <v>144</v>
      </c>
      <c r="AG7" s="21" t="s">
        <v>114</v>
      </c>
      <c r="AI7" s="41" t="s">
        <v>143</v>
      </c>
      <c r="AJ7" s="3" t="s">
        <v>144</v>
      </c>
      <c r="AK7" s="21" t="s">
        <v>114</v>
      </c>
    </row>
    <row r="8" spans="5:37" ht="12.75"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U8" s="1"/>
      <c r="W8" s="1"/>
      <c r="X8" s="1"/>
      <c r="Z8" s="1"/>
      <c r="AA8" s="41"/>
      <c r="AB8" s="41"/>
      <c r="AC8" s="21" t="s">
        <v>194</v>
      </c>
      <c r="AE8" s="41"/>
      <c r="AF8" s="41"/>
      <c r="AG8" s="21" t="s">
        <v>226</v>
      </c>
      <c r="AI8" s="41"/>
      <c r="AJ8" s="41"/>
      <c r="AK8" s="21" t="s">
        <v>227</v>
      </c>
    </row>
    <row r="9" spans="1:37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6" t="s">
        <v>181</v>
      </c>
      <c r="X9" s="36" t="s">
        <v>182</v>
      </c>
      <c r="Y9" s="36" t="s">
        <v>183</v>
      </c>
      <c r="Z9" s="36"/>
      <c r="AA9" s="116" t="s">
        <v>142</v>
      </c>
      <c r="AB9" s="116" t="s">
        <v>142</v>
      </c>
      <c r="AC9" s="42" t="s">
        <v>142</v>
      </c>
      <c r="AE9" s="116" t="s">
        <v>142</v>
      </c>
      <c r="AF9" s="116" t="s">
        <v>142</v>
      </c>
      <c r="AG9" s="42" t="s">
        <v>142</v>
      </c>
      <c r="AI9" s="116" t="s">
        <v>142</v>
      </c>
      <c r="AJ9" s="116" t="s">
        <v>142</v>
      </c>
      <c r="AK9" s="42" t="s">
        <v>142</v>
      </c>
    </row>
    <row r="10" spans="1:37" ht="12.75">
      <c r="A10" s="7" t="s">
        <v>5</v>
      </c>
      <c r="B10" s="11">
        <f aca="true" t="shared" si="0" ref="B10:K10">SUM(B12:B39)</f>
        <v>27612874</v>
      </c>
      <c r="C10" s="11">
        <f t="shared" si="0"/>
        <v>30331118</v>
      </c>
      <c r="D10" s="11">
        <f t="shared" si="0"/>
        <v>43185145</v>
      </c>
      <c r="E10" s="11">
        <f t="shared" si="0"/>
        <v>49555371</v>
      </c>
      <c r="F10" s="11">
        <f t="shared" si="0"/>
        <v>40250267</v>
      </c>
      <c r="G10" s="11">
        <f t="shared" si="0"/>
        <v>45347904</v>
      </c>
      <c r="H10" s="11">
        <f t="shared" si="0"/>
        <v>51321322</v>
      </c>
      <c r="I10" s="11">
        <f t="shared" si="0"/>
        <v>62297771</v>
      </c>
      <c r="J10" s="11">
        <f t="shared" si="0"/>
        <v>57147190</v>
      </c>
      <c r="K10" s="11">
        <f t="shared" si="0"/>
        <v>61501348.120000005</v>
      </c>
      <c r="L10" s="271">
        <f>(K10-J10)*100/J10</f>
        <v>7.619198984237029</v>
      </c>
      <c r="M10" s="271">
        <f>(K10-Y10)*100/Y10</f>
        <v>174.8354681920669</v>
      </c>
      <c r="N10" s="11">
        <f aca="true" t="shared" si="1" ref="N10:T10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>SUM(U12:U39)</f>
        <v>24422352</v>
      </c>
      <c r="V10" s="11">
        <f>SUM(V12:V39)</f>
        <v>22661347</v>
      </c>
      <c r="W10" s="11">
        <f>SUM(W12:W39)</f>
        <v>25086948</v>
      </c>
      <c r="X10" s="11">
        <f>SUM(X12:X39)</f>
        <v>27257048</v>
      </c>
      <c r="Y10" s="11">
        <f>SUM(Y12:Y39)</f>
        <v>22377515</v>
      </c>
      <c r="Z10" s="11"/>
      <c r="AA10" s="112">
        <f>SUM(AA12:AA39)</f>
        <v>61256629.04000001</v>
      </c>
      <c r="AB10" s="114">
        <f>SUM(AB12:AB39)</f>
        <v>1041141.7300000001</v>
      </c>
      <c r="AC10" s="114">
        <f>SUM(AC12:AC39)</f>
        <v>62297770.77</v>
      </c>
      <c r="AE10" s="112">
        <f>SUM(AE12:AE39)</f>
        <v>56658825.18</v>
      </c>
      <c r="AF10" s="114">
        <f>SUM(AF12:AF39)</f>
        <v>488366.05000000005</v>
      </c>
      <c r="AG10" s="114">
        <f>SUM(AG12:AG39)</f>
        <v>57147191.23</v>
      </c>
      <c r="AI10" s="112">
        <f>SUM(AI12:AI39)</f>
        <v>59926153.300000004</v>
      </c>
      <c r="AJ10" s="114">
        <f>SUM(AJ12:AJ39)</f>
        <v>1575194.82</v>
      </c>
      <c r="AK10" s="114">
        <f>SUM(AK12:AK39)</f>
        <v>61501348.120000005</v>
      </c>
    </row>
    <row r="11" spans="2:27" ht="12.75">
      <c r="B11" s="15"/>
      <c r="C11" s="32"/>
      <c r="M11" s="15"/>
      <c r="O11" s="15"/>
      <c r="R11" s="15"/>
      <c r="S11" s="15"/>
      <c r="U11" s="1"/>
      <c r="W11" s="1"/>
      <c r="X11" s="38"/>
      <c r="Y11" s="15"/>
      <c r="Z11" s="1"/>
      <c r="AA11" s="113"/>
    </row>
    <row r="12" spans="1:37" ht="12.75">
      <c r="A12" s="1" t="s">
        <v>6</v>
      </c>
      <c r="B12" s="15">
        <v>430603</v>
      </c>
      <c r="C12" s="85">
        <v>444388</v>
      </c>
      <c r="D12" s="1">
        <v>65451</v>
      </c>
      <c r="E12" s="1">
        <v>171999</v>
      </c>
      <c r="F12" s="1">
        <v>179579</v>
      </c>
      <c r="G12" s="1">
        <v>341622</v>
      </c>
      <c r="H12" s="1">
        <v>379866</v>
      </c>
      <c r="I12" s="1">
        <v>1688389</v>
      </c>
      <c r="J12" s="1">
        <v>988840</v>
      </c>
      <c r="K12" s="1">
        <v>236621.8</v>
      </c>
      <c r="L12" s="271">
        <f>(K12-J12)*100/J12</f>
        <v>-76.07076979086607</v>
      </c>
      <c r="M12" s="271">
        <f>(K12-Y12)*100/Y12</f>
        <v>-20.9999298880546</v>
      </c>
      <c r="N12" s="15">
        <v>252051</v>
      </c>
      <c r="O12" s="15">
        <v>243674</v>
      </c>
      <c r="P12" s="15">
        <v>226237</v>
      </c>
      <c r="Q12" s="28">
        <v>208673</v>
      </c>
      <c r="R12" s="28">
        <v>254869</v>
      </c>
      <c r="S12" s="28">
        <v>199980</v>
      </c>
      <c r="T12" s="28">
        <v>436773</v>
      </c>
      <c r="U12" s="28">
        <v>242620</v>
      </c>
      <c r="V12" s="28">
        <v>320431</v>
      </c>
      <c r="W12" s="29">
        <v>294766</v>
      </c>
      <c r="X12" s="38">
        <v>279817</v>
      </c>
      <c r="Y12" s="15">
        <v>299521</v>
      </c>
      <c r="Z12" s="29"/>
      <c r="AA12" s="170">
        <v>1688389.45</v>
      </c>
      <c r="AB12" s="100">
        <v>0</v>
      </c>
      <c r="AC12" s="3">
        <f>SUM(AA12:AB12)</f>
        <v>1688389.45</v>
      </c>
      <c r="AE12" s="3">
        <v>988840</v>
      </c>
      <c r="AF12" s="3">
        <v>0</v>
      </c>
      <c r="AG12" s="3">
        <f>SUM(AE12:AF12)</f>
        <v>988840</v>
      </c>
      <c r="AI12" s="3">
        <v>236621.8</v>
      </c>
      <c r="AJ12" s="3">
        <v>0</v>
      </c>
      <c r="AK12" s="3">
        <f>SUM(AI12:AJ12)</f>
        <v>236621.8</v>
      </c>
    </row>
    <row r="13" spans="1:37" ht="12.75">
      <c r="A13" s="1" t="s">
        <v>7</v>
      </c>
      <c r="B13" s="15">
        <v>1950712</v>
      </c>
      <c r="C13" s="85">
        <v>1761648</v>
      </c>
      <c r="D13" s="1">
        <v>1092137</v>
      </c>
      <c r="E13" s="1">
        <v>2351579</v>
      </c>
      <c r="F13" s="1">
        <v>2173777</v>
      </c>
      <c r="G13" s="1">
        <v>2848337</v>
      </c>
      <c r="H13" s="1">
        <v>4946691</v>
      </c>
      <c r="I13" s="1">
        <v>8060169</v>
      </c>
      <c r="J13" s="1">
        <v>7203477</v>
      </c>
      <c r="K13" s="1">
        <v>1110162.3</v>
      </c>
      <c r="L13" s="271">
        <f>(K13-J13)*100/J13</f>
        <v>-84.58852162643123</v>
      </c>
      <c r="M13" s="271">
        <f>(K13-Y13)*100/Y13</f>
        <v>-41.374813126531095</v>
      </c>
      <c r="N13" s="15">
        <v>982597</v>
      </c>
      <c r="O13" s="15">
        <v>1354757</v>
      </c>
      <c r="P13" s="15">
        <v>1523315</v>
      </c>
      <c r="Q13" s="28">
        <v>1496763</v>
      </c>
      <c r="R13" s="28">
        <v>1192255</v>
      </c>
      <c r="S13" s="28">
        <v>1207395</v>
      </c>
      <c r="T13" s="28">
        <v>1189931</v>
      </c>
      <c r="U13" s="28">
        <v>1075666</v>
      </c>
      <c r="V13" s="28">
        <f>1531190+2160</f>
        <v>1533350</v>
      </c>
      <c r="W13" s="29">
        <f>1401492+784</f>
        <v>1402276</v>
      </c>
      <c r="X13" s="38">
        <f>1574003+6010</f>
        <v>1580013</v>
      </c>
      <c r="Y13" s="15">
        <f>1885491+8170</f>
        <v>1893661</v>
      </c>
      <c r="Z13" s="29"/>
      <c r="AA13" s="170">
        <v>8006787</v>
      </c>
      <c r="AB13" s="100">
        <v>53381.59</v>
      </c>
      <c r="AC13" s="3">
        <f>SUM(AA13:AB13)</f>
        <v>8060168.59</v>
      </c>
      <c r="AE13" s="3">
        <v>7199753</v>
      </c>
      <c r="AF13" s="3">
        <v>3724.06</v>
      </c>
      <c r="AG13" s="3">
        <f>SUM(AE13:AF13)</f>
        <v>7203477.06</v>
      </c>
      <c r="AI13" s="3">
        <v>1109078.8</v>
      </c>
      <c r="AJ13" s="3">
        <v>1083.5</v>
      </c>
      <c r="AK13" s="3">
        <f>SUM(AI13:AJ13)</f>
        <v>1110162.3</v>
      </c>
    </row>
    <row r="14" spans="1:37" ht="12.75">
      <c r="A14" s="1" t="s">
        <v>8</v>
      </c>
      <c r="B14" s="15">
        <v>2429914</v>
      </c>
      <c r="C14" s="85">
        <v>4723944</v>
      </c>
      <c r="D14" s="1">
        <v>12482285</v>
      </c>
      <c r="E14" s="1">
        <v>11709465</v>
      </c>
      <c r="F14" s="1">
        <v>2373424</v>
      </c>
      <c r="G14" s="1">
        <v>1845478</v>
      </c>
      <c r="H14" s="1">
        <v>1565915</v>
      </c>
      <c r="I14" s="1">
        <v>6724822</v>
      </c>
      <c r="J14" s="1">
        <v>12877959</v>
      </c>
      <c r="K14" s="1">
        <v>13257466.74</v>
      </c>
      <c r="L14" s="271">
        <f>(K14-J14)*100/J14</f>
        <v>2.946955647241929</v>
      </c>
      <c r="M14" s="271">
        <f>(K14-Y14)*100/Y14</f>
        <v>520.6475789651088</v>
      </c>
      <c r="N14" s="15">
        <v>2205890</v>
      </c>
      <c r="O14" s="15">
        <v>2527057</v>
      </c>
      <c r="P14" s="15">
        <v>2456944</v>
      </c>
      <c r="Q14" s="28">
        <v>5486991</v>
      </c>
      <c r="R14" s="28">
        <v>5064943</v>
      </c>
      <c r="S14" s="28">
        <v>2620966</v>
      </c>
      <c r="T14" s="28">
        <v>4700991</v>
      </c>
      <c r="U14" s="28">
        <v>4623332</v>
      </c>
      <c r="V14" s="28">
        <f>3727351+53504</f>
        <v>3780855</v>
      </c>
      <c r="W14" s="29">
        <f>3270978+69890</f>
        <v>3340868</v>
      </c>
      <c r="X14" s="38">
        <f>2790141+104580</f>
        <v>2894721</v>
      </c>
      <c r="Y14" s="15">
        <f>2026439+109631</f>
        <v>2136070</v>
      </c>
      <c r="Z14" s="29"/>
      <c r="AA14" s="170">
        <v>6723547</v>
      </c>
      <c r="AB14" s="100">
        <v>1274.89</v>
      </c>
      <c r="AC14" s="3">
        <f>SUM(AA14:AB14)</f>
        <v>6724821.89</v>
      </c>
      <c r="AE14" s="3">
        <v>12876760</v>
      </c>
      <c r="AF14" s="3">
        <v>1198.93</v>
      </c>
      <c r="AG14" s="3">
        <f>SUM(AE14:AF14)</f>
        <v>12877958.93</v>
      </c>
      <c r="AI14" s="3">
        <v>13241616.23</v>
      </c>
      <c r="AJ14" s="3">
        <v>15850.51</v>
      </c>
      <c r="AK14" s="3">
        <f>SUM(AI14:AJ14)</f>
        <v>13257466.74</v>
      </c>
    </row>
    <row r="15" spans="1:37" ht="12.75">
      <c r="A15" s="1" t="s">
        <v>9</v>
      </c>
      <c r="B15" s="15">
        <v>5295960</v>
      </c>
      <c r="C15" s="85">
        <v>4257488</v>
      </c>
      <c r="D15" s="1">
        <v>5362580</v>
      </c>
      <c r="E15" s="1">
        <v>7883848</v>
      </c>
      <c r="F15" s="1">
        <v>5875640</v>
      </c>
      <c r="G15" s="1">
        <v>9409969</v>
      </c>
      <c r="H15" s="1">
        <v>6571893</v>
      </c>
      <c r="I15" s="1">
        <v>5407438</v>
      </c>
      <c r="J15" s="1">
        <v>4745258</v>
      </c>
      <c r="K15" s="1">
        <v>4812138.96</v>
      </c>
      <c r="L15" s="271">
        <f>(K15-J15)*100/J15</f>
        <v>1.409427264018099</v>
      </c>
      <c r="M15" s="271">
        <f>(K15-Y15)*100/Y15</f>
        <v>551.7457885598351</v>
      </c>
      <c r="N15" s="15">
        <v>1983450</v>
      </c>
      <c r="O15" s="15">
        <v>2028874</v>
      </c>
      <c r="P15" s="15">
        <v>2438845</v>
      </c>
      <c r="Q15" s="28">
        <v>2383626</v>
      </c>
      <c r="R15" s="28">
        <v>2404151</v>
      </c>
      <c r="S15" s="28">
        <v>2733527</v>
      </c>
      <c r="T15" s="28">
        <v>3388696</v>
      </c>
      <c r="U15" s="28">
        <v>3195741</v>
      </c>
      <c r="V15" s="28">
        <f>923066+91816</f>
        <v>1014882</v>
      </c>
      <c r="W15" s="29">
        <f>3596268+59189</f>
        <v>3655457</v>
      </c>
      <c r="X15" s="38">
        <f>5289481+85062</f>
        <v>5374543</v>
      </c>
      <c r="Y15" s="15">
        <f>656867+81479</f>
        <v>738346</v>
      </c>
      <c r="Z15" s="29"/>
      <c r="AA15" s="170">
        <v>5267603.62</v>
      </c>
      <c r="AB15" s="170">
        <v>139834.09</v>
      </c>
      <c r="AC15" s="3">
        <f>SUM(AA15:AB15)</f>
        <v>5407437.71</v>
      </c>
      <c r="AE15" s="3">
        <v>4673679.08</v>
      </c>
      <c r="AF15" s="3">
        <v>71579.16</v>
      </c>
      <c r="AG15" s="3">
        <f>SUM(AE15:AF15)</f>
        <v>4745258.24</v>
      </c>
      <c r="AI15" s="3">
        <v>4619705.37</v>
      </c>
      <c r="AJ15" s="3">
        <v>192433.59</v>
      </c>
      <c r="AK15" s="3">
        <f>SUM(AI15:AJ15)</f>
        <v>4812138.96</v>
      </c>
    </row>
    <row r="16" spans="1:37" ht="12.75">
      <c r="A16" s="1" t="s">
        <v>10</v>
      </c>
      <c r="B16" s="15">
        <v>580928</v>
      </c>
      <c r="C16" s="85">
        <v>698536</v>
      </c>
      <c r="D16" s="1">
        <v>636270</v>
      </c>
      <c r="E16" s="1">
        <v>940586</v>
      </c>
      <c r="F16" s="1">
        <v>1103933</v>
      </c>
      <c r="G16" s="1">
        <v>902856</v>
      </c>
      <c r="H16" s="1">
        <v>1249910</v>
      </c>
      <c r="I16" s="1">
        <v>999872</v>
      </c>
      <c r="J16" s="1">
        <v>820831</v>
      </c>
      <c r="K16" s="1">
        <v>972702.62</v>
      </c>
      <c r="L16" s="271">
        <f>(K16-J16)*100/J16</f>
        <v>18.50217888944253</v>
      </c>
      <c r="M16" s="271">
        <f>(K16-Y16)*100/Y16</f>
        <v>31.267492388746142</v>
      </c>
      <c r="N16" s="15">
        <v>299012</v>
      </c>
      <c r="O16" s="15">
        <v>311121</v>
      </c>
      <c r="P16" s="15">
        <v>299153</v>
      </c>
      <c r="Q16" s="28">
        <v>334940</v>
      </c>
      <c r="R16" s="28">
        <v>391056</v>
      </c>
      <c r="S16" s="28">
        <v>445162</v>
      </c>
      <c r="T16" s="28">
        <v>521214</v>
      </c>
      <c r="U16" s="28">
        <v>601034</v>
      </c>
      <c r="V16" s="28">
        <f>776345+2458</f>
        <v>778803</v>
      </c>
      <c r="W16" s="29">
        <f>669001+34821</f>
        <v>703822</v>
      </c>
      <c r="X16" s="38">
        <f>690103+30634</f>
        <v>720737</v>
      </c>
      <c r="Y16" s="15">
        <f>706996+34012</f>
        <v>741008</v>
      </c>
      <c r="Z16" s="29"/>
      <c r="AA16" s="170">
        <v>959472</v>
      </c>
      <c r="AB16" s="173">
        <v>40400</v>
      </c>
      <c r="AC16" s="3">
        <f>SUM(AA16:AB16)</f>
        <v>999872</v>
      </c>
      <c r="AE16" s="3">
        <v>782288.84</v>
      </c>
      <c r="AF16" s="3">
        <v>38542.34</v>
      </c>
      <c r="AG16" s="3">
        <f>SUM(AE16:AF16)</f>
        <v>820831.1799999999</v>
      </c>
      <c r="AI16" s="3">
        <v>920266.62</v>
      </c>
      <c r="AJ16" s="3">
        <v>52436</v>
      </c>
      <c r="AK16" s="3">
        <f>SUM(AI16:AJ16)</f>
        <v>972702.62</v>
      </c>
    </row>
    <row r="17" spans="2:28" ht="12.75">
      <c r="B17" s="15"/>
      <c r="C17" s="85">
        <v>0</v>
      </c>
      <c r="L17" s="271"/>
      <c r="M17" s="271"/>
      <c r="N17" s="15"/>
      <c r="P17" s="15"/>
      <c r="Q17" s="28"/>
      <c r="R17" s="28"/>
      <c r="S17" s="28"/>
      <c r="T17" s="28"/>
      <c r="U17" s="28"/>
      <c r="V17" s="28"/>
      <c r="W17" s="29"/>
      <c r="X17" s="38"/>
      <c r="Y17" s="15"/>
      <c r="Z17" s="29"/>
      <c r="AA17" s="100"/>
      <c r="AB17" s="175"/>
    </row>
    <row r="18" spans="1:37" ht="12.75">
      <c r="A18" s="1" t="s">
        <v>11</v>
      </c>
      <c r="B18" s="15">
        <v>318086</v>
      </c>
      <c r="C18" s="85">
        <v>259011</v>
      </c>
      <c r="D18" s="1">
        <v>148674</v>
      </c>
      <c r="E18" s="1">
        <v>298609</v>
      </c>
      <c r="F18" s="1">
        <v>301392</v>
      </c>
      <c r="G18" s="1">
        <v>77348</v>
      </c>
      <c r="H18" s="1">
        <v>218757</v>
      </c>
      <c r="I18" s="1">
        <v>103405</v>
      </c>
      <c r="J18" s="1">
        <v>70301</v>
      </c>
      <c r="K18" s="1">
        <v>270875.43</v>
      </c>
      <c r="L18" s="271">
        <f>(K18-J18)*100/J18</f>
        <v>285.30807527631185</v>
      </c>
      <c r="M18" s="271">
        <f>(K18-Y18)*100/Y18</f>
        <v>16.328441856270448</v>
      </c>
      <c r="N18" s="15">
        <v>110769</v>
      </c>
      <c r="O18" s="15">
        <v>178969</v>
      </c>
      <c r="P18" s="15">
        <v>80672</v>
      </c>
      <c r="Q18" s="28">
        <v>215012</v>
      </c>
      <c r="R18" s="28">
        <v>271745</v>
      </c>
      <c r="S18" s="28">
        <v>275312</v>
      </c>
      <c r="T18" s="28">
        <v>319483</v>
      </c>
      <c r="U18" s="28">
        <v>251072</v>
      </c>
      <c r="V18" s="28">
        <f>324479+17882</f>
        <v>342361</v>
      </c>
      <c r="W18" s="29">
        <f>389726+16900</f>
        <v>406626</v>
      </c>
      <c r="X18" s="38">
        <f>358427+5877</f>
        <v>364304</v>
      </c>
      <c r="Y18" s="15">
        <f>227580+5274</f>
        <v>232854</v>
      </c>
      <c r="Z18" s="29"/>
      <c r="AA18" s="173">
        <v>100924.54</v>
      </c>
      <c r="AB18" s="173">
        <v>2480.88</v>
      </c>
      <c r="AC18" s="3">
        <f>SUM(AA18:AB18)</f>
        <v>103405.42</v>
      </c>
      <c r="AE18" s="3">
        <v>68707.17</v>
      </c>
      <c r="AF18" s="3">
        <v>1593.34</v>
      </c>
      <c r="AG18" s="3">
        <f>SUM(AE18:AF18)</f>
        <v>70300.51</v>
      </c>
      <c r="AI18" s="3">
        <v>269705.21</v>
      </c>
      <c r="AJ18" s="3">
        <v>1170.22</v>
      </c>
      <c r="AK18" s="3">
        <f>SUM(AI18:AJ18)</f>
        <v>270875.43</v>
      </c>
    </row>
    <row r="19" spans="1:37" ht="12.75">
      <c r="A19" s="1" t="s">
        <v>12</v>
      </c>
      <c r="B19" s="15">
        <v>870324</v>
      </c>
      <c r="C19" s="85">
        <v>719098</v>
      </c>
      <c r="D19" s="1">
        <v>1172462</v>
      </c>
      <c r="E19" s="1">
        <v>874649</v>
      </c>
      <c r="F19" s="1">
        <v>984398</v>
      </c>
      <c r="G19" s="1">
        <v>1487827</v>
      </c>
      <c r="H19" s="1">
        <v>2007741</v>
      </c>
      <c r="I19" s="1">
        <v>1479380</v>
      </c>
      <c r="J19" s="1">
        <v>2311487</v>
      </c>
      <c r="K19" s="1">
        <v>1342092.61</v>
      </c>
      <c r="L19" s="271">
        <f>(K19-J19)*100/J19</f>
        <v>-41.938128572646086</v>
      </c>
      <c r="M19" s="271">
        <f>(K19-Y19)*100/Y19</f>
        <v>168.6490228616153</v>
      </c>
      <c r="N19" s="15">
        <v>463061</v>
      </c>
      <c r="O19" s="15">
        <v>492295</v>
      </c>
      <c r="P19" s="15">
        <v>501479</v>
      </c>
      <c r="Q19" s="28">
        <v>604270</v>
      </c>
      <c r="R19" s="28">
        <v>658629</v>
      </c>
      <c r="S19" s="28">
        <v>662321</v>
      </c>
      <c r="T19" s="28">
        <v>720849</v>
      </c>
      <c r="U19" s="28">
        <v>772193</v>
      </c>
      <c r="V19" s="28">
        <f>755434+23748</f>
        <v>779182</v>
      </c>
      <c r="W19" s="29">
        <f>786476+24737</f>
        <v>811213</v>
      </c>
      <c r="X19" s="38">
        <f>1174873+36333</f>
        <v>1211206</v>
      </c>
      <c r="Y19" s="15">
        <f>476446+23125</f>
        <v>499571</v>
      </c>
      <c r="Z19" s="29"/>
      <c r="AA19" s="170">
        <v>1467988.6</v>
      </c>
      <c r="AB19" s="100">
        <v>11391.87</v>
      </c>
      <c r="AC19" s="3">
        <f>SUM(AA19:AB19)</f>
        <v>1479380.4700000002</v>
      </c>
      <c r="AE19" s="3">
        <v>2290730.09</v>
      </c>
      <c r="AF19" s="3">
        <v>20757.14</v>
      </c>
      <c r="AG19" s="3">
        <f>SUM(AE19:AF19)</f>
        <v>2311487.23</v>
      </c>
      <c r="AI19" s="3">
        <v>1335344.36</v>
      </c>
      <c r="AJ19" s="3">
        <v>6748.25</v>
      </c>
      <c r="AK19" s="3">
        <f>SUM(AI19:AJ19)</f>
        <v>1342092.61</v>
      </c>
    </row>
    <row r="20" spans="1:37" ht="12.75">
      <c r="A20" s="1" t="s">
        <v>13</v>
      </c>
      <c r="B20" s="15">
        <v>414048</v>
      </c>
      <c r="C20" s="85">
        <v>577789</v>
      </c>
      <c r="D20" s="1">
        <v>766152</v>
      </c>
      <c r="E20" s="1">
        <v>459429</v>
      </c>
      <c r="F20" s="1">
        <v>525496</v>
      </c>
      <c r="G20" s="1">
        <v>664994</v>
      </c>
      <c r="H20" s="1">
        <v>1126656</v>
      </c>
      <c r="I20" s="1">
        <v>843057</v>
      </c>
      <c r="J20" s="1">
        <v>906806</v>
      </c>
      <c r="K20" s="1">
        <v>818925.82</v>
      </c>
      <c r="L20" s="271">
        <f>(K20-J20)*100/J20</f>
        <v>-9.69117760579441</v>
      </c>
      <c r="M20" s="271">
        <f>(K20-Y20)*100/Y20</f>
        <v>72.94465903163335</v>
      </c>
      <c r="N20" s="15">
        <v>345992</v>
      </c>
      <c r="O20" s="15">
        <v>247733</v>
      </c>
      <c r="P20" s="15">
        <v>196257</v>
      </c>
      <c r="Q20" s="28">
        <v>442048</v>
      </c>
      <c r="R20" s="28">
        <v>472914</v>
      </c>
      <c r="S20" s="28">
        <v>506597</v>
      </c>
      <c r="T20" s="28">
        <v>407346</v>
      </c>
      <c r="U20" s="28">
        <v>716046</v>
      </c>
      <c r="V20" s="28">
        <f>400311+28640</f>
        <v>428951</v>
      </c>
      <c r="W20" s="29">
        <f>467886+27201</f>
        <v>495087</v>
      </c>
      <c r="X20" s="38">
        <f>461194+29216</f>
        <v>490410</v>
      </c>
      <c r="Y20" s="15">
        <f>437573+35946</f>
        <v>473519</v>
      </c>
      <c r="Z20" s="29"/>
      <c r="AA20" s="170">
        <v>809010.21</v>
      </c>
      <c r="AB20" s="100">
        <v>34046.46</v>
      </c>
      <c r="AC20" s="3">
        <f>SUM(AA20:AB20)</f>
        <v>843056.6699999999</v>
      </c>
      <c r="AE20" s="3">
        <v>879521.53</v>
      </c>
      <c r="AF20" s="3">
        <v>27284.61</v>
      </c>
      <c r="AG20" s="3">
        <f>SUM(AE20:AF20)</f>
        <v>906806.14</v>
      </c>
      <c r="AI20" s="3">
        <v>801805.77</v>
      </c>
      <c r="AJ20" s="3">
        <v>17120.05</v>
      </c>
      <c r="AK20" s="3">
        <f>SUM(AI20:AJ20)</f>
        <v>818925.8200000001</v>
      </c>
    </row>
    <row r="21" spans="1:37" ht="12.75">
      <c r="A21" s="1" t="s">
        <v>14</v>
      </c>
      <c r="B21" s="15">
        <v>698150</v>
      </c>
      <c r="C21" s="85">
        <v>739608</v>
      </c>
      <c r="D21" s="1">
        <v>865474</v>
      </c>
      <c r="E21" s="1">
        <v>1681582</v>
      </c>
      <c r="F21" s="1">
        <v>561420</v>
      </c>
      <c r="G21" s="1">
        <v>626796</v>
      </c>
      <c r="H21" s="1">
        <v>1025170</v>
      </c>
      <c r="I21" s="1">
        <v>1197212</v>
      </c>
      <c r="J21" s="1">
        <v>2020858</v>
      </c>
      <c r="K21" s="1">
        <v>1476145.49</v>
      </c>
      <c r="L21" s="271">
        <f>(K21-J21)*100/J21</f>
        <v>-26.954516843835638</v>
      </c>
      <c r="M21" s="271">
        <f>(K21-Y21)*100/Y21</f>
        <v>144.00228275027604</v>
      </c>
      <c r="N21" s="15">
        <v>269864</v>
      </c>
      <c r="O21" s="15">
        <v>353184</v>
      </c>
      <c r="P21" s="15">
        <v>459569</v>
      </c>
      <c r="Q21" s="28">
        <v>541517</v>
      </c>
      <c r="R21" s="28">
        <v>558770</v>
      </c>
      <c r="S21" s="28">
        <v>677026</v>
      </c>
      <c r="T21" s="28">
        <v>703354</v>
      </c>
      <c r="U21" s="28">
        <v>531559</v>
      </c>
      <c r="V21" s="28">
        <f>545626+834</f>
        <v>546460</v>
      </c>
      <c r="W21" s="29">
        <f>488256+7452</f>
        <v>495708</v>
      </c>
      <c r="X21" s="38">
        <f>515153+8091</f>
        <v>523244</v>
      </c>
      <c r="Y21" s="15">
        <f>603132+1840</f>
        <v>604972</v>
      </c>
      <c r="Z21" s="29"/>
      <c r="AA21" s="170">
        <v>1169810.79</v>
      </c>
      <c r="AB21" s="100">
        <v>27401.5</v>
      </c>
      <c r="AC21" s="3">
        <f>SUM(AA21:AB21)</f>
        <v>1197212.29</v>
      </c>
      <c r="AE21" s="3">
        <v>2008214.23</v>
      </c>
      <c r="AF21" s="3">
        <v>12643.71</v>
      </c>
      <c r="AG21" s="3">
        <f>SUM(AE21:AF21)</f>
        <v>2020857.94</v>
      </c>
      <c r="AI21" s="3">
        <v>1474612.71</v>
      </c>
      <c r="AJ21" s="3">
        <v>1532.78</v>
      </c>
      <c r="AK21" s="3">
        <f>SUM(AI21:AJ21)</f>
        <v>1476145.49</v>
      </c>
    </row>
    <row r="22" spans="1:37" ht="12.75">
      <c r="A22" s="1" t="s">
        <v>15</v>
      </c>
      <c r="B22" s="15">
        <v>164467</v>
      </c>
      <c r="C22" s="85">
        <v>71120</v>
      </c>
      <c r="D22" s="1">
        <v>50105</v>
      </c>
      <c r="E22" s="1">
        <v>139802</v>
      </c>
      <c r="F22" s="1">
        <v>84029</v>
      </c>
      <c r="G22" s="1">
        <v>0</v>
      </c>
      <c r="H22" s="1">
        <v>111998</v>
      </c>
      <c r="I22" s="1">
        <v>422665</v>
      </c>
      <c r="J22" s="1">
        <v>323324</v>
      </c>
      <c r="K22" s="1">
        <v>448123.6</v>
      </c>
      <c r="L22" s="271">
        <f>(K22-J22)*100/J22</f>
        <v>38.59892862886763</v>
      </c>
      <c r="M22" s="271">
        <f>(K22-Y22)*100/Y22</f>
        <v>214.93460584295562</v>
      </c>
      <c r="N22" s="15">
        <v>32279</v>
      </c>
      <c r="O22" s="15">
        <v>48824</v>
      </c>
      <c r="P22" s="15">
        <v>46292</v>
      </c>
      <c r="Q22" s="28">
        <v>57848</v>
      </c>
      <c r="R22" s="28">
        <v>50693</v>
      </c>
      <c r="S22" s="28">
        <v>53137</v>
      </c>
      <c r="T22" s="28">
        <v>55907</v>
      </c>
      <c r="U22" s="28">
        <v>79573</v>
      </c>
      <c r="V22" s="28">
        <f>101982+979</f>
        <v>102961</v>
      </c>
      <c r="W22" s="29">
        <f>159167+597</f>
        <v>159764</v>
      </c>
      <c r="X22" s="38">
        <f>189727+5949</f>
        <v>195676</v>
      </c>
      <c r="Y22" s="15">
        <f>142076+215</f>
        <v>142291</v>
      </c>
      <c r="Z22" s="29"/>
      <c r="AA22" s="174">
        <v>422665.16</v>
      </c>
      <c r="AB22" s="100">
        <v>0</v>
      </c>
      <c r="AC22" s="3">
        <f>SUM(AA22:AB22)</f>
        <v>422665.16</v>
      </c>
      <c r="AE22" s="3">
        <v>323324</v>
      </c>
      <c r="AF22" s="3">
        <v>0</v>
      </c>
      <c r="AG22" s="3">
        <f>SUM(AE22:AF22)</f>
        <v>323324</v>
      </c>
      <c r="AI22" s="3">
        <v>448123.6</v>
      </c>
      <c r="AJ22" s="3">
        <v>0</v>
      </c>
      <c r="AK22" s="3">
        <f>SUM(AI22:AJ22)</f>
        <v>448123.6</v>
      </c>
    </row>
    <row r="23" spans="2:28" ht="12.75">
      <c r="B23" s="15"/>
      <c r="C23" s="85">
        <v>0</v>
      </c>
      <c r="L23" s="271"/>
      <c r="M23" s="271"/>
      <c r="N23" s="15"/>
      <c r="P23" s="15"/>
      <c r="Q23" s="28"/>
      <c r="R23" s="28"/>
      <c r="S23" s="28"/>
      <c r="T23" s="28"/>
      <c r="U23" s="28"/>
      <c r="V23" s="28"/>
      <c r="W23" s="29"/>
      <c r="X23" s="38"/>
      <c r="Y23" s="15"/>
      <c r="Z23" s="29"/>
      <c r="AA23" s="100"/>
      <c r="AB23" s="100"/>
    </row>
    <row r="24" spans="1:37" ht="12.75">
      <c r="A24" s="1" t="s">
        <v>16</v>
      </c>
      <c r="B24" s="15">
        <v>690735</v>
      </c>
      <c r="C24" s="85">
        <v>937324</v>
      </c>
      <c r="D24" s="1">
        <v>1170212</v>
      </c>
      <c r="E24" s="1">
        <v>679359</v>
      </c>
      <c r="F24" s="1">
        <v>1389324</v>
      </c>
      <c r="G24" s="1">
        <v>1904373</v>
      </c>
      <c r="H24" s="1">
        <v>2145139</v>
      </c>
      <c r="I24" s="1">
        <v>3967096</v>
      </c>
      <c r="J24" s="1">
        <v>2607922</v>
      </c>
      <c r="K24" s="1">
        <v>2979096.81</v>
      </c>
      <c r="L24" s="271">
        <f>(K24-J24)*100/J24</f>
        <v>14.232588628034124</v>
      </c>
      <c r="M24" s="271">
        <f>(K24-Y24)*100/Y24</f>
        <v>283.9195650857186</v>
      </c>
      <c r="N24" s="15">
        <v>483116</v>
      </c>
      <c r="O24" s="15">
        <v>457600</v>
      </c>
      <c r="P24" s="15">
        <v>582306</v>
      </c>
      <c r="Q24" s="28">
        <v>638836</v>
      </c>
      <c r="R24" s="28">
        <v>760284</v>
      </c>
      <c r="S24" s="28">
        <v>769689</v>
      </c>
      <c r="T24" s="28">
        <v>908445</v>
      </c>
      <c r="U24" s="28">
        <v>851988</v>
      </c>
      <c r="V24" s="28">
        <f>669856+20447</f>
        <v>690303</v>
      </c>
      <c r="W24" s="29">
        <f>446399+9786</f>
        <v>456185</v>
      </c>
      <c r="X24" s="38">
        <f>677994+13767</f>
        <v>691761</v>
      </c>
      <c r="Y24" s="15">
        <f>748084+27885</f>
        <v>775969</v>
      </c>
      <c r="Z24" s="29"/>
      <c r="AA24" s="170">
        <v>3893643.2</v>
      </c>
      <c r="AB24" s="100">
        <v>73452.32</v>
      </c>
      <c r="AC24" s="3">
        <f>SUM(AA24:AB24)</f>
        <v>3967095.52</v>
      </c>
      <c r="AE24" s="3">
        <v>2532854.5</v>
      </c>
      <c r="AF24" s="3">
        <v>75067.15</v>
      </c>
      <c r="AG24" s="3">
        <f>SUM(AE24:AF24)</f>
        <v>2607921.65</v>
      </c>
      <c r="AI24" s="3">
        <v>2912771.71</v>
      </c>
      <c r="AJ24" s="3">
        <v>66325.1</v>
      </c>
      <c r="AK24" s="3">
        <f>SUM(AI24:AJ24)</f>
        <v>2979096.81</v>
      </c>
    </row>
    <row r="25" spans="1:37" ht="12.75">
      <c r="A25" s="1" t="s">
        <v>17</v>
      </c>
      <c r="B25" s="15">
        <v>165007</v>
      </c>
      <c r="C25" s="85">
        <v>157773</v>
      </c>
      <c r="D25" s="1">
        <v>157649</v>
      </c>
      <c r="E25" s="1">
        <v>269768</v>
      </c>
      <c r="F25" s="1">
        <v>374280</v>
      </c>
      <c r="G25" s="1">
        <v>527022</v>
      </c>
      <c r="H25" s="1">
        <v>513426</v>
      </c>
      <c r="I25" s="1">
        <v>468338</v>
      </c>
      <c r="J25" s="1">
        <v>307739</v>
      </c>
      <c r="K25" s="1">
        <v>442594.45</v>
      </c>
      <c r="L25" s="271">
        <f>(K25-J25)*100/J25</f>
        <v>43.8213713568966</v>
      </c>
      <c r="M25" s="271">
        <f>(K25-Y25)*100/Y25</f>
        <v>251.71484992728804</v>
      </c>
      <c r="N25" s="15">
        <v>117492</v>
      </c>
      <c r="O25" s="15">
        <v>143450</v>
      </c>
      <c r="P25" s="15">
        <v>181865</v>
      </c>
      <c r="Q25" s="28">
        <v>188967</v>
      </c>
      <c r="R25" s="28">
        <v>84860</v>
      </c>
      <c r="S25" s="28">
        <v>164081</v>
      </c>
      <c r="T25" s="28">
        <v>100890</v>
      </c>
      <c r="U25" s="28">
        <v>241388</v>
      </c>
      <c r="V25" s="28">
        <f>229511+3611</f>
        <v>233122</v>
      </c>
      <c r="W25" s="29">
        <f>223361+1125</f>
        <v>224486</v>
      </c>
      <c r="X25" s="38">
        <f>176481+3700</f>
        <v>180181</v>
      </c>
      <c r="Y25" s="15">
        <f>120811+5028</f>
        <v>125839</v>
      </c>
      <c r="Z25" s="29"/>
      <c r="AA25" s="170">
        <v>466925.46</v>
      </c>
      <c r="AB25" s="173">
        <v>1412.52</v>
      </c>
      <c r="AC25" s="3">
        <f>SUM(AA25:AB25)</f>
        <v>468337.98000000004</v>
      </c>
      <c r="AE25" s="3">
        <v>302016.08</v>
      </c>
      <c r="AF25" s="3">
        <v>5723.15</v>
      </c>
      <c r="AG25" s="3">
        <f>SUM(AE25:AF25)</f>
        <v>307739.23000000004</v>
      </c>
      <c r="AI25" s="3">
        <v>437178.81</v>
      </c>
      <c r="AJ25" s="3">
        <v>5415.64</v>
      </c>
      <c r="AK25" s="3">
        <f>SUM(AI25:AJ25)</f>
        <v>442594.45</v>
      </c>
    </row>
    <row r="26" spans="1:37" ht="12.75">
      <c r="A26" s="1" t="s">
        <v>18</v>
      </c>
      <c r="B26" s="15">
        <v>1958716</v>
      </c>
      <c r="C26" s="85">
        <v>1744082</v>
      </c>
      <c r="D26" s="1">
        <v>1725233</v>
      </c>
      <c r="E26" s="1">
        <v>1688699</v>
      </c>
      <c r="F26" s="1">
        <v>2265427</v>
      </c>
      <c r="G26" s="1">
        <v>2579907</v>
      </c>
      <c r="H26" s="1">
        <v>1332311</v>
      </c>
      <c r="I26" s="1">
        <v>2597585</v>
      </c>
      <c r="J26" s="1">
        <v>2369983</v>
      </c>
      <c r="K26" s="1">
        <v>2953468.88</v>
      </c>
      <c r="L26" s="271">
        <f>(K26-J26)*100/J26</f>
        <v>24.61983398193151</v>
      </c>
      <c r="M26" s="271">
        <f>(K26-Y26)*100/Y26</f>
        <v>35.84413658608381</v>
      </c>
      <c r="N26" s="15">
        <v>906186</v>
      </c>
      <c r="O26" s="15">
        <v>871164</v>
      </c>
      <c r="P26" s="15">
        <v>1055055</v>
      </c>
      <c r="Q26" s="28">
        <v>1080419</v>
      </c>
      <c r="R26" s="28">
        <v>1244340</v>
      </c>
      <c r="S26" s="28">
        <v>1349267</v>
      </c>
      <c r="T26" s="28">
        <v>1398153</v>
      </c>
      <c r="U26" s="28">
        <v>1524620</v>
      </c>
      <c r="V26" s="28">
        <f>1751600+37515</f>
        <v>1789115</v>
      </c>
      <c r="W26" s="29">
        <f>1934472+58482</f>
        <v>1992954</v>
      </c>
      <c r="X26" s="38">
        <f>2104608+38635</f>
        <v>2143243</v>
      </c>
      <c r="Y26" s="15">
        <f>2136146+38014</f>
        <v>2174160</v>
      </c>
      <c r="Z26" s="29"/>
      <c r="AA26" s="170">
        <v>2546794.67</v>
      </c>
      <c r="AB26" s="173">
        <v>50790.18</v>
      </c>
      <c r="AC26" s="3">
        <f>SUM(AA26:AB26)</f>
        <v>2597584.85</v>
      </c>
      <c r="AE26" s="3">
        <v>2266952.82</v>
      </c>
      <c r="AF26" s="3">
        <v>103030.55</v>
      </c>
      <c r="AG26" s="3">
        <f>SUM(AE26:AF26)</f>
        <v>2369983.3699999996</v>
      </c>
      <c r="AI26" s="3">
        <v>2827431.74</v>
      </c>
      <c r="AJ26" s="3">
        <v>126037.14</v>
      </c>
      <c r="AK26" s="3">
        <f>SUM(AI26:AJ26)</f>
        <v>2953468.8800000004</v>
      </c>
    </row>
    <row r="27" spans="1:37" ht="12.75">
      <c r="A27" s="1" t="s">
        <v>19</v>
      </c>
      <c r="B27" s="15">
        <v>939861</v>
      </c>
      <c r="C27" s="85">
        <v>1444500</v>
      </c>
      <c r="D27" s="1">
        <v>1555843</v>
      </c>
      <c r="E27" s="1">
        <v>1831046</v>
      </c>
      <c r="F27" s="1">
        <v>2384530</v>
      </c>
      <c r="G27" s="1">
        <v>2423021</v>
      </c>
      <c r="H27" s="1">
        <v>2199975</v>
      </c>
      <c r="I27" s="1">
        <v>2689120</v>
      </c>
      <c r="J27" s="1">
        <v>515713</v>
      </c>
      <c r="K27" s="1">
        <v>2862129.98</v>
      </c>
      <c r="L27" s="271">
        <f>(K27-J27)*100/J27</f>
        <v>454.9850362507829</v>
      </c>
      <c r="M27" s="271">
        <f>(K27-Y27)*100/Y27</f>
        <v>92.38881883200688</v>
      </c>
      <c r="N27" s="15">
        <v>730863</v>
      </c>
      <c r="O27" s="15">
        <v>734168</v>
      </c>
      <c r="P27" s="15">
        <v>721680</v>
      </c>
      <c r="Q27" s="28">
        <v>767942</v>
      </c>
      <c r="R27" s="28">
        <v>983439</v>
      </c>
      <c r="S27" s="28">
        <v>1329553</v>
      </c>
      <c r="T27" s="28">
        <v>2315667</v>
      </c>
      <c r="U27" s="28">
        <v>1510726</v>
      </c>
      <c r="V27" s="28">
        <f>923347+25329</f>
        <v>948676</v>
      </c>
      <c r="W27" s="29">
        <f>1643191+1011</f>
        <v>1644202</v>
      </c>
      <c r="X27" s="38">
        <f>887594+3445</f>
        <v>891039</v>
      </c>
      <c r="Y27" s="15">
        <f>1481997+5683</f>
        <v>1487680</v>
      </c>
      <c r="Z27" s="29"/>
      <c r="AA27" s="170">
        <v>2670941.13</v>
      </c>
      <c r="AB27" s="173">
        <v>18178.76</v>
      </c>
      <c r="AC27" s="3">
        <f>SUM(AA27:AB27)</f>
        <v>2689119.8899999997</v>
      </c>
      <c r="AE27" s="3">
        <v>502498.07</v>
      </c>
      <c r="AF27" s="3">
        <v>13215</v>
      </c>
      <c r="AG27" s="3">
        <f>SUM(AE27:AF27)</f>
        <v>515713.07</v>
      </c>
      <c r="AI27" s="3">
        <v>2623475.82</v>
      </c>
      <c r="AJ27" s="3">
        <v>238654.16</v>
      </c>
      <c r="AK27" s="3">
        <f>SUM(AI27:AJ27)</f>
        <v>2862129.98</v>
      </c>
    </row>
    <row r="28" spans="1:37" ht="12.75">
      <c r="A28" s="1" t="s">
        <v>20</v>
      </c>
      <c r="B28" s="15">
        <v>203940</v>
      </c>
      <c r="C28" s="85">
        <v>122815</v>
      </c>
      <c r="D28" s="1">
        <v>156085</v>
      </c>
      <c r="E28" s="1">
        <v>124063</v>
      </c>
      <c r="F28" s="1">
        <v>170097</v>
      </c>
      <c r="G28" s="1">
        <v>145732</v>
      </c>
      <c r="H28" s="1">
        <v>165957</v>
      </c>
      <c r="I28" s="1">
        <v>88312</v>
      </c>
      <c r="J28" s="1">
        <v>114943</v>
      </c>
      <c r="K28" s="1">
        <v>121176</v>
      </c>
      <c r="L28" s="271">
        <f>(K28-J28)*100/J28</f>
        <v>5.422687766980156</v>
      </c>
      <c r="M28" s="271">
        <f>(K28-Y28)*100/Y28</f>
        <v>-4.925698683446577</v>
      </c>
      <c r="N28" s="15">
        <v>70027</v>
      </c>
      <c r="O28" s="15">
        <v>67229</v>
      </c>
      <c r="P28" s="28">
        <v>67061</v>
      </c>
      <c r="Q28" s="28">
        <v>78565</v>
      </c>
      <c r="R28" s="28">
        <v>80239</v>
      </c>
      <c r="S28" s="28">
        <v>78324</v>
      </c>
      <c r="T28" s="28">
        <v>79877</v>
      </c>
      <c r="U28" s="28">
        <v>92304</v>
      </c>
      <c r="V28" s="28">
        <f>92298+763</f>
        <v>93061</v>
      </c>
      <c r="W28" s="29">
        <f>183858+809</f>
        <v>184667</v>
      </c>
      <c r="X28" s="38">
        <f>176141+6339</f>
        <v>182480</v>
      </c>
      <c r="Y28" s="15">
        <f>126916+538</f>
        <v>127454</v>
      </c>
      <c r="Z28" s="29"/>
      <c r="AA28" s="170">
        <v>86669</v>
      </c>
      <c r="AB28" s="173">
        <v>1642.64</v>
      </c>
      <c r="AC28" s="3">
        <f>SUM(AA28:AB28)</f>
        <v>88311.64</v>
      </c>
      <c r="AE28" s="3">
        <v>114943.19</v>
      </c>
      <c r="AF28" s="3">
        <v>0</v>
      </c>
      <c r="AG28" s="3">
        <f>SUM(AE28:AF28)</f>
        <v>114943.19</v>
      </c>
      <c r="AI28" s="3">
        <v>121176</v>
      </c>
      <c r="AJ28" s="3">
        <v>0</v>
      </c>
      <c r="AK28" s="3">
        <f>SUM(AI28:AJ28)</f>
        <v>121176</v>
      </c>
    </row>
    <row r="29" spans="2:28" ht="12.75">
      <c r="B29" s="15"/>
      <c r="C29" s="85"/>
      <c r="L29" s="271"/>
      <c r="M29" s="271"/>
      <c r="N29" s="15"/>
      <c r="O29" s="15"/>
      <c r="Q29" s="28"/>
      <c r="R29" s="28"/>
      <c r="S29" s="28"/>
      <c r="T29" s="28"/>
      <c r="U29" s="28"/>
      <c r="V29" s="28"/>
      <c r="W29" s="29"/>
      <c r="X29" s="38"/>
      <c r="Y29" s="15"/>
      <c r="Z29" s="29"/>
      <c r="AA29" s="100"/>
      <c r="AB29" s="173"/>
    </row>
    <row r="30" spans="1:37" ht="12.75">
      <c r="A30" s="1" t="s">
        <v>21</v>
      </c>
      <c r="B30" s="15">
        <v>3107903</v>
      </c>
      <c r="C30" s="85">
        <v>3612660</v>
      </c>
      <c r="D30" s="1">
        <v>5184430</v>
      </c>
      <c r="E30" s="1">
        <v>5581741</v>
      </c>
      <c r="F30" s="1">
        <v>5410880</v>
      </c>
      <c r="G30" s="1">
        <v>5636743</v>
      </c>
      <c r="H30" s="1">
        <v>7395802</v>
      </c>
      <c r="I30" s="1">
        <v>7880625</v>
      </c>
      <c r="J30" s="1">
        <v>8439856</v>
      </c>
      <c r="K30" s="1">
        <v>10138418.510000002</v>
      </c>
      <c r="L30" s="271">
        <f>(K30-J30)*100/J30</f>
        <v>20.125491596065167</v>
      </c>
      <c r="M30" s="271">
        <f>(K30-Y30)*100/Y30</f>
        <v>245.3916244796174</v>
      </c>
      <c r="N30" s="15">
        <v>1882887</v>
      </c>
      <c r="O30" s="15">
        <v>2149367</v>
      </c>
      <c r="P30" s="28">
        <v>2343447</v>
      </c>
      <c r="Q30" s="28">
        <v>2432657</v>
      </c>
      <c r="R30" s="28">
        <v>2769817</v>
      </c>
      <c r="S30" s="28">
        <v>2849850</v>
      </c>
      <c r="T30" s="28">
        <v>3107873</v>
      </c>
      <c r="U30" s="28">
        <v>2591508</v>
      </c>
      <c r="V30" s="28">
        <f>3115533+92320</f>
        <v>3207853</v>
      </c>
      <c r="W30" s="29">
        <f>3229337+109140</f>
        <v>3338477</v>
      </c>
      <c r="X30" s="38">
        <f>3019090+112164</f>
        <v>3131254</v>
      </c>
      <c r="Y30" s="15">
        <f>2791494+143846</f>
        <v>2935340</v>
      </c>
      <c r="Z30" s="29"/>
      <c r="AA30" s="170">
        <v>7356543</v>
      </c>
      <c r="AB30" s="173">
        <v>524082.48</v>
      </c>
      <c r="AC30" s="3">
        <f>SUM(AA30:AB30)</f>
        <v>7880625.48</v>
      </c>
      <c r="AE30" s="3">
        <v>8340171</v>
      </c>
      <c r="AF30" s="3">
        <v>99684.96</v>
      </c>
      <c r="AG30" s="3">
        <f>SUM(AE30:AF30)</f>
        <v>8439855.96</v>
      </c>
      <c r="AI30" s="3">
        <v>9299026.920000002</v>
      </c>
      <c r="AJ30" s="3">
        <v>839391.59</v>
      </c>
      <c r="AK30" s="3">
        <f>SUM(AI30:AJ30)</f>
        <v>10138418.510000002</v>
      </c>
    </row>
    <row r="31" spans="1:37" ht="12.75">
      <c r="A31" s="1" t="s">
        <v>22</v>
      </c>
      <c r="B31" s="15">
        <v>4414646</v>
      </c>
      <c r="C31" s="85">
        <v>4213500</v>
      </c>
      <c r="D31" s="1">
        <v>7683866</v>
      </c>
      <c r="E31" s="1">
        <v>9930859</v>
      </c>
      <c r="F31" s="1">
        <v>11279008</v>
      </c>
      <c r="G31" s="1">
        <v>10845388</v>
      </c>
      <c r="H31" s="1">
        <v>13689387</v>
      </c>
      <c r="I31" s="1">
        <v>11763887</v>
      </c>
      <c r="J31" s="1">
        <v>5190650</v>
      </c>
      <c r="K31" s="1">
        <v>12702010.17</v>
      </c>
      <c r="L31" s="271">
        <f>(K31-J31)*100/J31</f>
        <v>144.70943273000492</v>
      </c>
      <c r="M31" s="271">
        <f>(K31-Y31)*100/Y31</f>
        <v>178.0488301250409</v>
      </c>
      <c r="N31" s="15">
        <v>2111128</v>
      </c>
      <c r="O31" s="15">
        <v>2607329</v>
      </c>
      <c r="P31" s="28">
        <v>2617989</v>
      </c>
      <c r="Q31" s="28">
        <v>3229397</v>
      </c>
      <c r="R31" s="28">
        <v>2855706</v>
      </c>
      <c r="S31" s="28">
        <v>3723673</v>
      </c>
      <c r="T31" s="28">
        <v>3193729</v>
      </c>
      <c r="U31" s="28">
        <v>3737190</v>
      </c>
      <c r="V31" s="28">
        <f>3662515+37779</f>
        <v>3700294</v>
      </c>
      <c r="W31" s="29">
        <f>3223358+43152</f>
        <v>3266510</v>
      </c>
      <c r="X31" s="38">
        <f>3788312+51961</f>
        <v>3840273</v>
      </c>
      <c r="Y31" s="15">
        <f>4520624+47642</f>
        <v>4568266</v>
      </c>
      <c r="Z31" s="29"/>
      <c r="AA31" s="170">
        <v>11763887</v>
      </c>
      <c r="AB31" s="173">
        <v>0</v>
      </c>
      <c r="AC31" s="3">
        <f>SUM(AA31:AB31)</f>
        <v>11763887</v>
      </c>
      <c r="AE31" s="3">
        <v>5190650.39</v>
      </c>
      <c r="AF31" s="3">
        <v>0</v>
      </c>
      <c r="AG31" s="3">
        <f>SUM(AE31:AF31)</f>
        <v>5190650.39</v>
      </c>
      <c r="AI31" s="3">
        <v>12702010.17</v>
      </c>
      <c r="AJ31" s="3">
        <v>0</v>
      </c>
      <c r="AK31" s="3">
        <f>SUM(AI31:AJ31)</f>
        <v>12702010.17</v>
      </c>
    </row>
    <row r="32" spans="1:37" ht="12.75">
      <c r="A32" s="1" t="s">
        <v>23</v>
      </c>
      <c r="B32" s="15">
        <v>342054</v>
      </c>
      <c r="C32" s="85">
        <v>259230</v>
      </c>
      <c r="D32" s="1">
        <v>345123</v>
      </c>
      <c r="E32" s="1">
        <v>360118</v>
      </c>
      <c r="F32" s="1">
        <v>291527</v>
      </c>
      <c r="G32" s="1">
        <v>553069</v>
      </c>
      <c r="H32" s="1">
        <v>823185</v>
      </c>
      <c r="I32" s="1">
        <v>618835</v>
      </c>
      <c r="J32" s="1">
        <v>373146</v>
      </c>
      <c r="K32" s="1">
        <v>230165.59</v>
      </c>
      <c r="L32" s="271">
        <f>(K32-J32)*100/J32</f>
        <v>-38.317551306995114</v>
      </c>
      <c r="M32" s="271">
        <f>(K32-Y32)*100/Y32</f>
        <v>14.315168642565173</v>
      </c>
      <c r="N32" s="15">
        <v>109656</v>
      </c>
      <c r="O32" s="15">
        <v>374980</v>
      </c>
      <c r="P32" s="28">
        <v>383380</v>
      </c>
      <c r="Q32" s="28">
        <v>188152</v>
      </c>
      <c r="R32" s="28">
        <v>237176</v>
      </c>
      <c r="S32" s="28">
        <v>155023</v>
      </c>
      <c r="T32" s="28">
        <v>146482</v>
      </c>
      <c r="U32" s="28">
        <v>201010</v>
      </c>
      <c r="V32" s="28">
        <f>215760+7423</f>
        <v>223183</v>
      </c>
      <c r="W32" s="29">
        <f>194734+7454</f>
        <v>202188</v>
      </c>
      <c r="X32" s="38">
        <f>158232+5273</f>
        <v>163505</v>
      </c>
      <c r="Y32" s="15">
        <f>193552+7791</f>
        <v>201343</v>
      </c>
      <c r="Z32" s="29"/>
      <c r="AA32" s="170">
        <v>599875.42</v>
      </c>
      <c r="AB32" s="173">
        <v>18959.09</v>
      </c>
      <c r="AC32" s="3">
        <f>SUM(AA32:AB32)</f>
        <v>618834.51</v>
      </c>
      <c r="AE32" s="3">
        <v>361722.83</v>
      </c>
      <c r="AF32" s="3">
        <v>11423.43</v>
      </c>
      <c r="AG32" s="3">
        <f>SUM(AE32:AF32)</f>
        <v>373146.26</v>
      </c>
      <c r="AI32" s="3">
        <v>224583.91</v>
      </c>
      <c r="AJ32" s="3">
        <v>5581.68</v>
      </c>
      <c r="AK32" s="3">
        <f>SUM(AI32:AJ32)</f>
        <v>230165.59</v>
      </c>
    </row>
    <row r="33" spans="1:37" ht="12.75">
      <c r="A33" s="1" t="s">
        <v>24</v>
      </c>
      <c r="B33" s="15">
        <v>486269</v>
      </c>
      <c r="C33" s="85">
        <v>610723</v>
      </c>
      <c r="D33" s="1">
        <v>719622</v>
      </c>
      <c r="E33" s="1">
        <v>304162</v>
      </c>
      <c r="F33" s="1">
        <v>285120</v>
      </c>
      <c r="G33" s="1">
        <v>466585</v>
      </c>
      <c r="H33" s="1">
        <v>527626</v>
      </c>
      <c r="I33" s="1">
        <v>1212430</v>
      </c>
      <c r="J33" s="1">
        <v>641617</v>
      </c>
      <c r="K33" s="1">
        <v>654267.32</v>
      </c>
      <c r="L33" s="271">
        <f>(K33-J33)*100/J33</f>
        <v>1.9716310509228947</v>
      </c>
      <c r="M33" s="271">
        <f>(K33-Y33)*100/Y33</f>
        <v>130.03157950250502</v>
      </c>
      <c r="N33" s="15">
        <v>219996</v>
      </c>
      <c r="O33" s="15">
        <v>187161</v>
      </c>
      <c r="P33" s="28">
        <v>209906</v>
      </c>
      <c r="Q33" s="28">
        <v>279962</v>
      </c>
      <c r="R33" s="28">
        <v>394628</v>
      </c>
      <c r="S33" s="28">
        <v>403842</v>
      </c>
      <c r="T33" s="28">
        <v>538898</v>
      </c>
      <c r="U33" s="28">
        <v>515695</v>
      </c>
      <c r="V33" s="28">
        <f>411289+3985</f>
        <v>415274</v>
      </c>
      <c r="W33" s="29">
        <f>349123+3577</f>
        <v>352700</v>
      </c>
      <c r="X33" s="38">
        <f>572318+3599</f>
        <v>575917</v>
      </c>
      <c r="Y33" s="15">
        <f>281495+2930</f>
        <v>284425</v>
      </c>
      <c r="Z33" s="29"/>
      <c r="AA33" s="170">
        <v>1178575.99</v>
      </c>
      <c r="AB33" s="173">
        <v>33854.26</v>
      </c>
      <c r="AC33" s="3">
        <f>SUM(AA33:AB33)</f>
        <v>1212430.25</v>
      </c>
      <c r="AE33" s="3">
        <v>641616.52</v>
      </c>
      <c r="AF33" s="3">
        <v>0</v>
      </c>
      <c r="AG33" s="3">
        <f>SUM(AE33:AF33)</f>
        <v>641616.52</v>
      </c>
      <c r="AI33" s="3">
        <v>654267.32</v>
      </c>
      <c r="AJ33" s="3">
        <v>0</v>
      </c>
      <c r="AK33" s="3">
        <f>SUM(AI33:AJ33)</f>
        <v>654267.32</v>
      </c>
    </row>
    <row r="34" spans="1:37" ht="12.75">
      <c r="A34" s="1" t="s">
        <v>25</v>
      </c>
      <c r="B34" s="15">
        <v>86423</v>
      </c>
      <c r="C34" s="85">
        <v>288407</v>
      </c>
      <c r="D34" s="1">
        <v>170568</v>
      </c>
      <c r="E34" s="1">
        <v>170681</v>
      </c>
      <c r="F34" s="1">
        <v>210161</v>
      </c>
      <c r="G34" s="1">
        <v>167096</v>
      </c>
      <c r="H34" s="1">
        <v>272583</v>
      </c>
      <c r="I34" s="1">
        <v>223475</v>
      </c>
      <c r="J34" s="1">
        <v>220333</v>
      </c>
      <c r="K34" s="1">
        <v>170509.72</v>
      </c>
      <c r="L34" s="271">
        <f>(K34-J34)*100/J34</f>
        <v>-22.612718022266296</v>
      </c>
      <c r="M34" s="271">
        <f>(K34-Y34)*100/Y34</f>
        <v>43.260197780223656</v>
      </c>
      <c r="N34" s="15">
        <v>62473</v>
      </c>
      <c r="O34" s="15">
        <v>66902</v>
      </c>
      <c r="P34" s="28">
        <v>62218</v>
      </c>
      <c r="Q34" s="28">
        <v>82022</v>
      </c>
      <c r="R34" s="28">
        <v>133107</v>
      </c>
      <c r="S34" s="28">
        <v>87005</v>
      </c>
      <c r="T34" s="28">
        <v>118429</v>
      </c>
      <c r="U34" s="28">
        <v>117973</v>
      </c>
      <c r="V34" s="28">
        <v>147489</v>
      </c>
      <c r="W34" s="29">
        <v>97631</v>
      </c>
      <c r="X34" s="38">
        <v>131808</v>
      </c>
      <c r="Y34" s="15">
        <v>119021</v>
      </c>
      <c r="Z34" s="29"/>
      <c r="AA34" s="170">
        <v>223475.02</v>
      </c>
      <c r="AB34" s="173">
        <v>0</v>
      </c>
      <c r="AC34" s="3">
        <f>SUM(AA34:AB34)</f>
        <v>223475.02</v>
      </c>
      <c r="AE34" s="3">
        <v>220332.8</v>
      </c>
      <c r="AF34" s="3">
        <v>0</v>
      </c>
      <c r="AG34" s="3">
        <f>SUM(AE34:AF34)</f>
        <v>220332.8</v>
      </c>
      <c r="AI34" s="3">
        <v>170509.72</v>
      </c>
      <c r="AJ34" s="3">
        <v>0</v>
      </c>
      <c r="AK34" s="3">
        <f>SUM(AI34:AJ34)</f>
        <v>170509.72</v>
      </c>
    </row>
    <row r="35" spans="2:28" ht="12.75">
      <c r="B35" s="15"/>
      <c r="C35" s="85">
        <v>0</v>
      </c>
      <c r="L35" s="271"/>
      <c r="M35" s="271"/>
      <c r="O35" s="15"/>
      <c r="P35" s="28"/>
      <c r="Q35" s="28"/>
      <c r="R35" s="28"/>
      <c r="S35" s="28"/>
      <c r="T35" s="28"/>
      <c r="U35" s="28"/>
      <c r="V35" s="28"/>
      <c r="W35" s="29"/>
      <c r="X35" s="38"/>
      <c r="Y35" s="15"/>
      <c r="Z35" s="29"/>
      <c r="AA35" s="100"/>
      <c r="AB35" s="173"/>
    </row>
    <row r="36" spans="1:37" ht="12.75">
      <c r="A36" s="1" t="s">
        <v>26</v>
      </c>
      <c r="B36" s="15">
        <v>77308</v>
      </c>
      <c r="C36" s="85">
        <v>254153</v>
      </c>
      <c r="D36" s="1">
        <v>163221</v>
      </c>
      <c r="E36" s="1">
        <v>171119</v>
      </c>
      <c r="F36" s="1">
        <v>81052</v>
      </c>
      <c r="G36" s="1">
        <v>153465</v>
      </c>
      <c r="H36" s="1">
        <v>248480</v>
      </c>
      <c r="I36" s="1">
        <v>406998</v>
      </c>
      <c r="J36" s="1">
        <v>264664</v>
      </c>
      <c r="K36" s="1">
        <v>332901.6</v>
      </c>
      <c r="L36" s="271">
        <f>(K36-J36)*100/J36</f>
        <v>25.78272828945379</v>
      </c>
      <c r="M36" s="271">
        <f>(K36-Y36)*100/Y36</f>
        <v>208.08247575331308</v>
      </c>
      <c r="N36" s="15">
        <v>47758</v>
      </c>
      <c r="O36" s="15">
        <v>41689</v>
      </c>
      <c r="P36" s="28">
        <v>62674</v>
      </c>
      <c r="Q36" s="28">
        <v>115603</v>
      </c>
      <c r="R36" s="28">
        <v>67191</v>
      </c>
      <c r="S36" s="28">
        <v>89180</v>
      </c>
      <c r="T36" s="28">
        <v>152822</v>
      </c>
      <c r="U36" s="28">
        <v>54399</v>
      </c>
      <c r="V36" s="28">
        <f>95767+92</f>
        <v>95859</v>
      </c>
      <c r="W36" s="29">
        <f>113375+576</f>
        <v>113951</v>
      </c>
      <c r="X36" s="38">
        <v>205583</v>
      </c>
      <c r="Y36" s="15">
        <v>108056</v>
      </c>
      <c r="Z36" s="29"/>
      <c r="AA36" s="170">
        <v>399703.9</v>
      </c>
      <c r="AB36" s="173">
        <v>7293.64</v>
      </c>
      <c r="AC36" s="3">
        <f>SUM(AA36:AB36)</f>
        <v>406997.54000000004</v>
      </c>
      <c r="AE36" s="3">
        <v>264663.78</v>
      </c>
      <c r="AF36" s="3">
        <v>0</v>
      </c>
      <c r="AG36" s="3">
        <f>SUM(AE36:AF36)</f>
        <v>264663.78</v>
      </c>
      <c r="AI36" s="3">
        <v>332901.6</v>
      </c>
      <c r="AJ36" s="3">
        <v>0</v>
      </c>
      <c r="AK36" s="3">
        <f>SUM(AI36:AJ36)</f>
        <v>332901.6</v>
      </c>
    </row>
    <row r="37" spans="1:37" ht="12.75">
      <c r="A37" s="1" t="s">
        <v>27</v>
      </c>
      <c r="B37" s="15">
        <v>818586</v>
      </c>
      <c r="C37" s="85">
        <v>1183676</v>
      </c>
      <c r="D37" s="1">
        <v>692124</v>
      </c>
      <c r="E37" s="1">
        <v>724550</v>
      </c>
      <c r="F37" s="1">
        <v>675768</v>
      </c>
      <c r="G37" s="1">
        <v>618174</v>
      </c>
      <c r="H37" s="1">
        <v>1171571</v>
      </c>
      <c r="I37" s="1">
        <v>2097590</v>
      </c>
      <c r="J37" s="1">
        <v>2261056</v>
      </c>
      <c r="K37" s="1">
        <v>1517301.37</v>
      </c>
      <c r="L37" s="271">
        <f>(K37-J37)*100/J37</f>
        <v>-32.89412690353533</v>
      </c>
      <c r="M37" s="271">
        <f>(K37-Y37)*100/Y37</f>
        <v>149.64237154280264</v>
      </c>
      <c r="N37" s="15">
        <v>317648</v>
      </c>
      <c r="O37" s="15">
        <v>247394</v>
      </c>
      <c r="P37" s="28">
        <v>305873</v>
      </c>
      <c r="Q37" s="28">
        <v>354754</v>
      </c>
      <c r="R37" s="28">
        <v>401453</v>
      </c>
      <c r="S37" s="28">
        <v>422858</v>
      </c>
      <c r="T37" s="28">
        <v>410393</v>
      </c>
      <c r="U37" s="28">
        <v>353038</v>
      </c>
      <c r="V37" s="28">
        <v>626062</v>
      </c>
      <c r="W37" s="29">
        <v>716432</v>
      </c>
      <c r="X37" s="38">
        <v>700384</v>
      </c>
      <c r="Y37" s="15">
        <v>607790</v>
      </c>
      <c r="Z37" s="29"/>
      <c r="AA37" s="170">
        <v>2097590.48</v>
      </c>
      <c r="AB37" s="173">
        <v>0</v>
      </c>
      <c r="AC37" s="3">
        <f>SUM(AA37:AB37)</f>
        <v>2097590.48</v>
      </c>
      <c r="AE37" s="3">
        <v>2261056.2</v>
      </c>
      <c r="AF37" s="3">
        <v>0</v>
      </c>
      <c r="AG37" s="3">
        <f>SUM(AE37:AF37)</f>
        <v>2261056.2</v>
      </c>
      <c r="AI37" s="3">
        <v>1514110.37</v>
      </c>
      <c r="AJ37" s="3">
        <v>3191</v>
      </c>
      <c r="AK37" s="3">
        <f>SUM(AI37:AJ37)</f>
        <v>1517301.37</v>
      </c>
    </row>
    <row r="38" spans="1:37" ht="12.75">
      <c r="A38" s="1" t="s">
        <v>28</v>
      </c>
      <c r="B38" s="15">
        <v>787904</v>
      </c>
      <c r="C38" s="85">
        <v>890392</v>
      </c>
      <c r="D38" s="1">
        <v>779076</v>
      </c>
      <c r="E38" s="1">
        <v>858616</v>
      </c>
      <c r="F38" s="1">
        <v>933176</v>
      </c>
      <c r="G38" s="1">
        <v>748557</v>
      </c>
      <c r="H38" s="1">
        <v>1128373</v>
      </c>
      <c r="I38" s="1">
        <v>894983</v>
      </c>
      <c r="J38" s="1">
        <v>974063</v>
      </c>
      <c r="K38" s="1">
        <v>1155433.04</v>
      </c>
      <c r="L38" s="271">
        <f>(K38-J38)*100/J38</f>
        <v>18.61994963364793</v>
      </c>
      <c r="M38" s="271">
        <f>(K38-Y38)*100/Y38</f>
        <v>55.26800097829213</v>
      </c>
      <c r="N38" s="15">
        <v>348158</v>
      </c>
      <c r="O38" s="15">
        <v>292779</v>
      </c>
      <c r="P38" s="28">
        <v>406633</v>
      </c>
      <c r="Q38" s="28">
        <v>469013</v>
      </c>
      <c r="R38" s="28">
        <v>399569</v>
      </c>
      <c r="S38" s="28">
        <v>675290</v>
      </c>
      <c r="T38" s="28">
        <v>469003</v>
      </c>
      <c r="U38" s="28">
        <v>230867</v>
      </c>
      <c r="V38" s="28">
        <f>463840+4197</f>
        <v>468037</v>
      </c>
      <c r="W38" s="29">
        <f>475380+4467</f>
        <v>479847</v>
      </c>
      <c r="X38" s="38">
        <f>510056+4106</f>
        <v>514162</v>
      </c>
      <c r="Y38" s="15">
        <f>740924+3230</f>
        <v>744154</v>
      </c>
      <c r="Z38" s="29"/>
      <c r="AA38" s="170">
        <v>894596.42</v>
      </c>
      <c r="AB38" s="173">
        <v>386.51</v>
      </c>
      <c r="AC38" s="3">
        <f>SUM(AA38:AB38)</f>
        <v>894982.93</v>
      </c>
      <c r="AE38" s="3">
        <v>972667.07</v>
      </c>
      <c r="AF38" s="3">
        <v>1396.26</v>
      </c>
      <c r="AG38" s="3">
        <f>SUM(AE38:AF38)</f>
        <v>974063.33</v>
      </c>
      <c r="AI38" s="3">
        <v>1153209.43</v>
      </c>
      <c r="AJ38" s="3">
        <v>2223.61</v>
      </c>
      <c r="AK38" s="3">
        <f>SUM(AI38:AJ38)</f>
        <v>1155433.04</v>
      </c>
    </row>
    <row r="39" spans="1:37" ht="12.75">
      <c r="A39" s="18" t="s">
        <v>29</v>
      </c>
      <c r="B39" s="15">
        <v>380330</v>
      </c>
      <c r="C39" s="85">
        <v>359253</v>
      </c>
      <c r="D39" s="1">
        <v>40503</v>
      </c>
      <c r="E39" s="1">
        <v>349042</v>
      </c>
      <c r="F39" s="1">
        <v>336829</v>
      </c>
      <c r="G39" s="1">
        <v>373545</v>
      </c>
      <c r="H39" s="1">
        <v>502910</v>
      </c>
      <c r="I39" s="1">
        <v>462088</v>
      </c>
      <c r="J39" s="1">
        <v>596364</v>
      </c>
      <c r="K39" s="1">
        <v>496619.31</v>
      </c>
      <c r="L39" s="271">
        <f>(K39-J39)*100/J39</f>
        <v>-16.725471356419906</v>
      </c>
      <c r="M39" s="271">
        <f>(K39-Y39)*100/Y39</f>
        <v>39.419522465995705</v>
      </c>
      <c r="N39" s="15">
        <v>100647</v>
      </c>
      <c r="O39" s="15">
        <v>146331</v>
      </c>
      <c r="P39" s="28">
        <v>188313</v>
      </c>
      <c r="Q39" s="28">
        <v>188609</v>
      </c>
      <c r="R39" s="28">
        <v>212064</v>
      </c>
      <c r="S39" s="28">
        <v>277432</v>
      </c>
      <c r="T39" s="28">
        <v>269579</v>
      </c>
      <c r="U39" s="28">
        <v>310810</v>
      </c>
      <c r="V39" s="28">
        <f>389147+5636</f>
        <v>394783</v>
      </c>
      <c r="W39" s="29">
        <f>248351+2780</f>
        <v>251131</v>
      </c>
      <c r="X39" s="38">
        <f>270233+554</f>
        <v>270787</v>
      </c>
      <c r="Y39" s="15">
        <f>356168+37</f>
        <v>356205</v>
      </c>
      <c r="Z39" s="29"/>
      <c r="AA39" s="115">
        <v>461209.98</v>
      </c>
      <c r="AB39" s="115">
        <v>878.05</v>
      </c>
      <c r="AC39" s="3">
        <f>SUM(AA39:AB39)</f>
        <v>462088.02999999997</v>
      </c>
      <c r="AE39" s="3">
        <v>594861.99</v>
      </c>
      <c r="AF39" s="3">
        <v>1502.26</v>
      </c>
      <c r="AG39" s="3">
        <f>SUM(AE39:AF39)</f>
        <v>596364.25</v>
      </c>
      <c r="AI39" s="3">
        <v>496619.31</v>
      </c>
      <c r="AJ39" s="3">
        <v>0</v>
      </c>
      <c r="AK39" s="3">
        <f>SUM(AI39:AJ39)</f>
        <v>496619.31</v>
      </c>
    </row>
    <row r="40" spans="1:25" ht="12.75">
      <c r="A40" s="1" t="s">
        <v>247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19"/>
      <c r="Q40" s="19"/>
      <c r="R40" s="19"/>
      <c r="V40" s="19"/>
      <c r="Y40" s="20"/>
    </row>
    <row r="41" spans="1:25" ht="12.75">
      <c r="A41" s="91"/>
      <c r="Y41" s="15"/>
    </row>
    <row r="42" spans="1:25" ht="12.75">
      <c r="A42" s="3"/>
      <c r="P42" s="15"/>
      <c r="Q42" s="15"/>
      <c r="R42" s="15"/>
      <c r="V42" s="15"/>
      <c r="Y42" s="15"/>
    </row>
    <row r="43" spans="16:25" ht="12.75">
      <c r="P43" s="15"/>
      <c r="Q43" s="15"/>
      <c r="R43" s="15"/>
      <c r="V43" s="15"/>
      <c r="Y43" s="15"/>
    </row>
    <row r="44" spans="16:25" ht="12.75">
      <c r="P44" s="15"/>
      <c r="Q44" s="15"/>
      <c r="R44" s="15"/>
      <c r="V44" s="15"/>
      <c r="Y44" s="15"/>
    </row>
    <row r="45" spans="16:25" ht="12.75">
      <c r="P45" s="15"/>
      <c r="Q45" s="15"/>
      <c r="R45" s="15"/>
      <c r="V45" s="15"/>
      <c r="Y45" s="15"/>
    </row>
    <row r="46" spans="16:25" ht="12.75">
      <c r="P46" s="15"/>
      <c r="Q46" s="15"/>
      <c r="R46" s="15"/>
      <c r="V46" s="15"/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  <row r="53" ht="12.75">
      <c r="Y53" s="15"/>
    </row>
  </sheetData>
  <sheetProtection password="CAF5" sheet="1" objects="1" scenarios="1"/>
  <mergeCells count="4">
    <mergeCell ref="L7:M7"/>
    <mergeCell ref="AA6:AC6"/>
    <mergeCell ref="AE6:AG6"/>
    <mergeCell ref="AI6:AK6"/>
  </mergeCells>
  <printOptions/>
  <pageMargins left="0.56" right="0.54" top="1" bottom="1" header="0.5" footer="0.5"/>
  <pageSetup fitToHeight="1" fitToWidth="1" orientation="landscape" scale="85" r:id="rId1"/>
  <headerFooter alignWithMargins="0">
    <oddFooter>&amp;L&amp;"Lucida Sans,Italic"&amp;10MSDE-DBS  10 / 2007&amp;C- 13 -&amp;R&amp;"Lucida Sans,Italic"&amp;10Selected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workbookViewId="0" topLeftCell="AC1">
      <selection activeCell="AL16" sqref="AL16"/>
    </sheetView>
  </sheetViews>
  <sheetFormatPr defaultColWidth="9.00390625" defaultRowHeight="15.75"/>
  <cols>
    <col min="1" max="1" width="12.875" style="1" customWidth="1"/>
    <col min="2" max="8" width="12.625" style="1" customWidth="1"/>
    <col min="9" max="9" width="11.375" style="1" customWidth="1"/>
    <col min="10" max="10" width="10.75390625" style="1" customWidth="1"/>
    <col min="11" max="11" width="11.125" style="1" customWidth="1"/>
    <col min="12" max="12" width="7.375" style="1" customWidth="1"/>
    <col min="13" max="13" width="7.625" style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4.25390625" style="3" customWidth="1"/>
    <col min="27" max="29" width="10.125" style="3" customWidth="1"/>
    <col min="30" max="30" width="3.625" style="3" customWidth="1"/>
    <col min="31" max="38" width="10.125" style="3" customWidth="1"/>
    <col min="39" max="16384" width="10.00390625" style="3" customWidth="1"/>
  </cols>
  <sheetData>
    <row r="1" spans="1:25" s="32" customFormat="1" ht="15.75" customHeight="1">
      <c r="A1" s="124" t="s">
        <v>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1"/>
      <c r="O1" s="33"/>
      <c r="P1" s="33"/>
      <c r="Q1" s="33"/>
      <c r="V1" s="124"/>
      <c r="W1" s="124"/>
      <c r="X1" s="124"/>
      <c r="Y1" s="124"/>
    </row>
    <row r="2" spans="1:25" s="32" customFormat="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33"/>
      <c r="O2" s="33"/>
      <c r="P2" s="33"/>
      <c r="Q2" s="33"/>
      <c r="V2" s="124"/>
      <c r="W2" s="124"/>
      <c r="X2" s="124"/>
      <c r="Y2" s="124"/>
    </row>
    <row r="3" spans="1:25" s="32" customFormat="1" ht="12.75">
      <c r="A3" s="124" t="s">
        <v>231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2"/>
      <c r="O3" s="203"/>
      <c r="P3" s="203"/>
      <c r="Q3" s="203"/>
      <c r="R3" s="203"/>
      <c r="S3" s="203"/>
      <c r="T3" s="203"/>
      <c r="V3" s="124"/>
      <c r="W3" s="124"/>
      <c r="X3" s="124"/>
      <c r="Y3" s="124"/>
    </row>
    <row r="4" spans="1:25" s="32" customFormat="1" ht="12.75">
      <c r="A4" s="124" t="s">
        <v>223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1"/>
      <c r="O4" s="33"/>
      <c r="P4" s="33"/>
      <c r="Q4" s="33"/>
      <c r="V4" s="124"/>
      <c r="W4" s="124"/>
      <c r="X4" s="124"/>
      <c r="Y4" s="124"/>
    </row>
    <row r="5" spans="22:37" s="32" customFormat="1" ht="13.5" thickBot="1">
      <c r="V5" s="204"/>
      <c r="W5" s="35"/>
      <c r="X5" s="35"/>
      <c r="AA5" s="304" t="s">
        <v>208</v>
      </c>
      <c r="AB5" s="304"/>
      <c r="AC5" s="304"/>
      <c r="AE5" s="304" t="s">
        <v>209</v>
      </c>
      <c r="AF5" s="304"/>
      <c r="AG5" s="304"/>
      <c r="AI5" s="304" t="s">
        <v>261</v>
      </c>
      <c r="AJ5" s="304"/>
      <c r="AK5" s="304"/>
    </row>
    <row r="6" spans="1:36" s="32" customFormat="1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U6" s="34"/>
      <c r="V6" s="34"/>
      <c r="W6" s="34"/>
      <c r="X6" s="34"/>
      <c r="Y6" s="34"/>
      <c r="AA6" s="205" t="s">
        <v>143</v>
      </c>
      <c r="AB6" s="205" t="s">
        <v>165</v>
      </c>
      <c r="AE6" s="205" t="s">
        <v>143</v>
      </c>
      <c r="AF6" s="205" t="s">
        <v>165</v>
      </c>
      <c r="AI6" s="205" t="s">
        <v>143</v>
      </c>
      <c r="AJ6" s="205" t="s">
        <v>165</v>
      </c>
    </row>
    <row r="7" spans="1:36" s="32" customFormat="1" ht="12.75">
      <c r="A7" s="35"/>
      <c r="B7" s="35"/>
      <c r="C7" s="35"/>
      <c r="L7" s="304" t="s">
        <v>34</v>
      </c>
      <c r="M7" s="304"/>
      <c r="O7" s="35"/>
      <c r="P7" s="35"/>
      <c r="Q7" s="35"/>
      <c r="R7" s="35"/>
      <c r="U7" s="35"/>
      <c r="V7" s="35"/>
      <c r="W7" s="35"/>
      <c r="X7" s="35"/>
      <c r="Y7" s="35"/>
      <c r="AA7" s="41" t="s">
        <v>138</v>
      </c>
      <c r="AB7" s="31"/>
      <c r="AE7" s="41" t="s">
        <v>138</v>
      </c>
      <c r="AF7" s="31"/>
      <c r="AI7" s="41" t="s">
        <v>138</v>
      </c>
      <c r="AJ7" s="31"/>
    </row>
    <row r="8" spans="1:37" s="32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87</v>
      </c>
      <c r="M8" s="31" t="s">
        <v>88</v>
      </c>
      <c r="O8" s="35"/>
      <c r="P8" s="35"/>
      <c r="Q8" s="35"/>
      <c r="R8" s="35"/>
      <c r="U8" s="35"/>
      <c r="V8" s="35"/>
      <c r="W8" s="35"/>
      <c r="X8" s="35"/>
      <c r="Y8" s="35"/>
      <c r="AA8" s="41" t="s">
        <v>139</v>
      </c>
      <c r="AB8" s="41" t="s">
        <v>138</v>
      </c>
      <c r="AC8" s="111" t="s">
        <v>166</v>
      </c>
      <c r="AE8" s="41" t="s">
        <v>139</v>
      </c>
      <c r="AF8" s="41" t="s">
        <v>138</v>
      </c>
      <c r="AG8" s="111" t="s">
        <v>166</v>
      </c>
      <c r="AI8" s="41" t="s">
        <v>139</v>
      </c>
      <c r="AJ8" s="41" t="s">
        <v>138</v>
      </c>
      <c r="AK8" s="111" t="s">
        <v>166</v>
      </c>
    </row>
    <row r="9" spans="1:37" s="32" customFormat="1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42" t="s">
        <v>2</v>
      </c>
      <c r="O9" s="42" t="s">
        <v>35</v>
      </c>
      <c r="P9" s="42" t="s">
        <v>36</v>
      </c>
      <c r="Q9" s="42" t="s">
        <v>37</v>
      </c>
      <c r="R9" s="42" t="s">
        <v>38</v>
      </c>
      <c r="S9" s="42" t="s">
        <v>39</v>
      </c>
      <c r="T9" s="42" t="s">
        <v>40</v>
      </c>
      <c r="U9" s="42" t="s">
        <v>4</v>
      </c>
      <c r="V9" s="42" t="s">
        <v>47</v>
      </c>
      <c r="W9" s="36" t="s">
        <v>181</v>
      </c>
      <c r="X9" s="36" t="s">
        <v>182</v>
      </c>
      <c r="Y9" s="36" t="s">
        <v>183</v>
      </c>
      <c r="AA9" s="42" t="s">
        <v>140</v>
      </c>
      <c r="AB9" s="42" t="s">
        <v>141</v>
      </c>
      <c r="AC9" s="235" t="s">
        <v>114</v>
      </c>
      <c r="AE9" s="42" t="s">
        <v>140</v>
      </c>
      <c r="AF9" s="42" t="s">
        <v>141</v>
      </c>
      <c r="AG9" s="235" t="s">
        <v>114</v>
      </c>
      <c r="AI9" s="42" t="s">
        <v>140</v>
      </c>
      <c r="AJ9" s="42" t="s">
        <v>141</v>
      </c>
      <c r="AK9" s="235" t="s">
        <v>114</v>
      </c>
    </row>
    <row r="10" spans="1:39" s="32" customFormat="1" ht="12.75">
      <c r="A10" s="35" t="s">
        <v>5</v>
      </c>
      <c r="B10" s="37">
        <f aca="true" t="shared" si="0" ref="B10:K10">SUM(B12:B39)</f>
        <v>9368893</v>
      </c>
      <c r="C10" s="37">
        <f t="shared" si="0"/>
        <v>8691258</v>
      </c>
      <c r="D10" s="37">
        <f t="shared" si="0"/>
        <v>12578981</v>
      </c>
      <c r="E10" s="37">
        <f t="shared" si="0"/>
        <v>17957929</v>
      </c>
      <c r="F10" s="37">
        <f t="shared" si="0"/>
        <v>24167347</v>
      </c>
      <c r="G10" s="37">
        <f t="shared" si="0"/>
        <v>14545581</v>
      </c>
      <c r="H10" s="37">
        <f t="shared" si="0"/>
        <v>15420540</v>
      </c>
      <c r="I10" s="37">
        <f t="shared" si="0"/>
        <v>10931459</v>
      </c>
      <c r="J10" s="37">
        <f t="shared" si="0"/>
        <v>13729586</v>
      </c>
      <c r="K10" s="37">
        <f t="shared" si="0"/>
        <v>20428888.430000003</v>
      </c>
      <c r="L10" s="270">
        <f>(K10-J10)*100/J10</f>
        <v>48.79464267895626</v>
      </c>
      <c r="M10" s="270">
        <f>(K10-Y10)*100/Y10</f>
        <v>115.9311353596168</v>
      </c>
      <c r="N10" s="37">
        <f aca="true" t="shared" si="1" ref="N10:T10">SUM(N12:N39)</f>
        <v>4413633</v>
      </c>
      <c r="O10" s="37">
        <f t="shared" si="1"/>
        <v>5627928</v>
      </c>
      <c r="P10" s="37">
        <f t="shared" si="1"/>
        <v>6113711</v>
      </c>
      <c r="Q10" s="37">
        <f t="shared" si="1"/>
        <v>7223239</v>
      </c>
      <c r="R10" s="37">
        <f t="shared" si="1"/>
        <v>8226951</v>
      </c>
      <c r="S10" s="37">
        <f t="shared" si="1"/>
        <v>8443005</v>
      </c>
      <c r="T10" s="37">
        <f t="shared" si="1"/>
        <v>7208281</v>
      </c>
      <c r="U10" s="37">
        <f>SUM(U12:U39)</f>
        <v>6520003</v>
      </c>
      <c r="V10" s="37">
        <f>SUM(V12:V39)</f>
        <v>9685458</v>
      </c>
      <c r="W10" s="37">
        <f>SUM(W12:W39)</f>
        <v>8328978</v>
      </c>
      <c r="X10" s="37">
        <f>SUM(X12:X39)</f>
        <v>9451871</v>
      </c>
      <c r="Y10" s="37">
        <f>SUM(Y12:Y39)</f>
        <v>9460835</v>
      </c>
      <c r="AA10" s="112">
        <f>SUM(AA12:AA39)</f>
        <v>10810258.990000002</v>
      </c>
      <c r="AB10" s="112">
        <f>SUM(AB12:AB39)</f>
        <v>121200.00999999998</v>
      </c>
      <c r="AC10" s="32">
        <f>SUM(AA10:AB10)</f>
        <v>10931459.000000002</v>
      </c>
      <c r="AE10" s="112">
        <f>SUM(AE12:AE39)</f>
        <v>13686920.67</v>
      </c>
      <c r="AF10" s="112">
        <f>SUM(AF12:AF39)</f>
        <v>42665.33</v>
      </c>
      <c r="AG10" s="32">
        <f>SUM(AE10:AF10)</f>
        <v>13729586</v>
      </c>
      <c r="AI10" s="112">
        <f>SUM(AI12:AI39)</f>
        <v>20384570</v>
      </c>
      <c r="AJ10" s="112">
        <f>SUM(AJ12:AJ39)</f>
        <v>44318.43</v>
      </c>
      <c r="AK10" s="112">
        <f>SUM(AK12:AK39)</f>
        <v>20428888.430000003</v>
      </c>
      <c r="AM10" s="112"/>
    </row>
    <row r="11" spans="2:28" s="32" customFormat="1" ht="12.75">
      <c r="B11" s="38"/>
      <c r="M11" s="38"/>
      <c r="O11" s="38"/>
      <c r="R11" s="38"/>
      <c r="S11" s="38"/>
      <c r="Y11" s="38"/>
      <c r="AA11" s="113"/>
      <c r="AB11" s="35"/>
    </row>
    <row r="12" spans="1:39" s="32" customFormat="1" ht="12.75">
      <c r="A12" s="32" t="s">
        <v>6</v>
      </c>
      <c r="B12" s="38">
        <v>36306</v>
      </c>
      <c r="C12" s="85">
        <v>14526</v>
      </c>
      <c r="D12" s="32">
        <v>4798</v>
      </c>
      <c r="E12" s="32">
        <v>3460</v>
      </c>
      <c r="F12" s="32">
        <v>234399</v>
      </c>
      <c r="G12" s="32">
        <v>154068</v>
      </c>
      <c r="H12" s="32">
        <v>49271</v>
      </c>
      <c r="I12" s="32">
        <v>52424</v>
      </c>
      <c r="J12" s="32">
        <v>13997</v>
      </c>
      <c r="K12" s="32">
        <v>87525.45</v>
      </c>
      <c r="L12" s="270">
        <f>(K12-J12)*100/J12</f>
        <v>525.3157819532757</v>
      </c>
      <c r="M12" s="270">
        <f>(K12-Y12)*100/Y12</f>
        <v>154.97552946660065</v>
      </c>
      <c r="N12" s="38">
        <v>62283</v>
      </c>
      <c r="O12" s="38">
        <v>138205</v>
      </c>
      <c r="P12" s="38">
        <v>144714</v>
      </c>
      <c r="Q12" s="207">
        <v>296281</v>
      </c>
      <c r="R12" s="207">
        <v>214777</v>
      </c>
      <c r="S12" s="207">
        <v>131083</v>
      </c>
      <c r="T12" s="207">
        <v>79788</v>
      </c>
      <c r="U12" s="207">
        <v>76552</v>
      </c>
      <c r="V12" s="207">
        <v>50022</v>
      </c>
      <c r="W12" s="206">
        <v>38928</v>
      </c>
      <c r="X12" s="38">
        <v>39690</v>
      </c>
      <c r="Y12" s="38">
        <v>34327</v>
      </c>
      <c r="AA12" s="173">
        <v>52423.56</v>
      </c>
      <c r="AB12" s="100">
        <v>0</v>
      </c>
      <c r="AC12" s="32">
        <f>SUM(AA12:AB12)</f>
        <v>52423.56</v>
      </c>
      <c r="AE12" s="32">
        <v>13997</v>
      </c>
      <c r="AF12" s="32">
        <v>0</v>
      </c>
      <c r="AG12" s="32">
        <f>SUM(AE12:AF12)</f>
        <v>13997</v>
      </c>
      <c r="AI12" s="32">
        <v>87525.45</v>
      </c>
      <c r="AJ12" s="32">
        <v>0</v>
      </c>
      <c r="AK12" s="32">
        <f>SUM(AI12:AJ12)</f>
        <v>87525.45</v>
      </c>
      <c r="AM12" s="173"/>
    </row>
    <row r="13" spans="1:39" s="32" customFormat="1" ht="12.75">
      <c r="A13" s="32" t="s">
        <v>7</v>
      </c>
      <c r="B13" s="38">
        <v>501752</v>
      </c>
      <c r="C13" s="85">
        <v>674883</v>
      </c>
      <c r="D13" s="32">
        <v>487202</v>
      </c>
      <c r="E13" s="32">
        <v>1129721</v>
      </c>
      <c r="F13" s="32">
        <v>1099866</v>
      </c>
      <c r="G13" s="32">
        <v>937850</v>
      </c>
      <c r="H13" s="32">
        <v>1389130</v>
      </c>
      <c r="I13" s="32">
        <v>1084351</v>
      </c>
      <c r="J13" s="32">
        <v>928302</v>
      </c>
      <c r="K13" s="32">
        <v>942065.9</v>
      </c>
      <c r="L13" s="270">
        <f>(K13-J13)*100/J13</f>
        <v>1.48269636389882</v>
      </c>
      <c r="M13" s="270">
        <f>(K13-Y13)*100/Y13</f>
        <v>66.38952914350712</v>
      </c>
      <c r="N13" s="38">
        <v>466218</v>
      </c>
      <c r="O13" s="38">
        <v>490719</v>
      </c>
      <c r="P13" s="38">
        <v>530971</v>
      </c>
      <c r="Q13" s="207">
        <v>613527</v>
      </c>
      <c r="R13" s="207">
        <v>644514</v>
      </c>
      <c r="S13" s="207">
        <v>637725</v>
      </c>
      <c r="T13" s="207">
        <v>416195</v>
      </c>
      <c r="U13" s="207">
        <v>442113</v>
      </c>
      <c r="V13" s="207">
        <v>387552</v>
      </c>
      <c r="W13" s="206">
        <v>437794</v>
      </c>
      <c r="X13" s="38">
        <v>438135</v>
      </c>
      <c r="Y13" s="38">
        <v>566181</v>
      </c>
      <c r="AA13" s="173">
        <v>1084350.5</v>
      </c>
      <c r="AB13" s="100">
        <v>0</v>
      </c>
      <c r="AC13" s="32">
        <f>SUM(AA13:AB13)</f>
        <v>1084350.5</v>
      </c>
      <c r="AE13" s="32">
        <v>928301.56</v>
      </c>
      <c r="AF13" s="32">
        <v>0</v>
      </c>
      <c r="AG13" s="32">
        <f>SUM(AE13:AF13)</f>
        <v>928301.56</v>
      </c>
      <c r="AI13" s="32">
        <v>942065.9</v>
      </c>
      <c r="AJ13" s="32">
        <v>0</v>
      </c>
      <c r="AK13" s="32">
        <f>SUM(AI13:AJ13)</f>
        <v>942065.9</v>
      </c>
      <c r="AM13" s="173"/>
    </row>
    <row r="14" spans="1:39" s="32" customFormat="1" ht="12.75">
      <c r="A14" s="32" t="s">
        <v>8</v>
      </c>
      <c r="B14" s="38">
        <v>377402</v>
      </c>
      <c r="C14" s="85">
        <v>449107</v>
      </c>
      <c r="D14" s="32">
        <v>903955</v>
      </c>
      <c r="E14" s="32">
        <v>3486044</v>
      </c>
      <c r="F14" s="32">
        <v>327806</v>
      </c>
      <c r="G14" s="32">
        <v>156197</v>
      </c>
      <c r="H14" s="32">
        <v>92344</v>
      </c>
      <c r="I14" s="32">
        <v>455495</v>
      </c>
      <c r="J14" s="32">
        <v>0</v>
      </c>
      <c r="K14" s="32">
        <v>2693</v>
      </c>
      <c r="L14" s="277" t="s">
        <v>120</v>
      </c>
      <c r="M14" s="270">
        <f>(K14-Y14)*100/Y14</f>
        <v>-97.80555578190827</v>
      </c>
      <c r="N14" s="38">
        <v>321099</v>
      </c>
      <c r="O14" s="38">
        <v>359959</v>
      </c>
      <c r="P14" s="38">
        <v>270981</v>
      </c>
      <c r="Q14" s="207">
        <v>293488</v>
      </c>
      <c r="R14" s="207">
        <v>183413</v>
      </c>
      <c r="S14" s="207">
        <v>311511</v>
      </c>
      <c r="T14" s="207">
        <v>449506</v>
      </c>
      <c r="U14" s="207">
        <v>278445</v>
      </c>
      <c r="V14" s="207">
        <v>507837</v>
      </c>
      <c r="W14" s="206">
        <v>114560</v>
      </c>
      <c r="X14" s="38">
        <v>444093</v>
      </c>
      <c r="Y14" s="38">
        <v>122719</v>
      </c>
      <c r="AA14" s="173">
        <v>380390</v>
      </c>
      <c r="AB14" s="100">
        <v>75104.68</v>
      </c>
      <c r="AC14" s="32">
        <f>SUM(AA14:AB14)</f>
        <v>455494.68</v>
      </c>
      <c r="AE14" s="32">
        <v>0</v>
      </c>
      <c r="AF14" s="32">
        <v>0</v>
      </c>
      <c r="AG14" s="32">
        <f>SUM(AE14:AF14)</f>
        <v>0</v>
      </c>
      <c r="AI14" s="32">
        <v>0</v>
      </c>
      <c r="AJ14" s="32">
        <v>2693</v>
      </c>
      <c r="AK14" s="32">
        <f>SUM(AI14:AJ14)</f>
        <v>2693</v>
      </c>
      <c r="AM14" s="173"/>
    </row>
    <row r="15" spans="1:39" s="32" customFormat="1" ht="12.75">
      <c r="A15" s="32" t="s">
        <v>9</v>
      </c>
      <c r="B15" s="38">
        <v>193539</v>
      </c>
      <c r="C15" s="85">
        <v>396253</v>
      </c>
      <c r="D15" s="32">
        <v>1314080</v>
      </c>
      <c r="E15" s="32">
        <v>1233158</v>
      </c>
      <c r="F15" s="32">
        <v>11678704</v>
      </c>
      <c r="G15" s="32">
        <v>2210777</v>
      </c>
      <c r="H15" s="32">
        <v>2187597</v>
      </c>
      <c r="I15" s="32">
        <v>2229953</v>
      </c>
      <c r="J15" s="32">
        <v>2179497</v>
      </c>
      <c r="K15" s="32">
        <v>3825573.31</v>
      </c>
      <c r="L15" s="270">
        <f>(K15-J15)*100/J15</f>
        <v>75.52551391444906</v>
      </c>
      <c r="M15" s="270">
        <f>(K15-Y15)*100/Y15</f>
        <v>3642.709716868531</v>
      </c>
      <c r="N15" s="38">
        <v>205317</v>
      </c>
      <c r="O15" s="38">
        <v>492756</v>
      </c>
      <c r="P15" s="38">
        <v>556216</v>
      </c>
      <c r="Q15" s="207">
        <v>949437</v>
      </c>
      <c r="R15" s="207">
        <v>626812</v>
      </c>
      <c r="S15" s="207">
        <v>596915</v>
      </c>
      <c r="T15" s="207">
        <v>513842</v>
      </c>
      <c r="U15" s="207">
        <v>292973</v>
      </c>
      <c r="V15" s="207">
        <v>494486</v>
      </c>
      <c r="W15" s="206">
        <v>144266</v>
      </c>
      <c r="X15" s="38">
        <v>117513</v>
      </c>
      <c r="Y15" s="38">
        <v>102214</v>
      </c>
      <c r="AA15" s="173">
        <v>2226436.63</v>
      </c>
      <c r="AB15" s="100">
        <v>3516.84</v>
      </c>
      <c r="AC15" s="32">
        <f>SUM(AA15:AB15)</f>
        <v>2229953.4699999997</v>
      </c>
      <c r="AE15" s="32">
        <v>2179222.6</v>
      </c>
      <c r="AF15" s="32">
        <v>274.4</v>
      </c>
      <c r="AG15" s="32">
        <f>SUM(AE15:AF15)</f>
        <v>2179497</v>
      </c>
      <c r="AI15" s="32">
        <v>3825573.31</v>
      </c>
      <c r="AJ15" s="32">
        <v>0</v>
      </c>
      <c r="AK15" s="32">
        <f>SUM(AI15:AJ15)</f>
        <v>3825573.31</v>
      </c>
      <c r="AM15" s="173"/>
    </row>
    <row r="16" spans="1:39" s="32" customFormat="1" ht="12.75">
      <c r="A16" s="32" t="s">
        <v>10</v>
      </c>
      <c r="B16" s="38">
        <v>407637</v>
      </c>
      <c r="C16" s="85">
        <v>358252</v>
      </c>
      <c r="D16" s="32">
        <v>248851</v>
      </c>
      <c r="E16" s="32">
        <v>335798</v>
      </c>
      <c r="F16" s="32">
        <v>311758</v>
      </c>
      <c r="G16" s="32">
        <v>266847</v>
      </c>
      <c r="H16" s="32">
        <v>220102</v>
      </c>
      <c r="I16" s="32">
        <v>319352</v>
      </c>
      <c r="J16" s="32">
        <v>242165</v>
      </c>
      <c r="K16" s="32">
        <v>238596.86</v>
      </c>
      <c r="L16" s="270">
        <f>(K16-J16)*100/J16</f>
        <v>-1.4734334028451732</v>
      </c>
      <c r="M16" s="270">
        <f>(K16-Y16)*100/Y16</f>
        <v>-9.878769107576558</v>
      </c>
      <c r="N16" s="38">
        <v>100013</v>
      </c>
      <c r="O16" s="38">
        <v>110123</v>
      </c>
      <c r="P16" s="38">
        <v>125605</v>
      </c>
      <c r="Q16" s="207">
        <v>138653</v>
      </c>
      <c r="R16" s="207">
        <v>134985</v>
      </c>
      <c r="S16" s="207">
        <v>135287</v>
      </c>
      <c r="T16" s="207">
        <v>180945</v>
      </c>
      <c r="U16" s="207">
        <v>175586</v>
      </c>
      <c r="V16" s="207">
        <v>247062</v>
      </c>
      <c r="W16" s="206">
        <v>222524</v>
      </c>
      <c r="X16" s="38">
        <v>183137</v>
      </c>
      <c r="Y16" s="38">
        <v>264751</v>
      </c>
      <c r="AA16" s="173">
        <v>319351.58</v>
      </c>
      <c r="AB16" s="100">
        <v>0</v>
      </c>
      <c r="AC16" s="32">
        <f>SUM(AA16:AB16)</f>
        <v>319351.58</v>
      </c>
      <c r="AE16" s="32">
        <v>242164.51</v>
      </c>
      <c r="AF16" s="32">
        <v>0</v>
      </c>
      <c r="AG16" s="32">
        <f>SUM(AE16:AF16)</f>
        <v>242164.51</v>
      </c>
      <c r="AI16" s="32">
        <v>238596.86</v>
      </c>
      <c r="AJ16" s="32">
        <v>0</v>
      </c>
      <c r="AK16" s="32">
        <f>SUM(AI16:AJ16)</f>
        <v>238596.86</v>
      </c>
      <c r="AM16" s="173"/>
    </row>
    <row r="17" spans="2:39" s="32" customFormat="1" ht="12.75">
      <c r="B17" s="38"/>
      <c r="C17" s="85"/>
      <c r="L17" s="270"/>
      <c r="M17" s="270"/>
      <c r="N17" s="38"/>
      <c r="P17" s="38"/>
      <c r="Q17" s="207"/>
      <c r="R17" s="207"/>
      <c r="S17" s="207"/>
      <c r="T17" s="207"/>
      <c r="U17" s="207"/>
      <c r="V17" s="207"/>
      <c r="W17" s="206"/>
      <c r="X17" s="38"/>
      <c r="Y17" s="38"/>
      <c r="AA17" s="100"/>
      <c r="AB17" s="100"/>
      <c r="AM17" s="100"/>
    </row>
    <row r="18" spans="1:39" s="32" customFormat="1" ht="12.75">
      <c r="A18" s="32" t="s">
        <v>11</v>
      </c>
      <c r="B18" s="38">
        <v>40608</v>
      </c>
      <c r="C18" s="85">
        <v>48298</v>
      </c>
      <c r="D18" s="32">
        <v>88567</v>
      </c>
      <c r="E18" s="32">
        <v>94053</v>
      </c>
      <c r="F18" s="32">
        <v>117915</v>
      </c>
      <c r="G18" s="32">
        <v>92311</v>
      </c>
      <c r="H18" s="32">
        <v>98740</v>
      </c>
      <c r="I18" s="32">
        <v>95101</v>
      </c>
      <c r="J18" s="32">
        <v>91838</v>
      </c>
      <c r="K18" s="32">
        <v>82106.77</v>
      </c>
      <c r="L18" s="270">
        <f>(K18-J18)*100/J18</f>
        <v>-10.596082231755913</v>
      </c>
      <c r="M18" s="270">
        <f>(K18-Y18)*100/Y18</f>
        <v>93.86751511144693</v>
      </c>
      <c r="N18" s="38">
        <v>49743</v>
      </c>
      <c r="O18" s="38">
        <v>33828</v>
      </c>
      <c r="P18" s="38">
        <v>45606</v>
      </c>
      <c r="Q18" s="207">
        <v>30924</v>
      </c>
      <c r="R18" s="207">
        <v>38144</v>
      </c>
      <c r="S18" s="207">
        <v>36846</v>
      </c>
      <c r="T18" s="207">
        <v>38007</v>
      </c>
      <c r="U18" s="207">
        <v>36557</v>
      </c>
      <c r="V18" s="207">
        <v>44705</v>
      </c>
      <c r="W18" s="206">
        <v>41492</v>
      </c>
      <c r="X18" s="38">
        <v>45934</v>
      </c>
      <c r="Y18" s="38">
        <v>42352</v>
      </c>
      <c r="AA18" s="173">
        <v>95101.45</v>
      </c>
      <c r="AB18" s="100">
        <v>0</v>
      </c>
      <c r="AC18" s="32">
        <f>SUM(AA18:AB18)</f>
        <v>95101.45</v>
      </c>
      <c r="AE18" s="32">
        <v>91837.71</v>
      </c>
      <c r="AF18" s="32">
        <v>0</v>
      </c>
      <c r="AG18" s="32">
        <f>SUM(AE18:AF18)</f>
        <v>91837.71</v>
      </c>
      <c r="AI18" s="32">
        <v>82106.77</v>
      </c>
      <c r="AJ18" s="32">
        <v>0</v>
      </c>
      <c r="AK18" s="32">
        <f>SUM(AI18:AJ18)</f>
        <v>82106.77</v>
      </c>
      <c r="AM18" s="173"/>
    </row>
    <row r="19" spans="1:39" s="32" customFormat="1" ht="12.75">
      <c r="A19" s="32" t="s">
        <v>12</v>
      </c>
      <c r="B19" s="38">
        <v>514645</v>
      </c>
      <c r="C19" s="85">
        <v>248098</v>
      </c>
      <c r="D19" s="32">
        <v>276470</v>
      </c>
      <c r="E19" s="32">
        <v>446800</v>
      </c>
      <c r="F19" s="32">
        <v>700576</v>
      </c>
      <c r="G19" s="32">
        <v>627924</v>
      </c>
      <c r="H19" s="32">
        <v>729886</v>
      </c>
      <c r="I19" s="32">
        <v>489866</v>
      </c>
      <c r="J19" s="32">
        <v>454327</v>
      </c>
      <c r="K19" s="32">
        <v>1414838.41</v>
      </c>
      <c r="L19" s="270">
        <f>(K19-J19)*100/J19</f>
        <v>211.41411582406502</v>
      </c>
      <c r="M19" s="270">
        <f>(K19-Y19)*100/Y19</f>
        <v>267.2510674858728</v>
      </c>
      <c r="N19" s="38">
        <v>252454</v>
      </c>
      <c r="O19" s="38">
        <v>216336</v>
      </c>
      <c r="P19" s="38">
        <v>281435</v>
      </c>
      <c r="Q19" s="207">
        <v>268155</v>
      </c>
      <c r="R19" s="207">
        <v>222236</v>
      </c>
      <c r="S19" s="207">
        <v>353915</v>
      </c>
      <c r="T19" s="207">
        <v>367118</v>
      </c>
      <c r="U19" s="207">
        <v>283938</v>
      </c>
      <c r="V19" s="207">
        <f>379142+8438</f>
        <v>387580</v>
      </c>
      <c r="W19" s="206">
        <f>229618+1364</f>
        <v>230982</v>
      </c>
      <c r="X19" s="38">
        <f>271288+3945</f>
        <v>275233</v>
      </c>
      <c r="Y19" s="38">
        <f>378493+6758</f>
        <v>385251</v>
      </c>
      <c r="AA19" s="173">
        <v>489704.22</v>
      </c>
      <c r="AB19" s="170">
        <v>162.06</v>
      </c>
      <c r="AC19" s="32">
        <f>SUM(AA19:AB19)</f>
        <v>489866.27999999997</v>
      </c>
      <c r="AE19" s="32">
        <v>454220.75</v>
      </c>
      <c r="AF19" s="32">
        <v>106.41</v>
      </c>
      <c r="AG19" s="32">
        <f>SUM(AE19:AF19)</f>
        <v>454327.16</v>
      </c>
      <c r="AI19" s="32">
        <v>1413753.99</v>
      </c>
      <c r="AJ19" s="32">
        <v>1084.42</v>
      </c>
      <c r="AK19" s="32">
        <f>SUM(AI19:AJ19)</f>
        <v>1414838.41</v>
      </c>
      <c r="AM19" s="173"/>
    </row>
    <row r="20" spans="1:39" s="32" customFormat="1" ht="12.75">
      <c r="A20" s="32" t="s">
        <v>13</v>
      </c>
      <c r="B20" s="38">
        <v>164238</v>
      </c>
      <c r="C20" s="85">
        <v>191272</v>
      </c>
      <c r="D20" s="32">
        <v>294160</v>
      </c>
      <c r="E20" s="32">
        <v>240958</v>
      </c>
      <c r="F20" s="32">
        <v>243460</v>
      </c>
      <c r="G20" s="32">
        <v>271655</v>
      </c>
      <c r="H20" s="32">
        <v>298111</v>
      </c>
      <c r="I20" s="32">
        <v>210334</v>
      </c>
      <c r="J20" s="32">
        <v>157267</v>
      </c>
      <c r="K20" s="32">
        <v>161204.88</v>
      </c>
      <c r="L20" s="270">
        <f>(K20-J20)*100/J20</f>
        <v>2.503945519403311</v>
      </c>
      <c r="M20" s="270">
        <f>(K20-Y20)*100/Y20</f>
        <v>-4.522103766879884</v>
      </c>
      <c r="N20" s="38">
        <v>122868</v>
      </c>
      <c r="O20" s="38">
        <v>135731</v>
      </c>
      <c r="P20" s="38">
        <v>75317</v>
      </c>
      <c r="Q20" s="207">
        <v>231428</v>
      </c>
      <c r="R20" s="207">
        <v>258452</v>
      </c>
      <c r="S20" s="207">
        <v>207019</v>
      </c>
      <c r="T20" s="207">
        <v>214098</v>
      </c>
      <c r="U20" s="207">
        <v>268308</v>
      </c>
      <c r="V20" s="207">
        <v>194357</v>
      </c>
      <c r="W20" s="206">
        <v>148946</v>
      </c>
      <c r="X20" s="38">
        <v>151813</v>
      </c>
      <c r="Y20" s="38">
        <v>168840</v>
      </c>
      <c r="AA20" s="173">
        <v>210334.08</v>
      </c>
      <c r="AB20" s="100">
        <v>0</v>
      </c>
      <c r="AC20" s="32">
        <f>SUM(AA20:AB20)</f>
        <v>210334.08</v>
      </c>
      <c r="AE20" s="32">
        <v>157267.49</v>
      </c>
      <c r="AF20" s="32">
        <v>0</v>
      </c>
      <c r="AG20" s="32">
        <f>SUM(AE20:AF20)</f>
        <v>157267.49</v>
      </c>
      <c r="AI20" s="32">
        <v>161204.88</v>
      </c>
      <c r="AJ20" s="32">
        <v>0</v>
      </c>
      <c r="AK20" s="32">
        <f>SUM(AI20:AJ20)</f>
        <v>161204.88</v>
      </c>
      <c r="AM20" s="173"/>
    </row>
    <row r="21" spans="1:39" s="32" customFormat="1" ht="12.75">
      <c r="A21" s="32" t="s">
        <v>14</v>
      </c>
      <c r="B21" s="38">
        <v>704823</v>
      </c>
      <c r="C21" s="85">
        <v>148332</v>
      </c>
      <c r="D21" s="32">
        <v>262237</v>
      </c>
      <c r="E21" s="32">
        <v>352005</v>
      </c>
      <c r="F21" s="32">
        <v>302142</v>
      </c>
      <c r="G21" s="32">
        <v>394192</v>
      </c>
      <c r="H21" s="32">
        <v>329812</v>
      </c>
      <c r="I21" s="32">
        <v>317032</v>
      </c>
      <c r="J21" s="32">
        <v>536187</v>
      </c>
      <c r="K21" s="32">
        <v>510369.01</v>
      </c>
      <c r="L21" s="270">
        <f>(K21-J21)*100/J21</f>
        <v>-4.815109280903862</v>
      </c>
      <c r="M21" s="270">
        <f>(K21-Y21)*100/Y21</f>
        <v>129.95084862602334</v>
      </c>
      <c r="N21" s="38">
        <v>114196</v>
      </c>
      <c r="O21" s="38">
        <v>168500</v>
      </c>
      <c r="P21" s="38">
        <v>318700</v>
      </c>
      <c r="Q21" s="207">
        <v>325242</v>
      </c>
      <c r="R21" s="207">
        <v>323019</v>
      </c>
      <c r="S21" s="207">
        <v>399087</v>
      </c>
      <c r="T21" s="207">
        <v>337207</v>
      </c>
      <c r="U21" s="207">
        <v>165289</v>
      </c>
      <c r="V21" s="207">
        <v>427002</v>
      </c>
      <c r="W21" s="206">
        <f>281619+61101</f>
        <v>342720</v>
      </c>
      <c r="X21" s="38">
        <v>318345</v>
      </c>
      <c r="Y21" s="38">
        <v>221947</v>
      </c>
      <c r="AA21" s="173">
        <v>317032.45</v>
      </c>
      <c r="AB21" s="100">
        <v>0</v>
      </c>
      <c r="AC21" s="32">
        <f>SUM(AA21:AB21)</f>
        <v>317032.45</v>
      </c>
      <c r="AE21" s="32">
        <v>536186.78</v>
      </c>
      <c r="AF21" s="32">
        <v>0</v>
      </c>
      <c r="AG21" s="32">
        <f>SUM(AE21:AF21)</f>
        <v>536186.78</v>
      </c>
      <c r="AI21" s="32">
        <v>510369.01</v>
      </c>
      <c r="AJ21" s="32">
        <v>0</v>
      </c>
      <c r="AK21" s="32">
        <f>SUM(AI21:AJ21)</f>
        <v>510369.01</v>
      </c>
      <c r="AM21" s="173"/>
    </row>
    <row r="22" spans="1:39" s="32" customFormat="1" ht="12.75">
      <c r="A22" s="32" t="s">
        <v>15</v>
      </c>
      <c r="B22" s="38">
        <v>43893</v>
      </c>
      <c r="C22" s="85">
        <v>23077</v>
      </c>
      <c r="D22" s="32">
        <v>45862</v>
      </c>
      <c r="E22" s="32">
        <v>49352</v>
      </c>
      <c r="F22" s="32">
        <v>40251</v>
      </c>
      <c r="G22" s="32">
        <v>27181</v>
      </c>
      <c r="H22" s="32">
        <v>130614</v>
      </c>
      <c r="I22" s="32">
        <v>19945</v>
      </c>
      <c r="J22" s="32">
        <v>24437</v>
      </c>
      <c r="K22" s="32">
        <v>31651.19</v>
      </c>
      <c r="L22" s="270">
        <f>(K22-J22)*100/J22</f>
        <v>29.521586119409086</v>
      </c>
      <c r="M22" s="270">
        <f>(K22-Y22)*100/Y22</f>
        <v>22.617247123542395</v>
      </c>
      <c r="N22" s="38">
        <v>30520</v>
      </c>
      <c r="O22" s="38">
        <v>47799</v>
      </c>
      <c r="P22" s="38">
        <v>42012</v>
      </c>
      <c r="Q22" s="207">
        <v>38181</v>
      </c>
      <c r="R22" s="207">
        <v>26419</v>
      </c>
      <c r="S22" s="207">
        <v>36256</v>
      </c>
      <c r="T22" s="207">
        <v>29922</v>
      </c>
      <c r="U22" s="207">
        <v>27043</v>
      </c>
      <c r="V22" s="207">
        <v>29770</v>
      </c>
      <c r="W22" s="206">
        <v>42940</v>
      </c>
      <c r="X22" s="38">
        <f>20457+650</f>
        <v>21107</v>
      </c>
      <c r="Y22" s="38">
        <v>25813</v>
      </c>
      <c r="AA22" s="173">
        <v>19802</v>
      </c>
      <c r="AB22" s="173">
        <v>143</v>
      </c>
      <c r="AC22" s="32">
        <f>SUM(AA22:AB22)</f>
        <v>19945</v>
      </c>
      <c r="AE22" s="32">
        <v>24437</v>
      </c>
      <c r="AF22" s="32">
        <v>0</v>
      </c>
      <c r="AG22" s="32">
        <f>SUM(AE22:AF22)</f>
        <v>24437</v>
      </c>
      <c r="AI22" s="32">
        <v>31651.19</v>
      </c>
      <c r="AJ22" s="32">
        <v>0</v>
      </c>
      <c r="AK22" s="32">
        <f>SUM(AI22:AJ22)</f>
        <v>31651.19</v>
      </c>
      <c r="AM22" s="173"/>
    </row>
    <row r="23" spans="2:39" s="32" customFormat="1" ht="12.75">
      <c r="B23" s="38"/>
      <c r="C23" s="85"/>
      <c r="L23" s="270"/>
      <c r="M23" s="270"/>
      <c r="N23" s="38"/>
      <c r="P23" s="38"/>
      <c r="Q23" s="207"/>
      <c r="R23" s="207"/>
      <c r="S23" s="207"/>
      <c r="T23" s="207"/>
      <c r="U23" s="207"/>
      <c r="V23" s="207"/>
      <c r="W23" s="206"/>
      <c r="X23" s="38"/>
      <c r="Y23" s="38"/>
      <c r="AA23" s="100"/>
      <c r="AB23" s="173"/>
      <c r="AM23" s="249"/>
    </row>
    <row r="24" spans="1:39" s="32" customFormat="1" ht="12.75">
      <c r="A24" s="32" t="s">
        <v>16</v>
      </c>
      <c r="B24" s="38">
        <v>388406</v>
      </c>
      <c r="C24" s="85">
        <v>435263</v>
      </c>
      <c r="D24" s="32">
        <v>401672</v>
      </c>
      <c r="E24" s="32">
        <v>421917</v>
      </c>
      <c r="F24" s="32">
        <v>712565</v>
      </c>
      <c r="G24" s="32">
        <v>778301</v>
      </c>
      <c r="H24" s="32">
        <v>750717</v>
      </c>
      <c r="I24" s="32">
        <v>749301</v>
      </c>
      <c r="J24" s="32">
        <v>756594</v>
      </c>
      <c r="K24" s="32">
        <v>704042.29</v>
      </c>
      <c r="L24" s="270">
        <f>(K24-J24)*100/J24</f>
        <v>-6.945826956068904</v>
      </c>
      <c r="M24" s="270">
        <f>(K24-Y24)*100/Y24</f>
        <v>61.8655470106103</v>
      </c>
      <c r="N24" s="38">
        <v>312601</v>
      </c>
      <c r="O24" s="38">
        <v>193574</v>
      </c>
      <c r="P24" s="38">
        <v>242936</v>
      </c>
      <c r="Q24" s="207">
        <v>345800</v>
      </c>
      <c r="R24" s="207">
        <v>350019</v>
      </c>
      <c r="S24" s="207">
        <v>359865</v>
      </c>
      <c r="T24" s="207">
        <v>335891</v>
      </c>
      <c r="U24" s="207">
        <v>394574</v>
      </c>
      <c r="V24" s="207">
        <v>484306</v>
      </c>
      <c r="W24" s="206">
        <v>462051</v>
      </c>
      <c r="X24" s="38">
        <v>441347</v>
      </c>
      <c r="Y24" s="38">
        <v>434955</v>
      </c>
      <c r="AA24" s="173">
        <v>747359.49</v>
      </c>
      <c r="AB24" s="173">
        <v>1941.48</v>
      </c>
      <c r="AC24" s="32">
        <f>SUM(AA24:AB24)</f>
        <v>749300.97</v>
      </c>
      <c r="AE24" s="32">
        <v>754146.01</v>
      </c>
      <c r="AF24" s="32">
        <v>2448.21</v>
      </c>
      <c r="AG24" s="32">
        <f>SUM(AE24:AF24)</f>
        <v>756594.22</v>
      </c>
      <c r="AI24" s="32">
        <v>703517.29</v>
      </c>
      <c r="AJ24" s="32">
        <v>525</v>
      </c>
      <c r="AK24" s="32">
        <f>SUM(AI24:AJ24)</f>
        <v>704042.29</v>
      </c>
      <c r="AM24" s="173"/>
    </row>
    <row r="25" spans="1:39" s="32" customFormat="1" ht="12.75">
      <c r="A25" s="32" t="s">
        <v>17</v>
      </c>
      <c r="B25" s="38">
        <v>37971</v>
      </c>
      <c r="C25" s="85">
        <v>34690</v>
      </c>
      <c r="D25" s="32">
        <v>47579</v>
      </c>
      <c r="E25" s="32">
        <v>54609</v>
      </c>
      <c r="F25" s="32">
        <v>57360</v>
      </c>
      <c r="G25" s="32">
        <v>66130</v>
      </c>
      <c r="H25" s="32">
        <v>57997</v>
      </c>
      <c r="I25" s="32">
        <v>54038</v>
      </c>
      <c r="J25" s="32">
        <v>63474</v>
      </c>
      <c r="K25" s="32">
        <v>52462.31</v>
      </c>
      <c r="L25" s="270">
        <f>(K25-J25)*100/J25</f>
        <v>-17.34834735482245</v>
      </c>
      <c r="M25" s="270">
        <f>(K25-Y25)*100/Y25</f>
        <v>23.150962441314547</v>
      </c>
      <c r="N25" s="38">
        <v>21237</v>
      </c>
      <c r="O25" s="38">
        <v>36667</v>
      </c>
      <c r="P25" s="38">
        <v>44336</v>
      </c>
      <c r="Q25" s="207">
        <v>40266</v>
      </c>
      <c r="R25" s="207">
        <v>78239</v>
      </c>
      <c r="S25" s="207">
        <v>69133</v>
      </c>
      <c r="T25" s="207">
        <v>32859</v>
      </c>
      <c r="U25" s="207">
        <v>51931</v>
      </c>
      <c r="V25" s="207">
        <v>65391</v>
      </c>
      <c r="W25" s="206">
        <v>44245</v>
      </c>
      <c r="X25" s="38">
        <v>40572</v>
      </c>
      <c r="Y25" s="38">
        <v>42600</v>
      </c>
      <c r="AA25" s="173">
        <v>54037.91</v>
      </c>
      <c r="AB25" s="173">
        <v>0</v>
      </c>
      <c r="AC25" s="32">
        <f>SUM(AA25:AB25)</f>
        <v>54037.91</v>
      </c>
      <c r="AE25" s="32">
        <v>63474.47</v>
      </c>
      <c r="AF25" s="32">
        <v>0</v>
      </c>
      <c r="AG25" s="32">
        <f>SUM(AE25:AF25)</f>
        <v>63474.47</v>
      </c>
      <c r="AI25" s="32">
        <v>52462.31</v>
      </c>
      <c r="AJ25" s="32">
        <v>0</v>
      </c>
      <c r="AK25" s="32">
        <f>SUM(AI25:AJ25)</f>
        <v>52462.31</v>
      </c>
      <c r="AM25" s="173"/>
    </row>
    <row r="26" spans="1:39" s="32" customFormat="1" ht="12.75">
      <c r="A26" s="32" t="s">
        <v>18</v>
      </c>
      <c r="B26" s="38">
        <v>656666</v>
      </c>
      <c r="C26" s="85">
        <v>674740</v>
      </c>
      <c r="D26" s="32">
        <v>974172</v>
      </c>
      <c r="E26" s="32">
        <v>455787</v>
      </c>
      <c r="F26" s="32">
        <v>802437</v>
      </c>
      <c r="G26" s="32">
        <v>852613</v>
      </c>
      <c r="H26" s="32">
        <v>881475</v>
      </c>
      <c r="I26" s="32">
        <v>768170</v>
      </c>
      <c r="J26" s="32">
        <v>737838</v>
      </c>
      <c r="K26" s="32">
        <v>1043146.86</v>
      </c>
      <c r="L26" s="270">
        <f>(K26-J26)*100/J26</f>
        <v>41.37884738926431</v>
      </c>
      <c r="M26" s="270">
        <f>(K26-Y26)*100/Y26</f>
        <v>43.056740136920176</v>
      </c>
      <c r="N26" s="38">
        <v>373709</v>
      </c>
      <c r="O26" s="38">
        <v>378877</v>
      </c>
      <c r="P26" s="38">
        <v>339773</v>
      </c>
      <c r="Q26" s="207">
        <v>381207</v>
      </c>
      <c r="R26" s="207">
        <v>366661</v>
      </c>
      <c r="S26" s="207">
        <v>437517</v>
      </c>
      <c r="T26" s="207">
        <v>336207</v>
      </c>
      <c r="U26" s="207">
        <v>456938</v>
      </c>
      <c r="V26" s="207">
        <f>736663+30729</f>
        <v>767392</v>
      </c>
      <c r="W26" s="206">
        <f>1112470+39453</f>
        <v>1151923</v>
      </c>
      <c r="X26" s="38">
        <f>1069372+25854</f>
        <v>1095226</v>
      </c>
      <c r="Y26" s="38">
        <f>708195+20989</f>
        <v>729184</v>
      </c>
      <c r="AA26" s="173">
        <v>761788.98</v>
      </c>
      <c r="AB26" s="176">
        <v>6380.55</v>
      </c>
      <c r="AC26" s="32">
        <f>SUM(AA26:AB26)</f>
        <v>768169.53</v>
      </c>
      <c r="AE26" s="32">
        <v>725489.2</v>
      </c>
      <c r="AF26" s="32">
        <v>12348.75</v>
      </c>
      <c r="AG26" s="32">
        <f>SUM(AE26:AF26)</f>
        <v>737837.95</v>
      </c>
      <c r="AI26" s="32">
        <v>1034999.91</v>
      </c>
      <c r="AJ26" s="32">
        <v>8146.95</v>
      </c>
      <c r="AK26" s="32">
        <f>SUM(AI26:AJ26)</f>
        <v>1043146.86</v>
      </c>
      <c r="AM26" s="173"/>
    </row>
    <row r="27" spans="1:39" s="32" customFormat="1" ht="12.75">
      <c r="A27" s="32" t="s">
        <v>19</v>
      </c>
      <c r="B27" s="38">
        <v>1686294</v>
      </c>
      <c r="C27" s="85">
        <v>655977</v>
      </c>
      <c r="D27" s="32">
        <v>757612</v>
      </c>
      <c r="E27" s="32">
        <v>765790</v>
      </c>
      <c r="F27" s="32">
        <v>1581293</v>
      </c>
      <c r="G27" s="32">
        <v>1242751</v>
      </c>
      <c r="H27" s="32">
        <v>1502960</v>
      </c>
      <c r="I27" s="32">
        <v>1536377</v>
      </c>
      <c r="J27" s="32">
        <v>824266</v>
      </c>
      <c r="K27" s="32">
        <v>1406012.4</v>
      </c>
      <c r="L27" s="270">
        <f>(K27-J27)*100/J27</f>
        <v>70.57750774628578</v>
      </c>
      <c r="M27" s="270">
        <f>(K27-Y27)*100/Y27</f>
        <v>-6.587986895858489</v>
      </c>
      <c r="N27" s="38">
        <v>345433</v>
      </c>
      <c r="O27" s="38">
        <v>528914</v>
      </c>
      <c r="P27" s="38">
        <v>378864</v>
      </c>
      <c r="Q27" s="207">
        <v>411256</v>
      </c>
      <c r="R27" s="207">
        <v>473594</v>
      </c>
      <c r="S27" s="207">
        <v>613909</v>
      </c>
      <c r="T27" s="207">
        <v>7048</v>
      </c>
      <c r="U27" s="207">
        <v>630199</v>
      </c>
      <c r="V27" s="207">
        <f>1182898+4997</f>
        <v>1187895</v>
      </c>
      <c r="W27" s="206">
        <f>681425+6237</f>
        <v>687662</v>
      </c>
      <c r="X27" s="38">
        <f>1431185+11377</f>
        <v>1442562</v>
      </c>
      <c r="Y27" s="38">
        <f>1499554+5619</f>
        <v>1505173</v>
      </c>
      <c r="AA27" s="173">
        <v>1534464.66</v>
      </c>
      <c r="AB27" s="173">
        <v>1912.53</v>
      </c>
      <c r="AC27" s="32">
        <f>SUM(AA27:AB27)</f>
        <v>1536377.19</v>
      </c>
      <c r="AE27" s="32">
        <v>822325.32</v>
      </c>
      <c r="AF27" s="32">
        <v>1940.43</v>
      </c>
      <c r="AG27" s="32">
        <f>SUM(AE27:AF27)</f>
        <v>824265.75</v>
      </c>
      <c r="AI27" s="32">
        <v>1404604.09</v>
      </c>
      <c r="AJ27" s="32">
        <v>1408.31</v>
      </c>
      <c r="AK27" s="32">
        <f>SUM(AI27:AJ27)</f>
        <v>1406012.4000000001</v>
      </c>
      <c r="AM27" s="173"/>
    </row>
    <row r="28" spans="1:39" s="32" customFormat="1" ht="12.75">
      <c r="A28" s="32" t="s">
        <v>20</v>
      </c>
      <c r="B28" s="38">
        <v>926</v>
      </c>
      <c r="C28" s="85">
        <v>9154</v>
      </c>
      <c r="D28" s="32">
        <v>1058</v>
      </c>
      <c r="E28" s="32">
        <v>60082</v>
      </c>
      <c r="F28" s="32">
        <v>11353</v>
      </c>
      <c r="G28" s="32">
        <v>60162</v>
      </c>
      <c r="H28" s="32">
        <v>1500</v>
      </c>
      <c r="I28" s="32">
        <v>0</v>
      </c>
      <c r="J28" s="32">
        <v>0</v>
      </c>
      <c r="K28" s="32">
        <v>9541</v>
      </c>
      <c r="L28" s="277" t="s">
        <v>120</v>
      </c>
      <c r="M28" s="270">
        <f>(K28-Y28)*100/Y28</f>
        <v>-70.77078610379266</v>
      </c>
      <c r="N28" s="38">
        <v>27070</v>
      </c>
      <c r="O28" s="38">
        <v>28570</v>
      </c>
      <c r="P28" s="207">
        <v>34463</v>
      </c>
      <c r="Q28" s="207">
        <v>29475</v>
      </c>
      <c r="R28" s="207">
        <v>30427</v>
      </c>
      <c r="S28" s="207">
        <v>35716</v>
      </c>
      <c r="T28" s="207">
        <v>29384</v>
      </c>
      <c r="U28" s="207">
        <v>33101</v>
      </c>
      <c r="V28" s="207">
        <v>33854</v>
      </c>
      <c r="W28" s="206">
        <v>34126</v>
      </c>
      <c r="X28" s="38">
        <v>39969</v>
      </c>
      <c r="Y28" s="38">
        <v>32642</v>
      </c>
      <c r="AA28" s="173">
        <v>0</v>
      </c>
      <c r="AB28" s="100"/>
      <c r="AC28" s="32">
        <f>SUM(AA28:AB28)</f>
        <v>0</v>
      </c>
      <c r="AE28" s="32">
        <v>0</v>
      </c>
      <c r="AG28" s="32">
        <f>SUM(AE28:AF28)</f>
        <v>0</v>
      </c>
      <c r="AI28" s="32">
        <v>9541</v>
      </c>
      <c r="AK28" s="32">
        <f>SUM(AI28:AJ28)</f>
        <v>9541</v>
      </c>
      <c r="AM28" s="173"/>
    </row>
    <row r="29" spans="2:39" s="32" customFormat="1" ht="12.75">
      <c r="B29" s="38"/>
      <c r="C29" s="85"/>
      <c r="L29" s="270"/>
      <c r="M29" s="270"/>
      <c r="N29" s="38"/>
      <c r="O29" s="38"/>
      <c r="Q29" s="207"/>
      <c r="R29" s="207"/>
      <c r="S29" s="207"/>
      <c r="T29" s="207"/>
      <c r="U29" s="207"/>
      <c r="V29" s="207"/>
      <c r="W29" s="206"/>
      <c r="X29" s="38"/>
      <c r="Y29" s="38"/>
      <c r="AA29" s="100"/>
      <c r="AB29" s="100"/>
      <c r="AM29" s="249"/>
    </row>
    <row r="30" spans="1:39" s="32" customFormat="1" ht="12.75">
      <c r="A30" s="32" t="s">
        <v>21</v>
      </c>
      <c r="B30" s="38">
        <v>2186196</v>
      </c>
      <c r="C30" s="85">
        <v>2652522</v>
      </c>
      <c r="D30" s="32">
        <v>4127075</v>
      </c>
      <c r="E30" s="32">
        <v>4886583</v>
      </c>
      <c r="F30" s="32">
        <v>2886871</v>
      </c>
      <c r="G30" s="32">
        <v>3358750</v>
      </c>
      <c r="H30" s="32">
        <v>2672046</v>
      </c>
      <c r="I30" s="32">
        <v>26860</v>
      </c>
      <c r="J30" s="32">
        <v>2624577</v>
      </c>
      <c r="K30" s="32">
        <v>4406482.89</v>
      </c>
      <c r="L30" s="270">
        <f>(K30-J30)*100/J30</f>
        <v>67.89306962607688</v>
      </c>
      <c r="M30" s="270">
        <f>(K30-Y30)*100/Y30</f>
        <v>77.38314424870207</v>
      </c>
      <c r="N30" s="38">
        <v>686482</v>
      </c>
      <c r="O30" s="38">
        <v>1244798</v>
      </c>
      <c r="P30" s="207">
        <v>1429256</v>
      </c>
      <c r="Q30" s="207">
        <v>1608283</v>
      </c>
      <c r="R30" s="207">
        <v>3087089</v>
      </c>
      <c r="S30" s="207">
        <v>2561520</v>
      </c>
      <c r="T30" s="207">
        <v>2727806</v>
      </c>
      <c r="U30" s="207">
        <v>1911204</v>
      </c>
      <c r="V30" s="207">
        <f>2133613+27204</f>
        <v>2160817</v>
      </c>
      <c r="W30" s="206">
        <f>2197702+31115</f>
        <v>2228817</v>
      </c>
      <c r="X30" s="38">
        <f>2113387+33528</f>
        <v>2146915</v>
      </c>
      <c r="Y30" s="38">
        <f>2452468+31693</f>
        <v>2484161</v>
      </c>
      <c r="AA30" s="173">
        <v>0</v>
      </c>
      <c r="AB30" s="100">
        <v>26859.75</v>
      </c>
      <c r="AC30" s="32">
        <f>SUM(AA30:AB30)</f>
        <v>26859.75</v>
      </c>
      <c r="AE30" s="32">
        <v>2599421.92</v>
      </c>
      <c r="AF30" s="32">
        <v>25155.13</v>
      </c>
      <c r="AG30" s="32">
        <f>SUM(AE30:AF30)</f>
        <v>2624577.05</v>
      </c>
      <c r="AI30" s="32">
        <v>4376922.19</v>
      </c>
      <c r="AJ30" s="32">
        <v>29560.7</v>
      </c>
      <c r="AK30" s="32">
        <f>SUM(AI30:AJ30)</f>
        <v>4406482.890000001</v>
      </c>
      <c r="AM30" s="173"/>
    </row>
    <row r="31" spans="1:39" s="32" customFormat="1" ht="12.75">
      <c r="A31" s="32" t="s">
        <v>22</v>
      </c>
      <c r="B31" s="38">
        <v>630375</v>
      </c>
      <c r="C31" s="85">
        <v>640664</v>
      </c>
      <c r="D31" s="32">
        <v>1052345</v>
      </c>
      <c r="E31" s="32">
        <v>2587073</v>
      </c>
      <c r="F31" s="32">
        <v>1689013</v>
      </c>
      <c r="G31" s="32">
        <v>1642100</v>
      </c>
      <c r="H31" s="32">
        <v>2805440</v>
      </c>
      <c r="I31" s="32">
        <v>1285158</v>
      </c>
      <c r="J31" s="32">
        <v>2728000</v>
      </c>
      <c r="K31" s="32">
        <v>4287445.5</v>
      </c>
      <c r="L31" s="270">
        <f>(K31-J31)*100/J31</f>
        <v>57.16442448680352</v>
      </c>
      <c r="M31" s="270">
        <f>(K31-Y31)*100/Y31</f>
        <v>172.62570986914434</v>
      </c>
      <c r="N31" s="38">
        <v>234909</v>
      </c>
      <c r="O31" s="38">
        <v>371196</v>
      </c>
      <c r="P31" s="207">
        <v>468302</v>
      </c>
      <c r="Q31" s="207">
        <v>305388</v>
      </c>
      <c r="R31" s="207">
        <v>323055</v>
      </c>
      <c r="S31" s="207">
        <v>399076</v>
      </c>
      <c r="T31" s="207">
        <v>0</v>
      </c>
      <c r="U31" s="207">
        <v>306195</v>
      </c>
      <c r="V31" s="207">
        <v>1153256</v>
      </c>
      <c r="W31" s="206">
        <f>1081911-3</f>
        <v>1081908</v>
      </c>
      <c r="X31" s="38">
        <f>1087871+67</f>
        <v>1087938</v>
      </c>
      <c r="Y31" s="38">
        <f>1572536+113</f>
        <v>1572649</v>
      </c>
      <c r="AA31" s="173">
        <v>1285157.75</v>
      </c>
      <c r="AB31" s="100">
        <v>0</v>
      </c>
      <c r="AC31" s="32">
        <f>SUM(AA31:AB31)</f>
        <v>1285157.75</v>
      </c>
      <c r="AE31" s="32">
        <v>2728000.19</v>
      </c>
      <c r="AF31" s="32">
        <v>0</v>
      </c>
      <c r="AG31" s="32">
        <f>SUM(AE31:AF31)</f>
        <v>2728000.19</v>
      </c>
      <c r="AI31" s="32">
        <v>4287445.5</v>
      </c>
      <c r="AJ31" s="32">
        <v>0</v>
      </c>
      <c r="AK31" s="32">
        <f>SUM(AI31:AJ31)</f>
        <v>4287445.5</v>
      </c>
      <c r="AM31" s="173"/>
    </row>
    <row r="32" spans="1:39" s="32" customFormat="1" ht="12.75">
      <c r="A32" s="32" t="s">
        <v>23</v>
      </c>
      <c r="B32" s="38">
        <v>177704</v>
      </c>
      <c r="C32" s="85">
        <v>152291</v>
      </c>
      <c r="D32" s="32">
        <v>155156</v>
      </c>
      <c r="E32" s="32">
        <v>187841</v>
      </c>
      <c r="F32" s="32">
        <v>207919</v>
      </c>
      <c r="G32" s="32">
        <v>173510</v>
      </c>
      <c r="H32" s="32">
        <v>246770</v>
      </c>
      <c r="I32" s="32">
        <v>135410</v>
      </c>
      <c r="J32" s="32">
        <v>111970</v>
      </c>
      <c r="K32" s="32">
        <v>98461.66</v>
      </c>
      <c r="L32" s="270">
        <f>(K32-J32)*100/J32</f>
        <v>-12.064249352505131</v>
      </c>
      <c r="M32" s="270">
        <f>(K32-Y32)*100/Y32</f>
        <v>-46.0149791377675</v>
      </c>
      <c r="N32" s="38">
        <v>66526</v>
      </c>
      <c r="O32" s="38">
        <v>1</v>
      </c>
      <c r="P32" s="207">
        <v>93968</v>
      </c>
      <c r="Q32" s="207">
        <v>108102</v>
      </c>
      <c r="R32" s="207">
        <v>81982</v>
      </c>
      <c r="S32" s="207">
        <v>160056</v>
      </c>
      <c r="T32" s="207">
        <v>134115</v>
      </c>
      <c r="U32" s="207">
        <v>189152</v>
      </c>
      <c r="V32" s="207">
        <v>185749</v>
      </c>
      <c r="W32" s="206">
        <v>168377</v>
      </c>
      <c r="X32" s="38">
        <v>212752</v>
      </c>
      <c r="Y32" s="38">
        <v>182387</v>
      </c>
      <c r="AA32" s="173">
        <v>135409.88</v>
      </c>
      <c r="AB32" s="100">
        <v>0</v>
      </c>
      <c r="AC32" s="32">
        <f>SUM(AA32:AB32)</f>
        <v>135409.88</v>
      </c>
      <c r="AE32" s="32">
        <v>111970.26</v>
      </c>
      <c r="AF32" s="32">
        <v>0</v>
      </c>
      <c r="AG32" s="32">
        <f>SUM(AE32:AF32)</f>
        <v>111970.26</v>
      </c>
      <c r="AI32" s="32">
        <v>98461.66</v>
      </c>
      <c r="AJ32" s="32">
        <v>0</v>
      </c>
      <c r="AK32" s="32">
        <f>SUM(AI32:AJ32)</f>
        <v>98461.66</v>
      </c>
      <c r="AM32" s="173"/>
    </row>
    <row r="33" spans="1:39" s="32" customFormat="1" ht="12.75">
      <c r="A33" s="32" t="s">
        <v>24</v>
      </c>
      <c r="B33" s="38">
        <v>124381</v>
      </c>
      <c r="C33" s="85">
        <v>308582</v>
      </c>
      <c r="D33" s="32">
        <v>229198</v>
      </c>
      <c r="E33" s="32">
        <v>278553</v>
      </c>
      <c r="F33" s="32">
        <v>287904</v>
      </c>
      <c r="G33" s="32">
        <v>382804</v>
      </c>
      <c r="H33" s="32">
        <v>125442</v>
      </c>
      <c r="I33" s="32">
        <v>222486</v>
      </c>
      <c r="J33" s="32">
        <v>407030</v>
      </c>
      <c r="K33" s="32">
        <v>282843.64</v>
      </c>
      <c r="L33" s="270">
        <f>(K33-J33)*100/J33</f>
        <v>-30.51037024297963</v>
      </c>
      <c r="M33" s="270">
        <f>(K33-Y33)*100/Y33</f>
        <v>320.4602943362569</v>
      </c>
      <c r="N33" s="38">
        <v>190394</v>
      </c>
      <c r="O33" s="38">
        <v>225049</v>
      </c>
      <c r="P33" s="207">
        <v>188419</v>
      </c>
      <c r="Q33" s="207">
        <v>197708</v>
      </c>
      <c r="R33" s="207">
        <v>173163</v>
      </c>
      <c r="S33" s="207">
        <v>316928</v>
      </c>
      <c r="T33" s="207">
        <v>204470</v>
      </c>
      <c r="U33" s="207">
        <v>160980</v>
      </c>
      <c r="V33" s="207">
        <f>298272+1461</f>
        <v>299733</v>
      </c>
      <c r="W33" s="206">
        <f>166253+1704</f>
        <v>167957</v>
      </c>
      <c r="X33" s="38">
        <f>305412+1670</f>
        <v>307082</v>
      </c>
      <c r="Y33" s="38">
        <f>65974+1296</f>
        <v>67270</v>
      </c>
      <c r="AA33" s="173">
        <v>222486.18</v>
      </c>
      <c r="AB33" s="100">
        <v>0</v>
      </c>
      <c r="AC33" s="32">
        <f>SUM(AA33:AB33)</f>
        <v>222486.18</v>
      </c>
      <c r="AE33" s="32">
        <v>407030.24</v>
      </c>
      <c r="AF33" s="32">
        <v>0</v>
      </c>
      <c r="AG33" s="32">
        <f>SUM(AE33:AF33)</f>
        <v>407030.24</v>
      </c>
      <c r="AI33" s="32">
        <v>282843.64</v>
      </c>
      <c r="AJ33" s="32">
        <v>0</v>
      </c>
      <c r="AK33" s="32">
        <f>SUM(AI33:AJ33)</f>
        <v>282843.64</v>
      </c>
      <c r="AM33" s="173"/>
    </row>
    <row r="34" spans="1:39" s="32" customFormat="1" ht="12.75">
      <c r="A34" s="32" t="s">
        <v>25</v>
      </c>
      <c r="B34" s="38">
        <v>27626</v>
      </c>
      <c r="C34" s="85">
        <v>20506</v>
      </c>
      <c r="D34" s="32">
        <v>78225</v>
      </c>
      <c r="E34" s="32">
        <v>33742</v>
      </c>
      <c r="F34" s="32">
        <v>41152</v>
      </c>
      <c r="G34" s="32">
        <v>28744</v>
      </c>
      <c r="H34" s="32">
        <v>32538</v>
      </c>
      <c r="I34" s="32">
        <v>43651</v>
      </c>
      <c r="J34" s="32">
        <v>45547</v>
      </c>
      <c r="K34" s="32">
        <v>42700.35</v>
      </c>
      <c r="L34" s="270">
        <f>(K34-J34)*100/J34</f>
        <v>-6.24991766746438</v>
      </c>
      <c r="M34" s="270">
        <f>(K34-Y34)*100/Y34</f>
        <v>288.856661506238</v>
      </c>
      <c r="N34" s="38">
        <v>17226</v>
      </c>
      <c r="O34" s="38">
        <v>18143</v>
      </c>
      <c r="P34" s="207">
        <v>17439</v>
      </c>
      <c r="Q34" s="207">
        <v>19340</v>
      </c>
      <c r="R34" s="207">
        <v>12505</v>
      </c>
      <c r="S34" s="207">
        <v>12129</v>
      </c>
      <c r="T34" s="207">
        <v>12592</v>
      </c>
      <c r="U34" s="207">
        <v>8618</v>
      </c>
      <c r="V34" s="207">
        <f>18922+758</f>
        <v>19680</v>
      </c>
      <c r="W34" s="206">
        <f>14513+378</f>
        <v>14891</v>
      </c>
      <c r="X34" s="38">
        <v>15592</v>
      </c>
      <c r="Y34" s="38">
        <v>10981</v>
      </c>
      <c r="AA34" s="173">
        <v>43650.96</v>
      </c>
      <c r="AB34" s="100">
        <v>0</v>
      </c>
      <c r="AC34" s="32">
        <f>SUM(AA34:AB34)</f>
        <v>43650.96</v>
      </c>
      <c r="AE34" s="32">
        <v>45546.81</v>
      </c>
      <c r="AF34" s="32">
        <v>0</v>
      </c>
      <c r="AG34" s="32">
        <f>SUM(AE34:AF34)</f>
        <v>45546.81</v>
      </c>
      <c r="AI34" s="32">
        <v>42700.35</v>
      </c>
      <c r="AJ34" s="32">
        <v>0</v>
      </c>
      <c r="AK34" s="32">
        <f>SUM(AI34:AJ34)</f>
        <v>42700.35</v>
      </c>
      <c r="AM34" s="173"/>
    </row>
    <row r="35" spans="2:39" s="32" customFormat="1" ht="12.75">
      <c r="B35" s="38"/>
      <c r="C35" s="85"/>
      <c r="L35" s="270"/>
      <c r="M35" s="270"/>
      <c r="O35" s="38"/>
      <c r="P35" s="207"/>
      <c r="Q35" s="207"/>
      <c r="R35" s="207"/>
      <c r="S35" s="207"/>
      <c r="T35" s="207"/>
      <c r="U35" s="207"/>
      <c r="V35" s="207"/>
      <c r="W35" s="206"/>
      <c r="X35" s="38"/>
      <c r="Y35" s="38"/>
      <c r="AA35" s="100"/>
      <c r="AB35" s="100"/>
      <c r="AM35" s="286"/>
    </row>
    <row r="36" spans="1:39" s="32" customFormat="1" ht="12.75">
      <c r="A36" s="32" t="s">
        <v>26</v>
      </c>
      <c r="B36" s="38">
        <v>37797</v>
      </c>
      <c r="C36" s="85">
        <v>43183</v>
      </c>
      <c r="D36" s="32">
        <v>92725</v>
      </c>
      <c r="E36" s="32">
        <v>38242</v>
      </c>
      <c r="F36" s="32">
        <v>77368</v>
      </c>
      <c r="G36" s="32">
        <v>79442</v>
      </c>
      <c r="H36" s="32">
        <v>51054</v>
      </c>
      <c r="I36" s="32">
        <v>40078</v>
      </c>
      <c r="J36" s="32">
        <v>40905</v>
      </c>
      <c r="K36" s="32">
        <v>34115.19</v>
      </c>
      <c r="L36" s="270">
        <f>(K36-J36)*100/J36</f>
        <v>-16.598973230656394</v>
      </c>
      <c r="M36" s="270">
        <f>(K36-Y36)*100/Y36</f>
        <v>0.23561040105774153</v>
      </c>
      <c r="N36" s="38">
        <v>60663</v>
      </c>
      <c r="O36" s="38">
        <v>62051</v>
      </c>
      <c r="P36" s="207">
        <v>52640</v>
      </c>
      <c r="Q36" s="207">
        <v>99868</v>
      </c>
      <c r="R36" s="207">
        <v>43448</v>
      </c>
      <c r="S36" s="207">
        <v>45408</v>
      </c>
      <c r="T36" s="207">
        <v>54945</v>
      </c>
      <c r="U36" s="207">
        <v>4957</v>
      </c>
      <c r="V36" s="207">
        <v>20950</v>
      </c>
      <c r="W36" s="206">
        <v>38430</v>
      </c>
      <c r="X36" s="38">
        <v>52103</v>
      </c>
      <c r="Y36" s="38">
        <v>34035</v>
      </c>
      <c r="AA36" s="173">
        <v>36063.17</v>
      </c>
      <c r="AB36" s="100">
        <v>4015</v>
      </c>
      <c r="AC36" s="32">
        <f>SUM(AA36:AB36)</f>
        <v>40078.17</v>
      </c>
      <c r="AE36" s="32">
        <v>40905.01</v>
      </c>
      <c r="AF36" s="32">
        <v>0</v>
      </c>
      <c r="AG36" s="32">
        <f>SUM(AE36:AF36)</f>
        <v>40905.01</v>
      </c>
      <c r="AI36" s="32">
        <v>34115.19</v>
      </c>
      <c r="AJ36" s="32">
        <v>0</v>
      </c>
      <c r="AK36" s="32">
        <f>SUM(AI36:AJ36)</f>
        <v>34115.19</v>
      </c>
      <c r="AM36" s="100"/>
    </row>
    <row r="37" spans="1:39" s="32" customFormat="1" ht="12.75">
      <c r="A37" s="32" t="s">
        <v>27</v>
      </c>
      <c r="B37" s="38">
        <v>250241</v>
      </c>
      <c r="C37" s="85">
        <v>279258</v>
      </c>
      <c r="D37" s="32">
        <v>349303</v>
      </c>
      <c r="E37" s="32">
        <v>408119</v>
      </c>
      <c r="F37" s="32">
        <v>371637</v>
      </c>
      <c r="G37" s="32">
        <v>347364</v>
      </c>
      <c r="H37" s="32">
        <v>347986</v>
      </c>
      <c r="I37" s="32">
        <v>410297</v>
      </c>
      <c r="J37" s="32">
        <v>418305</v>
      </c>
      <c r="K37" s="32">
        <v>406809.66</v>
      </c>
      <c r="L37" s="270">
        <f>(K37-J37)*100/J37</f>
        <v>-2.7480761645211094</v>
      </c>
      <c r="M37" s="270">
        <f>(K37-Y37)*100/Y37</f>
        <v>62.3342617717478</v>
      </c>
      <c r="N37" s="38">
        <v>154546</v>
      </c>
      <c r="O37" s="38">
        <v>150943</v>
      </c>
      <c r="P37" s="207">
        <v>199366</v>
      </c>
      <c r="Q37" s="207">
        <v>207246</v>
      </c>
      <c r="R37" s="207">
        <v>223549</v>
      </c>
      <c r="S37" s="207">
        <v>267279</v>
      </c>
      <c r="T37" s="207">
        <v>245866</v>
      </c>
      <c r="U37" s="207">
        <v>173419</v>
      </c>
      <c r="V37" s="207">
        <v>201023</v>
      </c>
      <c r="W37" s="206">
        <v>240233</v>
      </c>
      <c r="X37" s="38">
        <f>294216+884</f>
        <v>295100</v>
      </c>
      <c r="Y37" s="38">
        <f>249785+815</f>
        <v>250600</v>
      </c>
      <c r="AA37" s="173">
        <v>409329</v>
      </c>
      <c r="AB37" s="173">
        <v>968</v>
      </c>
      <c r="AC37" s="32">
        <f>SUM(AA37:AB37)</f>
        <v>410297</v>
      </c>
      <c r="AE37" s="32">
        <v>417913</v>
      </c>
      <c r="AF37" s="32">
        <v>392</v>
      </c>
      <c r="AG37" s="32">
        <f>SUM(AE37:AF37)</f>
        <v>418305</v>
      </c>
      <c r="AI37" s="32">
        <v>405909.61</v>
      </c>
      <c r="AJ37" s="32">
        <v>900.05</v>
      </c>
      <c r="AK37" s="32">
        <f>SUM(AI37:AJ37)</f>
        <v>406809.66</v>
      </c>
      <c r="AM37" s="173"/>
    </row>
    <row r="38" spans="1:39" s="32" customFormat="1" ht="12.75">
      <c r="A38" s="32" t="s">
        <v>28</v>
      </c>
      <c r="B38" s="38">
        <v>74190</v>
      </c>
      <c r="C38" s="85">
        <v>126472</v>
      </c>
      <c r="D38" s="32">
        <v>225399</v>
      </c>
      <c r="E38" s="32">
        <v>243876</v>
      </c>
      <c r="F38" s="32">
        <v>229167</v>
      </c>
      <c r="G38" s="32">
        <v>235172</v>
      </c>
      <c r="H38" s="32">
        <v>229765</v>
      </c>
      <c r="I38" s="32">
        <v>227842</v>
      </c>
      <c r="J38" s="32">
        <v>235605</v>
      </c>
      <c r="K38" s="32">
        <v>236401.9</v>
      </c>
      <c r="L38" s="270">
        <f>(K38-J38)*100/J38</f>
        <v>0.3382356062052988</v>
      </c>
      <c r="M38" s="270">
        <f>(K38-Y38)*100/Y38</f>
        <v>197.24497365807045</v>
      </c>
      <c r="N38" s="38">
        <v>142447</v>
      </c>
      <c r="O38" s="38">
        <v>141851</v>
      </c>
      <c r="P38" s="207">
        <v>168467</v>
      </c>
      <c r="Q38" s="207">
        <v>183889</v>
      </c>
      <c r="R38" s="207">
        <v>208756</v>
      </c>
      <c r="S38" s="207">
        <v>222621</v>
      </c>
      <c r="T38" s="207">
        <v>356605</v>
      </c>
      <c r="U38" s="207">
        <v>55760</v>
      </c>
      <c r="V38" s="207">
        <f>207881+1796</f>
        <v>209677</v>
      </c>
      <c r="W38" s="206">
        <f>124302+1631</f>
        <v>125933</v>
      </c>
      <c r="X38" s="38">
        <f>116343+1777</f>
        <v>118120</v>
      </c>
      <c r="Y38" s="38">
        <f>77870+1661</f>
        <v>79531</v>
      </c>
      <c r="AA38" s="173">
        <v>227842.18</v>
      </c>
      <c r="AB38" s="100">
        <v>0</v>
      </c>
      <c r="AC38" s="32">
        <f>SUM(AA38:AB38)</f>
        <v>227842.18</v>
      </c>
      <c r="AE38" s="32">
        <v>235604.94</v>
      </c>
      <c r="AF38" s="32">
        <v>0</v>
      </c>
      <c r="AG38" s="32">
        <f>SUM(AE38:AF38)</f>
        <v>235604.94</v>
      </c>
      <c r="AI38" s="32">
        <v>236401.9</v>
      </c>
      <c r="AJ38" s="32">
        <v>0</v>
      </c>
      <c r="AK38" s="32">
        <f>SUM(AI38:AJ38)</f>
        <v>236401.9</v>
      </c>
      <c r="AM38" s="173"/>
    </row>
    <row r="39" spans="1:39" s="32" customFormat="1" ht="12.75">
      <c r="A39" s="44" t="s">
        <v>29</v>
      </c>
      <c r="B39" s="38">
        <v>105277</v>
      </c>
      <c r="C39" s="85">
        <v>105858</v>
      </c>
      <c r="D39" s="32">
        <v>161280</v>
      </c>
      <c r="E39" s="32">
        <v>164366</v>
      </c>
      <c r="F39" s="32">
        <v>154431</v>
      </c>
      <c r="G39" s="32">
        <v>158736</v>
      </c>
      <c r="H39" s="32">
        <v>189243</v>
      </c>
      <c r="I39" s="32">
        <v>157938</v>
      </c>
      <c r="J39" s="32">
        <v>107458</v>
      </c>
      <c r="K39" s="32">
        <v>121798</v>
      </c>
      <c r="L39" s="270">
        <f>(K39-J39)*100/J39</f>
        <v>13.344748645982616</v>
      </c>
      <c r="M39" s="270">
        <f>(K39-Y39)*100/Y39</f>
        <v>21.46760810595181</v>
      </c>
      <c r="N39" s="38">
        <v>55679</v>
      </c>
      <c r="O39" s="38">
        <v>53338</v>
      </c>
      <c r="P39" s="207">
        <v>63925</v>
      </c>
      <c r="Q39" s="207">
        <v>100095</v>
      </c>
      <c r="R39" s="207">
        <v>101693</v>
      </c>
      <c r="S39" s="207">
        <v>96204</v>
      </c>
      <c r="T39" s="207">
        <v>103865</v>
      </c>
      <c r="U39" s="207">
        <v>96171</v>
      </c>
      <c r="V39" s="207">
        <f>125083+279</f>
        <v>125362</v>
      </c>
      <c r="W39" s="206">
        <f>116387+886</f>
        <v>117273</v>
      </c>
      <c r="X39" s="38">
        <f>120573+1020</f>
        <v>121593</v>
      </c>
      <c r="Y39" s="38">
        <f>97650+2622</f>
        <v>100272</v>
      </c>
      <c r="AA39" s="177">
        <v>157742.36</v>
      </c>
      <c r="AB39" s="115">
        <v>196.12</v>
      </c>
      <c r="AC39" s="32">
        <f>SUM(AA39:AB39)</f>
        <v>157938.47999999998</v>
      </c>
      <c r="AE39" s="32">
        <v>107457.9</v>
      </c>
      <c r="AF39" s="32">
        <v>0</v>
      </c>
      <c r="AG39" s="32">
        <f>SUM(AE39:AF39)</f>
        <v>107457.9</v>
      </c>
      <c r="AI39" s="32">
        <v>121798</v>
      </c>
      <c r="AJ39" s="32">
        <v>0</v>
      </c>
      <c r="AK39" s="32">
        <f>SUM(AI39:AJ39)</f>
        <v>121798</v>
      </c>
      <c r="AM39" s="177"/>
    </row>
    <row r="40" spans="1:28" s="32" customFormat="1" ht="12.75">
      <c r="A40" s="32" t="s">
        <v>248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V40" s="39"/>
      <c r="W40" s="35"/>
      <c r="X40" s="35"/>
      <c r="Y40" s="39"/>
      <c r="AB40" s="100"/>
    </row>
    <row r="41" spans="1:28" s="32" customFormat="1" ht="12.75">
      <c r="A41" s="91" t="s">
        <v>249</v>
      </c>
      <c r="AB41" s="100"/>
    </row>
    <row r="42" spans="15:17" s="32" customFormat="1" ht="12.75">
      <c r="O42" s="38"/>
      <c r="P42" s="38"/>
      <c r="Q42" s="38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mergeCells count="4">
    <mergeCell ref="L7:M7"/>
    <mergeCell ref="AA5:AC5"/>
    <mergeCell ref="AE5:AG5"/>
    <mergeCell ref="AI5:AK5"/>
  </mergeCells>
  <printOptions/>
  <pageMargins left="0.49" right="0.47" top="1" bottom="0.9" header="0.5" footer="0.5"/>
  <pageSetup fitToHeight="1" fitToWidth="1" orientation="landscape" scale="80" r:id="rId1"/>
  <headerFooter alignWithMargins="0">
    <oddHeader>&amp;R&amp;10
</oddHeader>
    <oddFooter>&amp;L&amp;"Lucida Sans,Italic"&amp;10MSDE-DBS 12 / 2007&amp;C- 14 -&amp;R&amp;"Lucida Sans,Italic"&amp;10Selected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workbookViewId="0" topLeftCell="AF1">
      <selection activeCell="K11" sqref="K11"/>
    </sheetView>
  </sheetViews>
  <sheetFormatPr defaultColWidth="9.00390625" defaultRowHeight="15.75"/>
  <cols>
    <col min="1" max="1" width="17.50390625" style="32" customWidth="1"/>
    <col min="2" max="9" width="12.625" style="32" customWidth="1"/>
    <col min="10" max="11" width="11.375" style="32" customWidth="1"/>
    <col min="12" max="12" width="8.375" style="32" customWidth="1"/>
    <col min="13" max="13" width="6.625" style="32" customWidth="1"/>
    <col min="14" max="14" width="9.625" style="32" customWidth="1"/>
    <col min="15" max="15" width="8.625" style="32" bestFit="1" customWidth="1"/>
    <col min="16" max="21" width="10.125" style="32" customWidth="1"/>
    <col min="22" max="22" width="12.50390625" style="32" customWidth="1"/>
    <col min="23" max="23" width="12.875" style="32" customWidth="1"/>
    <col min="24" max="25" width="12.625" style="32" customWidth="1"/>
    <col min="26" max="26" width="3.125" style="32" customWidth="1"/>
    <col min="27" max="27" width="13.00390625" style="32" customWidth="1"/>
    <col min="28" max="34" width="10.125" style="32" customWidth="1"/>
    <col min="35" max="35" width="11.50390625" style="32" customWidth="1"/>
    <col min="36" max="36" width="12.75390625" style="32" customWidth="1"/>
    <col min="37" max="41" width="10.125" style="32" customWidth="1"/>
    <col min="42" max="16384" width="10.00390625" style="32" customWidth="1"/>
  </cols>
  <sheetData>
    <row r="1" spans="1:25" ht="15.75" customHeight="1">
      <c r="A1" s="124" t="s">
        <v>100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03"/>
      <c r="O1" s="31"/>
      <c r="Q1" s="33"/>
      <c r="R1" s="33"/>
      <c r="S1" s="33"/>
      <c r="V1" s="124"/>
      <c r="W1" s="124"/>
      <c r="X1" s="124"/>
      <c r="Y1" s="124"/>
    </row>
    <row r="2" spans="1:25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03"/>
      <c r="O2" s="33"/>
      <c r="Q2" s="33"/>
      <c r="R2" s="33"/>
      <c r="S2" s="33"/>
      <c r="V2" s="124"/>
      <c r="W2" s="124"/>
      <c r="X2" s="124"/>
      <c r="Y2" s="124"/>
    </row>
    <row r="3" spans="1:25" ht="12.75">
      <c r="A3" s="124" t="s">
        <v>250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203"/>
      <c r="O3" s="31"/>
      <c r="Q3" s="33"/>
      <c r="R3" s="33"/>
      <c r="S3" s="33"/>
      <c r="V3" s="124"/>
      <c r="W3" s="124"/>
      <c r="X3" s="124"/>
      <c r="Y3" s="124"/>
    </row>
    <row r="4" spans="1:25" ht="12.75">
      <c r="A4" s="312" t="s">
        <v>223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203"/>
      <c r="O4" s="31"/>
      <c r="Q4" s="33"/>
      <c r="R4" s="33"/>
      <c r="S4" s="33"/>
      <c r="V4" s="124"/>
      <c r="W4" s="124"/>
      <c r="X4" s="124"/>
      <c r="Y4" s="124"/>
    </row>
    <row r="5" spans="20:35" ht="13.5" thickBot="1">
      <c r="T5" s="204"/>
      <c r="AA5" s="313" t="s">
        <v>188</v>
      </c>
      <c r="AB5" s="313"/>
      <c r="AC5" s="313"/>
      <c r="AE5" s="313" t="s">
        <v>210</v>
      </c>
      <c r="AF5" s="313"/>
      <c r="AG5" s="313"/>
      <c r="AI5" s="32" t="s">
        <v>228</v>
      </c>
    </row>
    <row r="6" spans="1:36" ht="13.5" thickTop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T6" s="34"/>
      <c r="U6" s="34"/>
      <c r="V6" s="34"/>
      <c r="W6" s="34"/>
      <c r="X6" s="34"/>
      <c r="Y6" s="34"/>
      <c r="AA6" s="311" t="s">
        <v>134</v>
      </c>
      <c r="AB6" s="311"/>
      <c r="AC6" s="311"/>
      <c r="AE6" s="311" t="s">
        <v>134</v>
      </c>
      <c r="AF6" s="311"/>
      <c r="AG6" s="311"/>
      <c r="AI6" s="124" t="s">
        <v>134</v>
      </c>
      <c r="AJ6" s="124"/>
    </row>
    <row r="7" spans="1:36" ht="12.75">
      <c r="A7" s="35"/>
      <c r="L7" s="40" t="s">
        <v>34</v>
      </c>
      <c r="M7" s="40"/>
      <c r="O7" s="35"/>
      <c r="P7" s="35"/>
      <c r="Q7" s="35"/>
      <c r="R7" s="35"/>
      <c r="T7" s="35"/>
      <c r="U7" s="35"/>
      <c r="V7" s="35"/>
      <c r="W7" s="35"/>
      <c r="X7" s="35"/>
      <c r="Y7" s="35"/>
      <c r="AA7" s="311" t="s">
        <v>135</v>
      </c>
      <c r="AB7" s="311"/>
      <c r="AC7" s="311"/>
      <c r="AE7" s="311" t="s">
        <v>135</v>
      </c>
      <c r="AF7" s="311"/>
      <c r="AG7" s="311"/>
      <c r="AI7" s="124" t="s">
        <v>135</v>
      </c>
      <c r="AJ7" s="124"/>
    </row>
    <row r="8" spans="1:36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1" t="s">
        <v>87</v>
      </c>
      <c r="M8" s="31" t="s">
        <v>88</v>
      </c>
      <c r="O8" s="35"/>
      <c r="P8" s="35"/>
      <c r="Q8" s="35"/>
      <c r="R8" s="35"/>
      <c r="T8" s="35"/>
      <c r="U8" s="35"/>
      <c r="V8" s="35"/>
      <c r="W8" s="35"/>
      <c r="X8" s="35"/>
      <c r="Y8" s="35"/>
      <c r="AA8" s="304" t="s">
        <v>108</v>
      </c>
      <c r="AB8" s="304"/>
      <c r="AC8" s="304"/>
      <c r="AE8" s="304" t="s">
        <v>108</v>
      </c>
      <c r="AF8" s="304"/>
      <c r="AG8" s="304"/>
      <c r="AI8" s="124" t="s">
        <v>108</v>
      </c>
      <c r="AJ8" s="124"/>
    </row>
    <row r="9" spans="1:36" ht="13.5" thickBot="1">
      <c r="A9" s="36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31" t="s">
        <v>43</v>
      </c>
      <c r="O9" s="42" t="s">
        <v>57</v>
      </c>
      <c r="P9" s="42" t="s">
        <v>58</v>
      </c>
      <c r="Q9" s="42" t="s">
        <v>59</v>
      </c>
      <c r="R9" s="42" t="s">
        <v>60</v>
      </c>
      <c r="S9" s="42" t="s">
        <v>39</v>
      </c>
      <c r="T9" s="42" t="s">
        <v>40</v>
      </c>
      <c r="U9" s="42" t="s">
        <v>46</v>
      </c>
      <c r="V9" s="42" t="s">
        <v>78</v>
      </c>
      <c r="W9" s="36" t="s">
        <v>181</v>
      </c>
      <c r="X9" s="36" t="s">
        <v>182</v>
      </c>
      <c r="Y9" s="36" t="s">
        <v>183</v>
      </c>
      <c r="AA9" s="42" t="s">
        <v>136</v>
      </c>
      <c r="AB9" s="303" t="s">
        <v>137</v>
      </c>
      <c r="AC9" s="303"/>
      <c r="AE9" s="42" t="s">
        <v>136</v>
      </c>
      <c r="AF9" s="303" t="s">
        <v>137</v>
      </c>
      <c r="AG9" s="303"/>
      <c r="AI9" s="264" t="s">
        <v>136</v>
      </c>
      <c r="AJ9" s="264" t="s">
        <v>137</v>
      </c>
    </row>
    <row r="10" spans="1:35" ht="16.5" thickTop="1">
      <c r="A10" s="35" t="s">
        <v>5</v>
      </c>
      <c r="B10" s="56">
        <v>6584.22</v>
      </c>
      <c r="C10" s="87">
        <v>6821.41</v>
      </c>
      <c r="D10" s="87">
        <v>7125.3</v>
      </c>
      <c r="E10" s="87">
        <f>7466.58</f>
        <v>7466.58</v>
      </c>
      <c r="F10" s="87">
        <v>7970.84</v>
      </c>
      <c r="G10" s="87">
        <v>8351.42</v>
      </c>
      <c r="H10" s="87">
        <v>8765.45</v>
      </c>
      <c r="I10" s="87">
        <v>9079.98</v>
      </c>
      <c r="J10" s="236">
        <v>9627.96</v>
      </c>
      <c r="K10" s="236">
        <v>10370.966724272062</v>
      </c>
      <c r="L10" s="278">
        <f>(K10-J10)*100/J10</f>
        <v>7.717177099531607</v>
      </c>
      <c r="M10" s="278">
        <f>((K10-Y10)*100)/Y10</f>
        <v>60.90443639471225</v>
      </c>
      <c r="N10" s="57">
        <v>3672.77</v>
      </c>
      <c r="O10" s="53">
        <v>3990.31</v>
      </c>
      <c r="P10" s="53">
        <v>4300.19</v>
      </c>
      <c r="Q10" s="53">
        <v>4650.73</v>
      </c>
      <c r="R10" s="53">
        <v>5054.34</v>
      </c>
      <c r="S10" s="53">
        <v>5460.65</v>
      </c>
      <c r="T10" s="53">
        <v>5814.75</v>
      </c>
      <c r="U10" s="53">
        <v>5823.27</v>
      </c>
      <c r="V10" s="53">
        <v>5978.27</v>
      </c>
      <c r="W10" s="53">
        <v>6106.38</v>
      </c>
      <c r="X10" s="54">
        <v>6337.74</v>
      </c>
      <c r="Y10" s="55">
        <v>6445.42</v>
      </c>
      <c r="AA10" s="87">
        <v>9079.98</v>
      </c>
      <c r="AB10" s="201"/>
      <c r="AC10" s="201"/>
      <c r="AE10" s="236">
        <v>9627.96</v>
      </c>
      <c r="AI10" s="287">
        <v>10370.966724272062</v>
      </c>
    </row>
    <row r="11" spans="2:35" ht="15.75">
      <c r="B11" s="200"/>
      <c r="C11" s="200"/>
      <c r="D11" s="200"/>
      <c r="E11" s="200"/>
      <c r="F11" s="200"/>
      <c r="G11" s="53"/>
      <c r="H11" s="53"/>
      <c r="I11" s="53"/>
      <c r="J11" s="103"/>
      <c r="K11" s="103"/>
      <c r="M11" s="193"/>
      <c r="O11" s="38"/>
      <c r="R11" s="38"/>
      <c r="S11" s="38"/>
      <c r="U11" s="131">
        <f>(U10-T10)/T10</f>
        <v>0.0014652392622211507</v>
      </c>
      <c r="V11" s="132"/>
      <c r="W11" s="132"/>
      <c r="X11" s="132"/>
      <c r="Y11" s="200"/>
      <c r="AA11" s="53"/>
      <c r="AE11" s="103"/>
      <c r="AI11" s="288"/>
    </row>
    <row r="12" spans="1:36" ht="15.75">
      <c r="A12" s="32" t="s">
        <v>6</v>
      </c>
      <c r="B12" s="61">
        <v>5888.74</v>
      </c>
      <c r="C12" s="86">
        <v>6130.88</v>
      </c>
      <c r="D12" s="86">
        <v>6476.04</v>
      </c>
      <c r="E12" s="86">
        <v>6967.45</v>
      </c>
      <c r="F12" s="58">
        <v>7209.84</v>
      </c>
      <c r="G12" s="86">
        <v>7848.37</v>
      </c>
      <c r="H12" s="86">
        <v>8051.21</v>
      </c>
      <c r="I12" s="86">
        <v>8788.97</v>
      </c>
      <c r="J12" s="237">
        <v>9194.07</v>
      </c>
      <c r="K12" s="237">
        <v>10063.231109374834</v>
      </c>
      <c r="L12" s="278">
        <f>(K12-J12)*100/J12</f>
        <v>9.453496757962844</v>
      </c>
      <c r="M12" s="278">
        <f>((K12-Y12)*100)/Y12</f>
        <v>72.22005444539047</v>
      </c>
      <c r="N12" s="59">
        <v>3143.03</v>
      </c>
      <c r="O12" s="59">
        <v>3361.84</v>
      </c>
      <c r="P12" s="59">
        <v>3591.75</v>
      </c>
      <c r="Q12" s="59">
        <v>3911.9</v>
      </c>
      <c r="R12" s="59">
        <v>4241.6</v>
      </c>
      <c r="S12" s="59">
        <v>4489.65</v>
      </c>
      <c r="T12" s="59">
        <v>4781.72</v>
      </c>
      <c r="U12" s="59">
        <v>4957.29</v>
      </c>
      <c r="V12" s="59">
        <v>5034.47</v>
      </c>
      <c r="W12" s="60">
        <v>5346.5</v>
      </c>
      <c r="X12" s="86">
        <v>5623.59</v>
      </c>
      <c r="Y12" s="58">
        <v>5843.24</v>
      </c>
      <c r="AA12" s="86">
        <v>8788.97</v>
      </c>
      <c r="AB12" s="32">
        <v>11</v>
      </c>
      <c r="AE12" s="237">
        <v>9194.07</v>
      </c>
      <c r="AF12" s="32">
        <v>12</v>
      </c>
      <c r="AI12" s="288">
        <v>10063.231109374834</v>
      </c>
      <c r="AJ12" s="32">
        <v>9</v>
      </c>
    </row>
    <row r="13" spans="1:36" ht="15.75">
      <c r="A13" s="32" t="s">
        <v>7</v>
      </c>
      <c r="B13" s="61">
        <v>6463.42</v>
      </c>
      <c r="C13" s="86">
        <v>6628.59</v>
      </c>
      <c r="D13" s="86">
        <v>6811.6</v>
      </c>
      <c r="E13" s="86">
        <v>7190.8</v>
      </c>
      <c r="F13" s="58">
        <v>7782.27</v>
      </c>
      <c r="G13" s="86">
        <v>8103.5</v>
      </c>
      <c r="H13" s="86">
        <v>8522.46</v>
      </c>
      <c r="I13" s="86">
        <v>8796.5</v>
      </c>
      <c r="J13" s="237">
        <v>9274.97</v>
      </c>
      <c r="K13" s="237">
        <v>9814.374560956736</v>
      </c>
      <c r="L13" s="278">
        <f>(K13-J13)*100/J13</f>
        <v>5.815701408810342</v>
      </c>
      <c r="M13" s="278">
        <f>((K13-Y13)*100)/Y13</f>
        <v>52.03544612748456</v>
      </c>
      <c r="N13" s="59">
        <v>3515.09</v>
      </c>
      <c r="O13" s="59">
        <v>3813.25</v>
      </c>
      <c r="P13" s="59">
        <v>4128.23</v>
      </c>
      <c r="Q13" s="59">
        <v>4467.11</v>
      </c>
      <c r="R13" s="59">
        <v>4889.18</v>
      </c>
      <c r="S13" s="59">
        <v>5385.05</v>
      </c>
      <c r="T13" s="59">
        <v>5836.6</v>
      </c>
      <c r="U13" s="59">
        <v>5713.41</v>
      </c>
      <c r="V13" s="59">
        <v>5984.26</v>
      </c>
      <c r="W13" s="60">
        <v>6144.22</v>
      </c>
      <c r="X13" s="86">
        <v>6451.81</v>
      </c>
      <c r="Y13" s="58">
        <v>6455.32</v>
      </c>
      <c r="AA13" s="86">
        <v>8796.5</v>
      </c>
      <c r="AB13" s="32">
        <v>10</v>
      </c>
      <c r="AE13" s="237">
        <v>9274.97</v>
      </c>
      <c r="AF13" s="32">
        <v>9</v>
      </c>
      <c r="AI13" s="288">
        <v>9814.374560956736</v>
      </c>
      <c r="AJ13" s="32">
        <v>10</v>
      </c>
    </row>
    <row r="14" spans="1:36" ht="15.75">
      <c r="A14" s="32" t="s">
        <v>8</v>
      </c>
      <c r="B14" s="61">
        <v>6407.68</v>
      </c>
      <c r="C14" s="86">
        <v>6924.13</v>
      </c>
      <c r="D14" s="86">
        <v>7415.36</v>
      </c>
      <c r="E14" s="86">
        <v>7963.33</v>
      </c>
      <c r="F14" s="58">
        <v>8789.62</v>
      </c>
      <c r="G14" s="86">
        <v>9086.31</v>
      </c>
      <c r="H14" s="86">
        <v>9585.49</v>
      </c>
      <c r="I14" s="86">
        <v>9325.6</v>
      </c>
      <c r="J14" s="237">
        <v>9603.43</v>
      </c>
      <c r="K14" s="237">
        <v>10974.038122379166</v>
      </c>
      <c r="L14" s="278">
        <f>(K14-J14)*100/J14</f>
        <v>14.272068650254818</v>
      </c>
      <c r="M14" s="278">
        <f>((K14-Y14)*100)/Y14</f>
        <v>78.38511353243507</v>
      </c>
      <c r="N14" s="59">
        <v>3098.6</v>
      </c>
      <c r="O14" s="59">
        <v>3443.97</v>
      </c>
      <c r="P14" s="59">
        <v>3639.97</v>
      </c>
      <c r="Q14" s="59">
        <v>3965.85</v>
      </c>
      <c r="R14" s="59">
        <v>4255.14</v>
      </c>
      <c r="S14" s="59">
        <v>4613.84</v>
      </c>
      <c r="T14" s="59">
        <v>4947.03</v>
      </c>
      <c r="U14" s="59">
        <v>5181.83</v>
      </c>
      <c r="V14" s="59">
        <v>5391.47</v>
      </c>
      <c r="W14" s="60">
        <v>5565.52</v>
      </c>
      <c r="X14" s="86">
        <v>5872.83</v>
      </c>
      <c r="Y14" s="58">
        <v>6151.88</v>
      </c>
      <c r="AA14" s="86">
        <v>9325.6</v>
      </c>
      <c r="AB14" s="32">
        <v>6</v>
      </c>
      <c r="AE14" s="237">
        <v>9603.43</v>
      </c>
      <c r="AF14" s="32">
        <v>6</v>
      </c>
      <c r="AI14" s="288">
        <v>10974.038122379166</v>
      </c>
      <c r="AJ14" s="32">
        <v>7</v>
      </c>
    </row>
    <row r="15" spans="1:36" ht="15.75">
      <c r="A15" s="32" t="s">
        <v>9</v>
      </c>
      <c r="B15" s="61">
        <v>6600.55</v>
      </c>
      <c r="C15" s="86">
        <v>6917.99</v>
      </c>
      <c r="D15" s="86">
        <v>7006.98</v>
      </c>
      <c r="E15" s="86">
        <v>7320.69</v>
      </c>
      <c r="F15" s="58">
        <v>7907.94</v>
      </c>
      <c r="G15" s="86">
        <v>8240.94</v>
      </c>
      <c r="H15" s="86">
        <v>8562.39</v>
      </c>
      <c r="I15" s="86">
        <v>8899.46</v>
      </c>
      <c r="J15" s="237">
        <v>9439.14</v>
      </c>
      <c r="K15" s="237">
        <v>10079.276446843342</v>
      </c>
      <c r="L15" s="278">
        <f>(K15-J15)*100/J15</f>
        <v>6.781724254999313</v>
      </c>
      <c r="M15" s="278">
        <f>((K15-Y15)*100)/Y15</f>
        <v>57.97397077339674</v>
      </c>
      <c r="N15" s="59">
        <v>4315.15</v>
      </c>
      <c r="O15" s="59">
        <v>3465.46</v>
      </c>
      <c r="P15" s="59">
        <v>4943.29</v>
      </c>
      <c r="Q15" s="59">
        <v>5162.31</v>
      </c>
      <c r="R15" s="59">
        <v>5722.35</v>
      </c>
      <c r="S15" s="59">
        <v>6006.49</v>
      </c>
      <c r="T15" s="59">
        <v>6219.88</v>
      </c>
      <c r="U15" s="59">
        <v>6199.86</v>
      </c>
      <c r="V15" s="59">
        <v>6202.94</v>
      </c>
      <c r="W15" s="60">
        <v>6191.3</v>
      </c>
      <c r="X15" s="86">
        <v>6337.14</v>
      </c>
      <c r="Y15" s="58">
        <v>6380.34</v>
      </c>
      <c r="AA15" s="86">
        <v>8899.46</v>
      </c>
      <c r="AB15" s="32">
        <v>9</v>
      </c>
      <c r="AE15" s="237">
        <v>9439.14</v>
      </c>
      <c r="AF15" s="32">
        <v>7</v>
      </c>
      <c r="AI15" s="288">
        <v>10079.276446843342</v>
      </c>
      <c r="AJ15" s="32">
        <v>8</v>
      </c>
    </row>
    <row r="16" spans="1:36" ht="15.75">
      <c r="A16" s="32" t="s">
        <v>10</v>
      </c>
      <c r="B16" s="61">
        <v>6038.52</v>
      </c>
      <c r="C16" s="86">
        <v>6227.32</v>
      </c>
      <c r="D16" s="86">
        <v>6520.8</v>
      </c>
      <c r="E16" s="86">
        <v>6706.31</v>
      </c>
      <c r="F16" s="58">
        <v>7043.38</v>
      </c>
      <c r="G16" s="86">
        <v>7642.87</v>
      </c>
      <c r="H16" s="86">
        <v>8224.67</v>
      </c>
      <c r="I16" s="86">
        <v>8731.2</v>
      </c>
      <c r="J16" s="237">
        <v>9223.71</v>
      </c>
      <c r="K16" s="237">
        <v>9744.954829195949</v>
      </c>
      <c r="L16" s="278">
        <f>(K16-J16)*100/J16</f>
        <v>5.651140692800944</v>
      </c>
      <c r="M16" s="278">
        <f>((K16-Y16)*100)/Y16</f>
        <v>62.500955986898965</v>
      </c>
      <c r="N16" s="59">
        <v>3575.04</v>
      </c>
      <c r="O16" s="59">
        <v>3854.38</v>
      </c>
      <c r="P16" s="59">
        <v>3985.16</v>
      </c>
      <c r="Q16" s="59">
        <v>4154.94</v>
      </c>
      <c r="R16" s="59">
        <v>4510.55</v>
      </c>
      <c r="S16" s="59">
        <v>4821.59</v>
      </c>
      <c r="T16" s="59">
        <v>5165.02</v>
      </c>
      <c r="U16" s="59">
        <v>5423.39</v>
      </c>
      <c r="V16" s="59">
        <v>5609.6</v>
      </c>
      <c r="W16" s="60">
        <v>5686.91</v>
      </c>
      <c r="X16" s="86">
        <v>5872.26</v>
      </c>
      <c r="Y16" s="58">
        <v>5996.86</v>
      </c>
      <c r="AA16" s="86">
        <v>8731.2</v>
      </c>
      <c r="AB16" s="32">
        <v>13</v>
      </c>
      <c r="AE16" s="237">
        <v>9223.71</v>
      </c>
      <c r="AF16" s="32">
        <v>10</v>
      </c>
      <c r="AI16" s="288">
        <v>9744.954829195949</v>
      </c>
      <c r="AJ16" s="32">
        <v>12</v>
      </c>
    </row>
    <row r="17" spans="2:35" ht="15.75">
      <c r="B17" s="61"/>
      <c r="C17" s="86"/>
      <c r="D17" s="86"/>
      <c r="E17" s="86"/>
      <c r="F17" s="58"/>
      <c r="G17" s="86"/>
      <c r="H17" s="86"/>
      <c r="I17" s="86"/>
      <c r="J17" s="237"/>
      <c r="K17" s="237"/>
      <c r="L17" s="58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86"/>
      <c r="Y17" s="58"/>
      <c r="AA17" s="86"/>
      <c r="AE17" s="237"/>
      <c r="AI17" s="288"/>
    </row>
    <row r="18" spans="1:36" ht="15.75">
      <c r="A18" s="32" t="s">
        <v>11</v>
      </c>
      <c r="B18" s="61">
        <v>5631.2</v>
      </c>
      <c r="C18" s="86">
        <v>5984.79</v>
      </c>
      <c r="D18" s="86">
        <v>6281.77</v>
      </c>
      <c r="E18" s="86">
        <v>6419.54</v>
      </c>
      <c r="F18" s="58">
        <v>6681.47</v>
      </c>
      <c r="G18" s="86">
        <v>7090.43</v>
      </c>
      <c r="H18" s="86">
        <v>7657.2</v>
      </c>
      <c r="I18" s="86">
        <v>8343.25</v>
      </c>
      <c r="J18" s="237">
        <v>8568.05</v>
      </c>
      <c r="K18" s="237">
        <v>9034.64303440132</v>
      </c>
      <c r="L18" s="278">
        <f>(K18-J18)*100/J18</f>
        <v>5.4457319273501135</v>
      </c>
      <c r="M18" s="278">
        <f>((K18-Y18)*100)/Y18</f>
        <v>68.72644383813801</v>
      </c>
      <c r="N18" s="59">
        <v>2879.04</v>
      </c>
      <c r="O18" s="59">
        <v>3076.12</v>
      </c>
      <c r="P18" s="59">
        <v>3396.75</v>
      </c>
      <c r="Q18" s="59">
        <v>3760.86</v>
      </c>
      <c r="R18" s="59">
        <v>4048.73</v>
      </c>
      <c r="S18" s="59">
        <v>4283.82</v>
      </c>
      <c r="T18" s="59">
        <v>4557.7</v>
      </c>
      <c r="U18" s="59">
        <v>4705.98</v>
      </c>
      <c r="V18" s="59">
        <v>4898.29</v>
      </c>
      <c r="W18" s="60">
        <v>5063</v>
      </c>
      <c r="X18" s="86">
        <v>5262.09</v>
      </c>
      <c r="Y18" s="58">
        <v>5354.61</v>
      </c>
      <c r="AA18" s="86">
        <v>8343.25</v>
      </c>
      <c r="AB18" s="32">
        <v>18</v>
      </c>
      <c r="AE18" s="237">
        <v>8568.05</v>
      </c>
      <c r="AF18" s="32">
        <v>21</v>
      </c>
      <c r="AI18" s="288">
        <v>9034.64303440132</v>
      </c>
      <c r="AJ18" s="32">
        <v>24</v>
      </c>
    </row>
    <row r="19" spans="1:36" ht="15.75">
      <c r="A19" s="32" t="s">
        <v>12</v>
      </c>
      <c r="B19" s="61">
        <v>5873.88</v>
      </c>
      <c r="C19" s="86">
        <v>6066.49</v>
      </c>
      <c r="D19" s="86">
        <v>6379.48</v>
      </c>
      <c r="E19" s="86">
        <v>6621.8</v>
      </c>
      <c r="F19" s="58">
        <v>7058.83</v>
      </c>
      <c r="G19" s="86">
        <v>7334.79</v>
      </c>
      <c r="H19" s="86">
        <v>7723.83</v>
      </c>
      <c r="I19" s="86">
        <v>8223.11</v>
      </c>
      <c r="J19" s="237">
        <v>8708.47</v>
      </c>
      <c r="K19" s="237">
        <v>9277.598606938729</v>
      </c>
      <c r="L19" s="278">
        <f>(K19-J19)*100/J19</f>
        <v>6.535345553681987</v>
      </c>
      <c r="M19" s="278">
        <f>((K19-Y19)*100)/Y19</f>
        <v>59.19227798148789</v>
      </c>
      <c r="N19" s="59">
        <v>3051.56</v>
      </c>
      <c r="O19" s="59">
        <v>3250.68</v>
      </c>
      <c r="P19" s="59">
        <v>3568.15</v>
      </c>
      <c r="Q19" s="59">
        <v>3892.91</v>
      </c>
      <c r="R19" s="59">
        <v>4320.33</v>
      </c>
      <c r="S19" s="59">
        <v>4736.49</v>
      </c>
      <c r="T19" s="59">
        <v>5076.25</v>
      </c>
      <c r="U19" s="59">
        <v>5188.56</v>
      </c>
      <c r="V19" s="59">
        <v>5315.48</v>
      </c>
      <c r="W19" s="60">
        <v>5529.32</v>
      </c>
      <c r="X19" s="86">
        <v>5795.44</v>
      </c>
      <c r="Y19" s="58">
        <v>5827.92</v>
      </c>
      <c r="AA19" s="86">
        <v>8223.11</v>
      </c>
      <c r="AB19" s="32">
        <v>19</v>
      </c>
      <c r="AE19" s="237">
        <v>8708.47</v>
      </c>
      <c r="AF19" s="32">
        <v>18</v>
      </c>
      <c r="AI19" s="288">
        <v>9277.598606938729</v>
      </c>
      <c r="AJ19" s="32">
        <v>17</v>
      </c>
    </row>
    <row r="20" spans="1:36" ht="15.75">
      <c r="A20" s="32" t="s">
        <v>13</v>
      </c>
      <c r="B20" s="61">
        <v>5893.97</v>
      </c>
      <c r="C20" s="86">
        <v>6122.02</v>
      </c>
      <c r="D20" s="86">
        <v>6451.34</v>
      </c>
      <c r="E20" s="86">
        <v>6729.38</v>
      </c>
      <c r="F20" s="58">
        <v>7185.25</v>
      </c>
      <c r="G20" s="86">
        <v>7454.28</v>
      </c>
      <c r="H20" s="86">
        <v>7798.56</v>
      </c>
      <c r="I20" s="86">
        <v>8211.58</v>
      </c>
      <c r="J20" s="237">
        <v>8700.53</v>
      </c>
      <c r="K20" s="237">
        <v>9402.154952838275</v>
      </c>
      <c r="L20" s="278">
        <f>(K20-J20)*100/J20</f>
        <v>8.064163365200443</v>
      </c>
      <c r="M20" s="278">
        <f>((K20-Y20)*100)/Y20</f>
        <v>61.250104236960595</v>
      </c>
      <c r="N20" s="59">
        <v>3071.63</v>
      </c>
      <c r="O20" s="59">
        <v>3341.91</v>
      </c>
      <c r="P20" s="59">
        <v>3592.77</v>
      </c>
      <c r="Q20" s="59">
        <v>3931.81</v>
      </c>
      <c r="R20" s="59">
        <v>4169.63</v>
      </c>
      <c r="S20" s="59">
        <v>4630.23</v>
      </c>
      <c r="T20" s="59">
        <v>4912.61</v>
      </c>
      <c r="U20" s="59">
        <v>5075.28</v>
      </c>
      <c r="V20" s="59">
        <v>5131.01</v>
      </c>
      <c r="W20" s="60">
        <v>5477.49</v>
      </c>
      <c r="X20" s="86">
        <v>5687.69</v>
      </c>
      <c r="Y20" s="58">
        <v>5830.79</v>
      </c>
      <c r="AA20" s="86">
        <v>8211.58</v>
      </c>
      <c r="AB20" s="32">
        <v>20</v>
      </c>
      <c r="AE20" s="237">
        <v>8700.53</v>
      </c>
      <c r="AF20" s="32">
        <v>19</v>
      </c>
      <c r="AI20" s="288">
        <v>9402.154952838275</v>
      </c>
      <c r="AJ20" s="32">
        <v>16</v>
      </c>
    </row>
    <row r="21" spans="1:36" ht="15.75">
      <c r="A21" s="32" t="s">
        <v>14</v>
      </c>
      <c r="B21" s="61">
        <v>6157.69</v>
      </c>
      <c r="C21" s="86">
        <v>6271.22</v>
      </c>
      <c r="D21" s="86">
        <v>6422.98</v>
      </c>
      <c r="E21" s="86">
        <v>6748.79</v>
      </c>
      <c r="F21" s="58">
        <v>7023.29</v>
      </c>
      <c r="G21" s="86">
        <v>7363.01</v>
      </c>
      <c r="H21" s="86">
        <v>7786.32</v>
      </c>
      <c r="I21" s="86">
        <v>8015.72</v>
      </c>
      <c r="J21" s="237">
        <v>8534.97</v>
      </c>
      <c r="K21" s="237">
        <v>9246.26131426005</v>
      </c>
      <c r="L21" s="278">
        <f>(K21-J21)*100/J21</f>
        <v>8.33384668323439</v>
      </c>
      <c r="M21" s="278">
        <f>((K21-Y21)*100)/Y21</f>
        <v>54.897689571087405</v>
      </c>
      <c r="N21" s="59">
        <v>3200.65</v>
      </c>
      <c r="O21" s="59">
        <v>3419.11</v>
      </c>
      <c r="P21" s="59">
        <v>3709.63</v>
      </c>
      <c r="Q21" s="59">
        <v>4012.31</v>
      </c>
      <c r="R21" s="59">
        <v>4396.36</v>
      </c>
      <c r="S21" s="59">
        <v>4928.76</v>
      </c>
      <c r="T21" s="59">
        <v>5226.64</v>
      </c>
      <c r="U21" s="59">
        <v>5448.45</v>
      </c>
      <c r="V21" s="59">
        <v>5626.86</v>
      </c>
      <c r="W21" s="60">
        <v>5830.56</v>
      </c>
      <c r="X21" s="86">
        <v>5958.52</v>
      </c>
      <c r="Y21" s="58">
        <v>5969.27</v>
      </c>
      <c r="AA21" s="86">
        <v>8015.72</v>
      </c>
      <c r="AB21" s="32">
        <v>23</v>
      </c>
      <c r="AE21" s="237">
        <v>8534.97</v>
      </c>
      <c r="AF21" s="32">
        <v>22</v>
      </c>
      <c r="AI21" s="288">
        <v>9246.26131426005</v>
      </c>
      <c r="AJ21" s="32">
        <v>20</v>
      </c>
    </row>
    <row r="22" spans="1:36" ht="15.75">
      <c r="A22" s="32" t="s">
        <v>15</v>
      </c>
      <c r="B22" s="61">
        <v>6428.24</v>
      </c>
      <c r="C22" s="86">
        <v>6791.72</v>
      </c>
      <c r="D22" s="86">
        <v>6937.82</v>
      </c>
      <c r="E22" s="86">
        <v>7435.29</v>
      </c>
      <c r="F22" s="58">
        <v>8066.98</v>
      </c>
      <c r="G22" s="86">
        <v>8280.43</v>
      </c>
      <c r="H22" s="86">
        <v>8830.7</v>
      </c>
      <c r="I22" s="86">
        <v>9025.22</v>
      </c>
      <c r="J22" s="237">
        <v>9358.33</v>
      </c>
      <c r="K22" s="237">
        <v>11004.21563005562</v>
      </c>
      <c r="L22" s="278">
        <f>(K22-J22)*100/J22</f>
        <v>17.587386104738986</v>
      </c>
      <c r="M22" s="278">
        <f>((K22-Y22)*100)/Y22</f>
        <v>79.28745273195585</v>
      </c>
      <c r="N22" s="59">
        <v>3359.17</v>
      </c>
      <c r="O22" s="59">
        <v>3698.52</v>
      </c>
      <c r="P22" s="59">
        <v>3862.66</v>
      </c>
      <c r="Q22" s="59">
        <v>4174.21</v>
      </c>
      <c r="R22" s="59">
        <v>4550.95</v>
      </c>
      <c r="S22" s="59">
        <v>5056.99</v>
      </c>
      <c r="T22" s="59">
        <v>5289.09</v>
      </c>
      <c r="U22" s="59">
        <v>5366.62</v>
      </c>
      <c r="V22" s="59">
        <v>5390.79</v>
      </c>
      <c r="W22" s="60">
        <v>5668.1</v>
      </c>
      <c r="X22" s="86">
        <v>6057.77</v>
      </c>
      <c r="Y22" s="58">
        <v>6137.75</v>
      </c>
      <c r="AA22" s="86">
        <v>9025.22</v>
      </c>
      <c r="AB22" s="32">
        <v>8</v>
      </c>
      <c r="AE22" s="237">
        <v>9358.33</v>
      </c>
      <c r="AF22" s="32">
        <v>8</v>
      </c>
      <c r="AI22" s="288">
        <v>11004.21563005562</v>
      </c>
      <c r="AJ22" s="32">
        <v>6</v>
      </c>
    </row>
    <row r="23" spans="2:35" ht="15.75">
      <c r="B23" s="61"/>
      <c r="C23" s="86"/>
      <c r="D23" s="86"/>
      <c r="E23" s="86"/>
      <c r="F23" s="58"/>
      <c r="G23" s="86"/>
      <c r="H23" s="86"/>
      <c r="I23" s="86"/>
      <c r="J23" s="237"/>
      <c r="K23" s="237"/>
      <c r="L23" s="58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86"/>
      <c r="Y23" s="58"/>
      <c r="AA23" s="86"/>
      <c r="AE23" s="237"/>
      <c r="AI23" s="288"/>
    </row>
    <row r="24" spans="1:36" ht="15.75">
      <c r="A24" s="32" t="s">
        <v>16</v>
      </c>
      <c r="B24" s="61">
        <v>5858.42</v>
      </c>
      <c r="C24" s="86">
        <v>6116.11</v>
      </c>
      <c r="D24" s="86">
        <v>6364.13</v>
      </c>
      <c r="E24" s="86">
        <v>6573.55</v>
      </c>
      <c r="F24" s="58">
        <v>6973.44</v>
      </c>
      <c r="G24" s="86">
        <v>7436.25</v>
      </c>
      <c r="H24" s="86">
        <v>7930.36</v>
      </c>
      <c r="I24" s="86">
        <v>8417.48</v>
      </c>
      <c r="J24" s="237">
        <v>8649.68</v>
      </c>
      <c r="K24" s="237">
        <v>9266.952406161638</v>
      </c>
      <c r="L24" s="278">
        <f>(K24-J24)*100/J24</f>
        <v>7.136361185172599</v>
      </c>
      <c r="M24" s="278">
        <f>((K24-Y24)*100)/Y24</f>
        <v>59.67648255321091</v>
      </c>
      <c r="N24" s="59">
        <v>3270.32</v>
      </c>
      <c r="O24" s="59">
        <v>3410.66</v>
      </c>
      <c r="P24" s="59">
        <v>3655.45</v>
      </c>
      <c r="Q24" s="59">
        <v>3991.87</v>
      </c>
      <c r="R24" s="59">
        <v>4396.78</v>
      </c>
      <c r="S24" s="59">
        <v>4852.38</v>
      </c>
      <c r="T24" s="59">
        <v>5299.73</v>
      </c>
      <c r="U24" s="59">
        <v>5326.5</v>
      </c>
      <c r="V24" s="59">
        <v>5358.17</v>
      </c>
      <c r="W24" s="60">
        <v>5514.07</v>
      </c>
      <c r="X24" s="86">
        <v>5767.39</v>
      </c>
      <c r="Y24" s="58">
        <v>5803.58</v>
      </c>
      <c r="AA24" s="86">
        <v>8417.48</v>
      </c>
      <c r="AB24" s="32">
        <v>16</v>
      </c>
      <c r="AE24" s="237">
        <v>8649.68</v>
      </c>
      <c r="AF24" s="32">
        <v>20</v>
      </c>
      <c r="AI24" s="288">
        <v>9266.952406161638</v>
      </c>
      <c r="AJ24" s="32">
        <v>18</v>
      </c>
    </row>
    <row r="25" spans="1:36" ht="15.75">
      <c r="A25" s="32" t="s">
        <v>17</v>
      </c>
      <c r="B25" s="61">
        <v>6105.15</v>
      </c>
      <c r="C25" s="86">
        <v>6471.54</v>
      </c>
      <c r="D25" s="86">
        <v>6701.91</v>
      </c>
      <c r="E25" s="86">
        <v>6977.85</v>
      </c>
      <c r="F25" s="58">
        <v>7455.2</v>
      </c>
      <c r="G25" s="86">
        <v>7927.12</v>
      </c>
      <c r="H25" s="86">
        <v>8402.57</v>
      </c>
      <c r="I25" s="86">
        <v>8733.74</v>
      </c>
      <c r="J25" s="237">
        <v>9194.83</v>
      </c>
      <c r="K25" s="237">
        <v>9799.90665319547</v>
      </c>
      <c r="L25" s="278">
        <f>(K25-J25)*100/J25</f>
        <v>6.580618164723769</v>
      </c>
      <c r="M25" s="278">
        <f>((K25-Y25)*100)/Y25</f>
        <v>67.08990806890768</v>
      </c>
      <c r="N25" s="59">
        <v>2794.14</v>
      </c>
      <c r="O25" s="59">
        <v>3264.64</v>
      </c>
      <c r="P25" s="59">
        <v>3558.42</v>
      </c>
      <c r="Q25" s="59">
        <v>3862.36</v>
      </c>
      <c r="R25" s="59">
        <v>4211.3</v>
      </c>
      <c r="S25" s="59">
        <v>4602.61</v>
      </c>
      <c r="T25" s="59">
        <v>5036.21</v>
      </c>
      <c r="U25" s="59">
        <v>5019.7</v>
      </c>
      <c r="V25" s="59">
        <v>5286.78</v>
      </c>
      <c r="W25" s="60">
        <v>5437.88</v>
      </c>
      <c r="X25" s="86">
        <v>5710.73</v>
      </c>
      <c r="Y25" s="58">
        <v>5865.05</v>
      </c>
      <c r="AA25" s="86">
        <v>8733.74</v>
      </c>
      <c r="AB25" s="32">
        <v>12</v>
      </c>
      <c r="AE25" s="237">
        <v>9194.83</v>
      </c>
      <c r="AF25" s="32">
        <v>11</v>
      </c>
      <c r="AI25" s="288">
        <v>9799.90665319547</v>
      </c>
      <c r="AJ25" s="32">
        <v>11</v>
      </c>
    </row>
    <row r="26" spans="1:36" ht="15.75">
      <c r="A26" s="32" t="s">
        <v>18</v>
      </c>
      <c r="B26" s="61">
        <v>5945.78</v>
      </c>
      <c r="C26" s="86">
        <v>6131.75</v>
      </c>
      <c r="D26" s="86">
        <v>6218.09</v>
      </c>
      <c r="E26" s="86">
        <v>6532.17</v>
      </c>
      <c r="F26" s="58">
        <v>6962.42</v>
      </c>
      <c r="G26" s="86">
        <v>7311.55</v>
      </c>
      <c r="H26" s="86">
        <v>7304.12</v>
      </c>
      <c r="I26" s="86">
        <v>7646.96</v>
      </c>
      <c r="J26" s="237">
        <v>8237.04</v>
      </c>
      <c r="K26" s="237">
        <v>9103.750184508091</v>
      </c>
      <c r="L26" s="278">
        <f>(K26-J26)*100/J26</f>
        <v>10.522107268000283</v>
      </c>
      <c r="M26" s="278">
        <f>((K26-Y26)*100)/Y26</f>
        <v>55.40368999165418</v>
      </c>
      <c r="N26" s="59">
        <v>3175.72</v>
      </c>
      <c r="O26" s="59">
        <v>3416.96</v>
      </c>
      <c r="P26" s="59">
        <v>3645.3</v>
      </c>
      <c r="Q26" s="59">
        <v>3869.8</v>
      </c>
      <c r="R26" s="59">
        <v>4190.94</v>
      </c>
      <c r="S26" s="59">
        <v>4505.41</v>
      </c>
      <c r="T26" s="59">
        <v>4857.55</v>
      </c>
      <c r="U26" s="59">
        <v>5006.56</v>
      </c>
      <c r="V26" s="59">
        <v>5223.39</v>
      </c>
      <c r="W26" s="60">
        <v>5447.48</v>
      </c>
      <c r="X26" s="86">
        <v>5696.95</v>
      </c>
      <c r="Y26" s="58">
        <v>5858.13</v>
      </c>
      <c r="AA26" s="86">
        <v>7646.96</v>
      </c>
      <c r="AB26" s="32">
        <v>24</v>
      </c>
      <c r="AE26" s="237">
        <v>8237.04</v>
      </c>
      <c r="AF26" s="32">
        <v>24</v>
      </c>
      <c r="AI26" s="288">
        <v>9103.750184508091</v>
      </c>
      <c r="AJ26" s="32">
        <v>23</v>
      </c>
    </row>
    <row r="27" spans="1:36" ht="15.75">
      <c r="A27" s="32" t="s">
        <v>19</v>
      </c>
      <c r="B27" s="61">
        <v>6987.95</v>
      </c>
      <c r="C27" s="86">
        <v>7189.81</v>
      </c>
      <c r="D27" s="86">
        <v>7434.36</v>
      </c>
      <c r="E27" s="86">
        <v>7879.56</v>
      </c>
      <c r="F27" s="58">
        <v>8431.89</v>
      </c>
      <c r="G27" s="86">
        <v>8976.89</v>
      </c>
      <c r="H27" s="86">
        <v>8969.6</v>
      </c>
      <c r="I27" s="86">
        <v>9928.06</v>
      </c>
      <c r="J27" s="237">
        <v>10585.29</v>
      </c>
      <c r="K27" s="237">
        <v>11232.03159782092</v>
      </c>
      <c r="L27" s="278">
        <f>(K27-J27)*100/J27</f>
        <v>6.109814637302513</v>
      </c>
      <c r="M27" s="278">
        <f>((K27-Y27)*100)/Y27</f>
        <v>87.29479834551591</v>
      </c>
      <c r="N27" s="59">
        <v>3959.87</v>
      </c>
      <c r="O27" s="59">
        <v>4313</v>
      </c>
      <c r="P27" s="59">
        <v>4726.7</v>
      </c>
      <c r="Q27" s="59">
        <v>5072.81</v>
      </c>
      <c r="R27" s="59">
        <v>5549.22</v>
      </c>
      <c r="S27" s="59">
        <v>6028.51</v>
      </c>
      <c r="T27" s="59">
        <v>6694.59</v>
      </c>
      <c r="U27" s="59">
        <v>6488.66</v>
      </c>
      <c r="V27" s="59">
        <v>6456.71</v>
      </c>
      <c r="W27" s="60">
        <v>6570.92</v>
      </c>
      <c r="X27" s="86">
        <v>6793.21</v>
      </c>
      <c r="Y27" s="58">
        <v>5996.98</v>
      </c>
      <c r="AA27" s="86">
        <v>9928.06</v>
      </c>
      <c r="AB27" s="32">
        <v>5</v>
      </c>
      <c r="AE27" s="237">
        <v>10585.29</v>
      </c>
      <c r="AF27" s="32">
        <v>3</v>
      </c>
      <c r="AI27" s="288">
        <v>11232.03159782092</v>
      </c>
      <c r="AJ27" s="32">
        <v>4</v>
      </c>
    </row>
    <row r="28" spans="1:36" ht="15.75">
      <c r="A28" s="32" t="s">
        <v>20</v>
      </c>
      <c r="B28" s="61">
        <v>6944.64</v>
      </c>
      <c r="C28" s="86">
        <v>7850.25</v>
      </c>
      <c r="D28" s="86">
        <v>7771.19</v>
      </c>
      <c r="E28" s="86">
        <v>7964.04</v>
      </c>
      <c r="F28" s="58">
        <v>8979.82</v>
      </c>
      <c r="G28" s="86">
        <v>9460.65</v>
      </c>
      <c r="H28" s="86">
        <v>10038.36</v>
      </c>
      <c r="I28" s="86">
        <v>10007.79</v>
      </c>
      <c r="J28" s="237">
        <v>10422.42</v>
      </c>
      <c r="K28" s="237">
        <v>11104.735923003807</v>
      </c>
      <c r="L28" s="278">
        <f>(K28-J28)*100/J28</f>
        <v>6.546617033316708</v>
      </c>
      <c r="M28" s="278">
        <f>((K28-Y28)*100)/Y28</f>
        <v>62.944305955257946</v>
      </c>
      <c r="N28" s="59">
        <v>3453.43</v>
      </c>
      <c r="O28" s="59">
        <v>3962.2</v>
      </c>
      <c r="P28" s="59">
        <v>4315.83</v>
      </c>
      <c r="Q28" s="59">
        <v>4712.62</v>
      </c>
      <c r="R28" s="59">
        <v>5277.09</v>
      </c>
      <c r="S28" s="59">
        <v>5622.85</v>
      </c>
      <c r="T28" s="59">
        <v>5753.16</v>
      </c>
      <c r="U28" s="59">
        <v>6015.61</v>
      </c>
      <c r="V28" s="59">
        <v>6009.46</v>
      </c>
      <c r="W28" s="60">
        <v>6430.17</v>
      </c>
      <c r="X28" s="86">
        <v>6688.63</v>
      </c>
      <c r="Y28" s="58">
        <v>6815.05</v>
      </c>
      <c r="AA28" s="86">
        <v>10007.79</v>
      </c>
      <c r="AB28" s="32">
        <v>3</v>
      </c>
      <c r="AE28" s="237">
        <v>10422.42</v>
      </c>
      <c r="AF28" s="32">
        <v>4</v>
      </c>
      <c r="AI28" s="288">
        <v>11104.735923003807</v>
      </c>
      <c r="AJ28" s="32">
        <v>5</v>
      </c>
    </row>
    <row r="29" spans="2:35" ht="15.75">
      <c r="B29" s="61"/>
      <c r="C29" s="86"/>
      <c r="D29" s="86"/>
      <c r="E29" s="86"/>
      <c r="F29" s="58"/>
      <c r="G29" s="86"/>
      <c r="H29" s="86"/>
      <c r="I29" s="86"/>
      <c r="J29" s="237"/>
      <c r="K29" s="237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60"/>
      <c r="X29" s="86"/>
      <c r="Y29" s="58"/>
      <c r="AA29" s="86"/>
      <c r="AE29" s="237"/>
      <c r="AI29" s="288"/>
    </row>
    <row r="30" spans="1:36" ht="15.75">
      <c r="A30" s="32" t="s">
        <v>21</v>
      </c>
      <c r="B30" s="61">
        <v>8034.88</v>
      </c>
      <c r="C30" s="86">
        <v>8287</v>
      </c>
      <c r="D30" s="86">
        <v>8574.38</v>
      </c>
      <c r="E30" s="86">
        <v>8888.19</v>
      </c>
      <c r="F30" s="58">
        <v>9488.3</v>
      </c>
      <c r="G30" s="86">
        <v>9876.27</v>
      </c>
      <c r="H30" s="86">
        <v>10415.11</v>
      </c>
      <c r="I30" s="86">
        <v>10973.72</v>
      </c>
      <c r="J30" s="237">
        <v>11740.4</v>
      </c>
      <c r="K30" s="237">
        <v>12646.759382706716</v>
      </c>
      <c r="L30" s="278">
        <f>(K30-J30)*100/J30</f>
        <v>7.720004281853396</v>
      </c>
      <c r="M30" s="278">
        <f>((K30-Y30)*100)/Y30</f>
        <v>60.35308759052084</v>
      </c>
      <c r="N30" s="59">
        <v>4901.45</v>
      </c>
      <c r="O30" s="59">
        <v>5295.02</v>
      </c>
      <c r="P30" s="59">
        <v>5643.57</v>
      </c>
      <c r="Q30" s="59">
        <v>6111.85</v>
      </c>
      <c r="R30" s="59">
        <v>6629.5</v>
      </c>
      <c r="S30" s="59">
        <v>7213.13</v>
      </c>
      <c r="T30" s="59">
        <v>7590.72</v>
      </c>
      <c r="U30" s="59">
        <v>7376.56</v>
      </c>
      <c r="V30" s="59">
        <v>7543.66</v>
      </c>
      <c r="W30" s="60">
        <v>7538.69</v>
      </c>
      <c r="X30" s="86">
        <v>7697.39</v>
      </c>
      <c r="Y30" s="58">
        <v>7886.82</v>
      </c>
      <c r="AA30" s="86">
        <v>10973.72</v>
      </c>
      <c r="AB30" s="32">
        <v>1</v>
      </c>
      <c r="AE30" s="237">
        <v>11740.4</v>
      </c>
      <c r="AF30" s="32">
        <v>1</v>
      </c>
      <c r="AI30" s="288">
        <v>12646.759382706716</v>
      </c>
      <c r="AJ30" s="32">
        <v>1</v>
      </c>
    </row>
    <row r="31" spans="1:36" ht="15.75">
      <c r="A31" s="32" t="s">
        <v>22</v>
      </c>
      <c r="B31" s="61">
        <v>6370.12</v>
      </c>
      <c r="C31" s="86">
        <v>6584.5</v>
      </c>
      <c r="D31" s="86">
        <v>6853.48</v>
      </c>
      <c r="E31" s="86">
        <v>7116.13</v>
      </c>
      <c r="F31" s="58">
        <v>7313.09</v>
      </c>
      <c r="G31" s="86">
        <v>7698.87</v>
      </c>
      <c r="H31" s="86">
        <v>8261.77</v>
      </c>
      <c r="I31" s="86">
        <v>8401.35</v>
      </c>
      <c r="J31" s="237">
        <v>9102.66</v>
      </c>
      <c r="K31" s="237">
        <v>9698.544876685004</v>
      </c>
      <c r="L31" s="278">
        <f>(K31-J31)*100/J31</f>
        <v>6.546271932435181</v>
      </c>
      <c r="M31" s="278">
        <f>((K31-Y31)*100)/Y31</f>
        <v>54.3747105308104</v>
      </c>
      <c r="N31" s="59">
        <v>3577.89</v>
      </c>
      <c r="O31" s="59">
        <v>3931.28</v>
      </c>
      <c r="P31" s="59">
        <v>4326.44</v>
      </c>
      <c r="Q31" s="59">
        <v>4805.36</v>
      </c>
      <c r="R31" s="59">
        <v>5157.42</v>
      </c>
      <c r="S31" s="59">
        <v>5470.57</v>
      </c>
      <c r="T31" s="59">
        <v>5802.68</v>
      </c>
      <c r="U31" s="59">
        <v>5636.98</v>
      </c>
      <c r="V31" s="59">
        <v>5897.43</v>
      </c>
      <c r="W31" s="60">
        <v>6018.46</v>
      </c>
      <c r="X31" s="86">
        <v>6272.26</v>
      </c>
      <c r="Y31" s="58">
        <v>6282.47</v>
      </c>
      <c r="AA31" s="86">
        <v>8401.35</v>
      </c>
      <c r="AB31" s="32">
        <v>17</v>
      </c>
      <c r="AE31" s="237">
        <v>9102.66</v>
      </c>
      <c r="AF31" s="32">
        <v>13</v>
      </c>
      <c r="AI31" s="288">
        <v>9698.544876685004</v>
      </c>
      <c r="AJ31" s="32">
        <v>13</v>
      </c>
    </row>
    <row r="32" spans="1:36" ht="15.75">
      <c r="A32" s="32" t="s">
        <v>23</v>
      </c>
      <c r="B32" s="61">
        <v>6281.33</v>
      </c>
      <c r="C32" s="86">
        <v>6382.87</v>
      </c>
      <c r="D32" s="86">
        <v>6741.51</v>
      </c>
      <c r="E32" s="86">
        <v>6966.58</v>
      </c>
      <c r="F32" s="58">
        <v>7395.2</v>
      </c>
      <c r="G32" s="86">
        <v>7919.13</v>
      </c>
      <c r="H32" s="86">
        <v>8098</v>
      </c>
      <c r="I32" s="86">
        <v>8536.52</v>
      </c>
      <c r="J32" s="237">
        <v>8719.62</v>
      </c>
      <c r="K32" s="237">
        <v>9212.643562210293</v>
      </c>
      <c r="L32" s="278">
        <f>(K32-J32)*100/J32</f>
        <v>5.654186331632477</v>
      </c>
      <c r="M32" s="278">
        <f>((K32-Y32)*100)/Y32</f>
        <v>52.04590043125558</v>
      </c>
      <c r="N32" s="59">
        <v>3367.29</v>
      </c>
      <c r="O32" s="59">
        <v>3852.69</v>
      </c>
      <c r="P32" s="59">
        <v>4262.23</v>
      </c>
      <c r="Q32" s="59">
        <v>4443.58</v>
      </c>
      <c r="R32" s="59">
        <v>4726.82</v>
      </c>
      <c r="S32" s="59">
        <v>5132.51</v>
      </c>
      <c r="T32" s="59">
        <v>5357.94</v>
      </c>
      <c r="U32" s="59">
        <v>5591.5</v>
      </c>
      <c r="V32" s="59">
        <v>5635.29</v>
      </c>
      <c r="W32" s="60">
        <v>5932.42</v>
      </c>
      <c r="X32" s="86">
        <v>6095.58</v>
      </c>
      <c r="Y32" s="58">
        <v>6059.12</v>
      </c>
      <c r="AA32" s="86">
        <v>8536.52</v>
      </c>
      <c r="AB32" s="32">
        <v>15</v>
      </c>
      <c r="AE32" s="237">
        <v>8719.62</v>
      </c>
      <c r="AF32" s="32">
        <v>17</v>
      </c>
      <c r="AI32" s="288">
        <v>9212.643562210293</v>
      </c>
      <c r="AJ32" s="32">
        <v>21</v>
      </c>
    </row>
    <row r="33" spans="1:36" ht="15.75">
      <c r="A33" s="32" t="s">
        <v>24</v>
      </c>
      <c r="B33" s="61">
        <v>6270.88</v>
      </c>
      <c r="C33" s="86">
        <v>6421.45</v>
      </c>
      <c r="D33" s="86">
        <v>6708.32</v>
      </c>
      <c r="E33" s="86">
        <v>6953.05</v>
      </c>
      <c r="F33" s="58">
        <v>7425.96</v>
      </c>
      <c r="G33" s="86">
        <v>7852.41</v>
      </c>
      <c r="H33" s="86">
        <v>7968.32</v>
      </c>
      <c r="I33" s="86">
        <v>8167.93</v>
      </c>
      <c r="J33" s="237">
        <v>8903.02</v>
      </c>
      <c r="K33" s="237">
        <v>9262.881858595589</v>
      </c>
      <c r="L33" s="278">
        <f>(K33-J33)*100/J33</f>
        <v>4.042020107734098</v>
      </c>
      <c r="M33" s="278">
        <f>((K33-Y33)*100)/Y33</f>
        <v>54.54079890079245</v>
      </c>
      <c r="N33" s="59">
        <v>3186.08</v>
      </c>
      <c r="O33" s="59">
        <v>3634.98</v>
      </c>
      <c r="P33" s="59">
        <v>3898.11</v>
      </c>
      <c r="Q33" s="59">
        <v>4185.04</v>
      </c>
      <c r="R33" s="59">
        <v>4436.57</v>
      </c>
      <c r="S33" s="59">
        <v>4833.87</v>
      </c>
      <c r="T33" s="59">
        <v>5179.09</v>
      </c>
      <c r="U33" s="59">
        <v>5668.47</v>
      </c>
      <c r="V33" s="59">
        <v>5865.71</v>
      </c>
      <c r="W33" s="60">
        <v>6020.72</v>
      </c>
      <c r="X33" s="86">
        <v>6234.93</v>
      </c>
      <c r="Y33" s="58">
        <v>5993.81</v>
      </c>
      <c r="AA33" s="86">
        <v>8167.93</v>
      </c>
      <c r="AB33" s="32">
        <v>21</v>
      </c>
      <c r="AE33" s="237">
        <v>8903.02</v>
      </c>
      <c r="AF33" s="32">
        <v>16</v>
      </c>
      <c r="AI33" s="288">
        <v>9262.881858595589</v>
      </c>
      <c r="AJ33" s="32">
        <v>19</v>
      </c>
    </row>
    <row r="34" spans="1:36" ht="15.75">
      <c r="A34" s="32" t="s">
        <v>25</v>
      </c>
      <c r="B34" s="61">
        <v>6624.11</v>
      </c>
      <c r="C34" s="86">
        <v>7313.89</v>
      </c>
      <c r="D34" s="86">
        <v>7637.66</v>
      </c>
      <c r="E34" s="86">
        <v>8033.8</v>
      </c>
      <c r="F34" s="58">
        <v>8465.22</v>
      </c>
      <c r="G34" s="86">
        <v>8978.08</v>
      </c>
      <c r="H34" s="86">
        <v>9523.81</v>
      </c>
      <c r="I34" s="86">
        <v>9951.12</v>
      </c>
      <c r="J34" s="237">
        <v>10390.45</v>
      </c>
      <c r="K34" s="237">
        <v>11307.863284738287</v>
      </c>
      <c r="L34" s="278">
        <f>(K34-J34)*100/J34</f>
        <v>8.829389340579919</v>
      </c>
      <c r="M34" s="278">
        <f>((K34-Y34)*100)/Y34</f>
        <v>71.68686179918538</v>
      </c>
      <c r="N34" s="59">
        <v>3018.29</v>
      </c>
      <c r="O34" s="59">
        <v>3277.55</v>
      </c>
      <c r="P34" s="59">
        <v>3559.04</v>
      </c>
      <c r="Q34" s="59">
        <v>3829.65</v>
      </c>
      <c r="R34" s="59">
        <v>4251</v>
      </c>
      <c r="S34" s="59">
        <v>4638.96</v>
      </c>
      <c r="T34" s="59">
        <v>5109.56</v>
      </c>
      <c r="U34" s="59">
        <v>4938.42</v>
      </c>
      <c r="V34" s="59">
        <v>5106.73</v>
      </c>
      <c r="W34" s="60">
        <v>5622.46</v>
      </c>
      <c r="X34" s="86">
        <v>5956.8</v>
      </c>
      <c r="Y34" s="58">
        <v>6586.33</v>
      </c>
      <c r="AA34" s="86">
        <v>9951.12</v>
      </c>
      <c r="AB34" s="32">
        <v>4</v>
      </c>
      <c r="AE34" s="237">
        <v>10390.45</v>
      </c>
      <c r="AF34" s="32">
        <v>5</v>
      </c>
      <c r="AI34" s="288">
        <v>11307.863284738287</v>
      </c>
      <c r="AJ34" s="32">
        <v>3</v>
      </c>
    </row>
    <row r="35" spans="2:35" ht="15.75">
      <c r="B35" s="61"/>
      <c r="C35" s="86"/>
      <c r="D35" s="86"/>
      <c r="E35" s="86"/>
      <c r="F35" s="58"/>
      <c r="G35" s="86"/>
      <c r="H35" s="86"/>
      <c r="I35" s="86"/>
      <c r="J35" s="237"/>
      <c r="K35" s="237"/>
      <c r="L35" s="58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60"/>
      <c r="X35" s="86"/>
      <c r="Y35" s="58"/>
      <c r="AA35" s="86"/>
      <c r="AE35" s="237"/>
      <c r="AI35" s="288"/>
    </row>
    <row r="36" spans="1:36" ht="15.75">
      <c r="A36" s="32" t="s">
        <v>26</v>
      </c>
      <c r="B36" s="61">
        <v>6163.83</v>
      </c>
      <c r="C36" s="86">
        <v>6201.98</v>
      </c>
      <c r="D36" s="86">
        <v>6608.51</v>
      </c>
      <c r="E36" s="86">
        <v>6819.4</v>
      </c>
      <c r="F36" s="58">
        <v>7337.71</v>
      </c>
      <c r="G36" s="86">
        <v>7911.52</v>
      </c>
      <c r="H36" s="86">
        <v>8483.29</v>
      </c>
      <c r="I36" s="86">
        <v>9073.12</v>
      </c>
      <c r="J36" s="237">
        <v>9023.72</v>
      </c>
      <c r="K36" s="237">
        <v>9697.000708485726</v>
      </c>
      <c r="L36" s="278">
        <f>(K36-J36)*100/J36</f>
        <v>7.461232268795207</v>
      </c>
      <c r="M36" s="278">
        <f>((K36-Y36)*100)/Y36</f>
        <v>60.97839912224241</v>
      </c>
      <c r="N36" s="59">
        <v>3490.67</v>
      </c>
      <c r="O36" s="59">
        <v>3767.92</v>
      </c>
      <c r="P36" s="59">
        <v>3859.43</v>
      </c>
      <c r="Q36" s="59">
        <v>4342.83</v>
      </c>
      <c r="R36" s="59">
        <v>4722.49</v>
      </c>
      <c r="S36" s="59">
        <v>5304.5</v>
      </c>
      <c r="T36" s="59">
        <v>5325.86</v>
      </c>
      <c r="U36" s="59">
        <v>5306.71</v>
      </c>
      <c r="V36" s="59">
        <v>5398.95</v>
      </c>
      <c r="W36" s="60">
        <v>5699.62</v>
      </c>
      <c r="X36" s="86">
        <v>5879.46</v>
      </c>
      <c r="Y36" s="58">
        <v>6023.79</v>
      </c>
      <c r="AA36" s="86">
        <v>9073.12</v>
      </c>
      <c r="AB36" s="32">
        <v>7</v>
      </c>
      <c r="AE36" s="237">
        <v>9023.72</v>
      </c>
      <c r="AF36" s="32">
        <v>14</v>
      </c>
      <c r="AI36" s="288">
        <v>9697.000708485726</v>
      </c>
      <c r="AJ36" s="32">
        <v>14</v>
      </c>
    </row>
    <row r="37" spans="1:36" ht="15.75">
      <c r="A37" s="32" t="s">
        <v>27</v>
      </c>
      <c r="B37" s="61">
        <v>5869.49</v>
      </c>
      <c r="C37" s="86">
        <v>6047.48</v>
      </c>
      <c r="D37" s="86">
        <v>6412.16</v>
      </c>
      <c r="E37" s="86">
        <v>6792.21</v>
      </c>
      <c r="F37" s="58">
        <v>7085.97</v>
      </c>
      <c r="G37" s="86">
        <v>7593.66</v>
      </c>
      <c r="H37" s="86">
        <v>7910.1</v>
      </c>
      <c r="I37" s="86">
        <v>8167.32</v>
      </c>
      <c r="J37" s="237">
        <v>8522.43</v>
      </c>
      <c r="K37" s="237">
        <v>9127.494528308553</v>
      </c>
      <c r="L37" s="278">
        <f>(K37-J37)*100/J37</f>
        <v>7.099671435360013</v>
      </c>
      <c r="M37" s="278">
        <f>((K37-Y37)*100)/Y37</f>
        <v>60.249561577101595</v>
      </c>
      <c r="N37" s="59">
        <v>3359.32</v>
      </c>
      <c r="O37" s="59">
        <v>3701.96</v>
      </c>
      <c r="P37" s="59">
        <v>3934.99</v>
      </c>
      <c r="Q37" s="59">
        <v>4181.36</v>
      </c>
      <c r="R37" s="59">
        <v>4567.52</v>
      </c>
      <c r="S37" s="59">
        <v>4867.91</v>
      </c>
      <c r="T37" s="59">
        <v>5183.48</v>
      </c>
      <c r="U37" s="59">
        <v>5306.75</v>
      </c>
      <c r="V37" s="59">
        <v>5328.12</v>
      </c>
      <c r="W37" s="60">
        <v>5504.58</v>
      </c>
      <c r="X37" s="86">
        <v>5723.08</v>
      </c>
      <c r="Y37" s="58">
        <v>5695.8</v>
      </c>
      <c r="AA37" s="86">
        <v>8167.32</v>
      </c>
      <c r="AB37" s="32">
        <v>22</v>
      </c>
      <c r="AE37" s="237">
        <v>8522.43</v>
      </c>
      <c r="AF37" s="32">
        <v>23</v>
      </c>
      <c r="AI37" s="288">
        <v>9127.494528308553</v>
      </c>
      <c r="AJ37" s="32">
        <v>22</v>
      </c>
    </row>
    <row r="38" spans="1:36" ht="15.75">
      <c r="A38" s="32" t="s">
        <v>28</v>
      </c>
      <c r="B38" s="61">
        <v>5882.29</v>
      </c>
      <c r="C38" s="86">
        <v>6216.07</v>
      </c>
      <c r="D38" s="86">
        <v>6580.28</v>
      </c>
      <c r="E38" s="86">
        <v>7011.51</v>
      </c>
      <c r="F38" s="58">
        <v>7686.17</v>
      </c>
      <c r="G38" s="86">
        <v>7948.4</v>
      </c>
      <c r="H38" s="86">
        <v>8298.92</v>
      </c>
      <c r="I38" s="86">
        <v>8642.93</v>
      </c>
      <c r="J38" s="237">
        <v>8998.11</v>
      </c>
      <c r="K38" s="237">
        <v>9692.417456888159</v>
      </c>
      <c r="L38" s="278">
        <f>(K38-J38)*100/J38</f>
        <v>7.716147689772167</v>
      </c>
      <c r="M38" s="278">
        <f>((K38-Y38)*100)/Y38</f>
        <v>74.10204356114521</v>
      </c>
      <c r="N38" s="59">
        <v>3161.46</v>
      </c>
      <c r="O38" s="59">
        <v>3361.15</v>
      </c>
      <c r="P38" s="59">
        <v>3623.26</v>
      </c>
      <c r="Q38" s="59">
        <v>3882.99</v>
      </c>
      <c r="R38" s="59">
        <v>4159.17</v>
      </c>
      <c r="S38" s="59">
        <v>4537.09</v>
      </c>
      <c r="T38" s="59">
        <v>4923.35</v>
      </c>
      <c r="U38" s="59">
        <v>5039.23</v>
      </c>
      <c r="V38" s="59">
        <v>5126.69</v>
      </c>
      <c r="W38" s="60">
        <v>5305.65</v>
      </c>
      <c r="X38" s="86">
        <v>5526.54</v>
      </c>
      <c r="Y38" s="58">
        <v>5567.09</v>
      </c>
      <c r="AA38" s="86">
        <v>8642.93</v>
      </c>
      <c r="AB38" s="32">
        <v>14</v>
      </c>
      <c r="AE38" s="237">
        <v>8998.11</v>
      </c>
      <c r="AF38" s="32">
        <v>15</v>
      </c>
      <c r="AI38" s="288">
        <v>9692.417456888159</v>
      </c>
      <c r="AJ38" s="32">
        <v>15</v>
      </c>
    </row>
    <row r="39" spans="1:36" ht="15.75">
      <c r="A39" s="44" t="s">
        <v>29</v>
      </c>
      <c r="B39" s="62">
        <v>6649.65</v>
      </c>
      <c r="C39" s="62">
        <v>7027.51</v>
      </c>
      <c r="D39" s="62">
        <v>7409.32</v>
      </c>
      <c r="E39" s="62">
        <v>7769.11</v>
      </c>
      <c r="F39" s="178">
        <v>8506.95</v>
      </c>
      <c r="G39" s="62">
        <v>9417.95</v>
      </c>
      <c r="H39" s="62">
        <v>10749.71</v>
      </c>
      <c r="I39" s="62">
        <v>10672.96</v>
      </c>
      <c r="J39" s="238">
        <v>11227.57</v>
      </c>
      <c r="K39" s="238">
        <v>11907.462481882545</v>
      </c>
      <c r="L39" s="279">
        <f>(K39-J39)*100/J39</f>
        <v>6.055562173137601</v>
      </c>
      <c r="M39" s="279">
        <f>((K39-Y39)*100)/Y39</f>
        <v>86.05526412481555</v>
      </c>
      <c r="N39" s="59">
        <v>3895.8</v>
      </c>
      <c r="O39" s="239">
        <v>4189.02</v>
      </c>
      <c r="P39" s="59">
        <v>4730.35</v>
      </c>
      <c r="Q39" s="59">
        <v>5032.04</v>
      </c>
      <c r="R39" s="59">
        <v>5267.84</v>
      </c>
      <c r="S39" s="239">
        <v>5649.71</v>
      </c>
      <c r="T39" s="59">
        <v>5922.01</v>
      </c>
      <c r="U39" s="59">
        <v>6104.16</v>
      </c>
      <c r="V39" s="59">
        <v>6118.32</v>
      </c>
      <c r="W39" s="60">
        <v>6337.8</v>
      </c>
      <c r="X39" s="62">
        <v>6304.4</v>
      </c>
      <c r="Y39" s="58">
        <v>6399.96</v>
      </c>
      <c r="AA39" s="62">
        <v>10672.96</v>
      </c>
      <c r="AB39" s="44">
        <v>2</v>
      </c>
      <c r="AC39" s="44"/>
      <c r="AE39" s="238">
        <v>11227.57</v>
      </c>
      <c r="AF39" s="32">
        <v>2</v>
      </c>
      <c r="AI39" s="288">
        <v>11907.462481882545</v>
      </c>
      <c r="AJ39" s="32">
        <v>2</v>
      </c>
    </row>
    <row r="40" spans="1:25" ht="12.75">
      <c r="A40" s="32" t="s">
        <v>82</v>
      </c>
      <c r="B40" s="39"/>
      <c r="C40" s="39"/>
      <c r="D40" s="39"/>
      <c r="E40" s="39"/>
      <c r="F40" s="61"/>
      <c r="G40" s="61"/>
      <c r="H40" s="61"/>
      <c r="I40" s="61"/>
      <c r="J40" s="61"/>
      <c r="K40" s="61"/>
      <c r="L40" s="61"/>
      <c r="M40" s="61"/>
      <c r="N40" s="61"/>
      <c r="O40" s="39"/>
      <c r="Q40" s="39"/>
      <c r="R40" s="39"/>
      <c r="S40" s="39"/>
      <c r="V40" s="39"/>
      <c r="W40" s="39"/>
      <c r="X40" s="45"/>
      <c r="Y40" s="75"/>
    </row>
    <row r="41" spans="1:25" ht="12.75">
      <c r="A41" s="32" t="s">
        <v>251</v>
      </c>
      <c r="F41" s="61"/>
      <c r="G41" s="61"/>
      <c r="H41" s="61"/>
      <c r="I41" s="61"/>
      <c r="J41" s="61"/>
      <c r="K41" s="61"/>
      <c r="L41" s="61"/>
      <c r="M41" s="61"/>
      <c r="N41" s="61"/>
      <c r="Q41" s="38"/>
      <c r="R41" s="38"/>
      <c r="S41" s="38"/>
      <c r="W41" s="38"/>
      <c r="X41" s="38"/>
      <c r="Y41" s="38"/>
    </row>
    <row r="42" spans="6:25" ht="12.75">
      <c r="F42" s="61"/>
      <c r="G42" s="61"/>
      <c r="H42" s="61"/>
      <c r="I42" s="61"/>
      <c r="J42" s="61"/>
      <c r="K42" s="61"/>
      <c r="L42" s="61"/>
      <c r="M42" s="61"/>
      <c r="N42" s="61"/>
      <c r="Q42" s="38"/>
      <c r="R42" s="38"/>
      <c r="S42" s="38"/>
      <c r="W42" s="38"/>
      <c r="X42" s="38"/>
      <c r="Y42" s="38"/>
    </row>
    <row r="43" spans="6:25" ht="12.75">
      <c r="F43" s="61"/>
      <c r="G43" s="61"/>
      <c r="H43" s="61"/>
      <c r="I43" s="61"/>
      <c r="J43" s="61"/>
      <c r="K43" s="61"/>
      <c r="L43" s="61"/>
      <c r="M43" s="61"/>
      <c r="N43" s="61"/>
      <c r="Q43" s="38"/>
      <c r="R43" s="38"/>
      <c r="S43" s="38"/>
      <c r="W43" s="38"/>
      <c r="X43" s="38"/>
      <c r="Y43" s="38"/>
    </row>
    <row r="44" spans="6:25" ht="12.75">
      <c r="F44" s="61"/>
      <c r="G44" s="61"/>
      <c r="H44" s="61"/>
      <c r="I44" s="61"/>
      <c r="J44" s="61"/>
      <c r="K44" s="61"/>
      <c r="L44" s="61"/>
      <c r="M44" s="61"/>
      <c r="N44" s="61"/>
      <c r="Q44" s="38"/>
      <c r="R44" s="38"/>
      <c r="S44" s="38"/>
      <c r="W44" s="38"/>
      <c r="X44" s="38"/>
      <c r="Y44" s="38"/>
    </row>
    <row r="45" spans="6:25" ht="12.75">
      <c r="F45" s="61"/>
      <c r="G45" s="61"/>
      <c r="H45" s="61"/>
      <c r="I45" s="61"/>
      <c r="J45" s="61"/>
      <c r="K45" s="61"/>
      <c r="L45" s="61"/>
      <c r="M45" s="61"/>
      <c r="N45" s="61"/>
      <c r="Q45" s="38"/>
      <c r="R45" s="38"/>
      <c r="S45" s="38"/>
      <c r="W45" s="38"/>
      <c r="X45" s="38"/>
      <c r="Y45" s="38"/>
    </row>
    <row r="46" spans="6:25" ht="12.75">
      <c r="F46" s="61"/>
      <c r="G46" s="61"/>
      <c r="H46" s="61"/>
      <c r="I46" s="61"/>
      <c r="J46" s="61"/>
      <c r="K46" s="61"/>
      <c r="L46" s="61"/>
      <c r="M46" s="61"/>
      <c r="N46" s="61"/>
      <c r="Q46" s="38"/>
      <c r="R46" s="38"/>
      <c r="S46" s="38"/>
      <c r="W46" s="38"/>
      <c r="X46" s="38"/>
      <c r="Y46" s="38"/>
    </row>
    <row r="47" spans="6:25" ht="12.75">
      <c r="F47" s="61"/>
      <c r="G47" s="61"/>
      <c r="H47" s="61"/>
      <c r="I47" s="61"/>
      <c r="J47" s="61"/>
      <c r="K47" s="61"/>
      <c r="L47" s="61"/>
      <c r="M47" s="61"/>
      <c r="N47" s="61"/>
      <c r="W47" s="38"/>
      <c r="X47" s="38"/>
      <c r="Y47" s="38"/>
    </row>
    <row r="48" spans="6:25" ht="12.75">
      <c r="F48" s="61"/>
      <c r="G48" s="61"/>
      <c r="H48" s="61"/>
      <c r="I48" s="61"/>
      <c r="J48" s="61"/>
      <c r="K48" s="61"/>
      <c r="L48" s="61"/>
      <c r="M48" s="61"/>
      <c r="N48" s="61"/>
      <c r="W48" s="38"/>
      <c r="X48" s="38"/>
      <c r="Y48" s="38"/>
    </row>
    <row r="49" spans="6:25" ht="12.75">
      <c r="F49" s="61"/>
      <c r="G49" s="61"/>
      <c r="H49" s="61"/>
      <c r="I49" s="61"/>
      <c r="J49" s="61"/>
      <c r="K49" s="61"/>
      <c r="L49" s="61"/>
      <c r="M49" s="61"/>
      <c r="N49" s="61"/>
      <c r="W49" s="38"/>
      <c r="X49" s="38"/>
      <c r="Y49" s="38"/>
    </row>
    <row r="50" spans="6:25" ht="12.75">
      <c r="F50" s="61"/>
      <c r="G50" s="61"/>
      <c r="H50" s="61"/>
      <c r="I50" s="61"/>
      <c r="J50" s="61"/>
      <c r="K50" s="61"/>
      <c r="L50" s="61"/>
      <c r="M50" s="61"/>
      <c r="N50" s="61"/>
      <c r="W50" s="38"/>
      <c r="X50" s="38"/>
      <c r="Y50" s="38"/>
    </row>
    <row r="51" spans="6:25" ht="12.75">
      <c r="F51" s="61"/>
      <c r="G51" s="61"/>
      <c r="H51" s="61"/>
      <c r="I51" s="61"/>
      <c r="J51" s="61"/>
      <c r="K51" s="61"/>
      <c r="L51" s="61"/>
      <c r="M51" s="61"/>
      <c r="N51" s="61"/>
      <c r="W51" s="38"/>
      <c r="X51" s="38"/>
      <c r="Y51" s="38"/>
    </row>
    <row r="52" spans="6:25" ht="12.75">
      <c r="F52" s="61"/>
      <c r="G52" s="61"/>
      <c r="H52" s="61"/>
      <c r="I52" s="61"/>
      <c r="J52" s="61"/>
      <c r="K52" s="61"/>
      <c r="L52" s="61"/>
      <c r="M52" s="61"/>
      <c r="N52" s="61"/>
      <c r="X52" s="38"/>
      <c r="Y52" s="38"/>
    </row>
    <row r="53" spans="6:25" ht="12.75">
      <c r="F53" s="61"/>
      <c r="G53" s="61"/>
      <c r="H53" s="61"/>
      <c r="I53" s="61"/>
      <c r="J53" s="61"/>
      <c r="K53" s="61"/>
      <c r="L53" s="61"/>
      <c r="M53" s="61"/>
      <c r="N53" s="61"/>
      <c r="X53" s="38"/>
      <c r="Y53" s="38"/>
    </row>
    <row r="54" spans="6:14" ht="12.75">
      <c r="F54" s="61"/>
      <c r="G54" s="61"/>
      <c r="H54" s="61"/>
      <c r="I54" s="61"/>
      <c r="J54" s="61"/>
      <c r="K54" s="61"/>
      <c r="L54" s="61"/>
      <c r="M54" s="61"/>
      <c r="N54" s="61"/>
    </row>
    <row r="55" spans="6:14" ht="12.75">
      <c r="F55" s="61"/>
      <c r="G55" s="61"/>
      <c r="H55" s="61"/>
      <c r="I55" s="61"/>
      <c r="J55" s="61"/>
      <c r="K55" s="61"/>
      <c r="L55" s="61"/>
      <c r="M55" s="61"/>
      <c r="N55" s="61"/>
    </row>
    <row r="56" spans="6:14" ht="12.75">
      <c r="F56" s="61"/>
      <c r="G56" s="61"/>
      <c r="H56" s="61"/>
      <c r="I56" s="61"/>
      <c r="J56" s="61"/>
      <c r="K56" s="61"/>
      <c r="L56" s="61"/>
      <c r="M56" s="61"/>
      <c r="N56" s="61"/>
    </row>
    <row r="57" spans="6:14" ht="12.75">
      <c r="F57" s="61"/>
      <c r="G57" s="61"/>
      <c r="H57" s="61"/>
      <c r="I57" s="61"/>
      <c r="J57" s="61"/>
      <c r="K57" s="61"/>
      <c r="L57" s="61"/>
      <c r="M57" s="61"/>
      <c r="N57" s="61"/>
    </row>
    <row r="58" spans="6:14" ht="12.75">
      <c r="F58" s="61"/>
      <c r="G58" s="61"/>
      <c r="H58" s="61"/>
      <c r="I58" s="61"/>
      <c r="J58" s="61"/>
      <c r="K58" s="61"/>
      <c r="L58" s="61"/>
      <c r="M58" s="61"/>
      <c r="N58" s="61"/>
    </row>
    <row r="59" spans="6:14" ht="12.75">
      <c r="F59" s="61"/>
      <c r="G59" s="61"/>
      <c r="H59" s="61"/>
      <c r="I59" s="61"/>
      <c r="J59" s="61"/>
      <c r="K59" s="61"/>
      <c r="L59" s="61"/>
      <c r="M59" s="61"/>
      <c r="N59" s="61"/>
    </row>
    <row r="60" spans="6:14" ht="12.75">
      <c r="F60" s="61"/>
      <c r="G60" s="61"/>
      <c r="H60" s="61"/>
      <c r="I60" s="61"/>
      <c r="J60" s="61"/>
      <c r="K60" s="61"/>
      <c r="L60" s="61"/>
      <c r="M60" s="61"/>
      <c r="N60" s="61"/>
    </row>
    <row r="61" spans="6:14" ht="12.75">
      <c r="F61" s="61"/>
      <c r="G61" s="61"/>
      <c r="H61" s="61"/>
      <c r="I61" s="61"/>
      <c r="J61" s="61"/>
      <c r="K61" s="61"/>
      <c r="L61" s="61"/>
      <c r="M61" s="61"/>
      <c r="N61" s="61"/>
    </row>
    <row r="62" spans="6:14" ht="12.75">
      <c r="F62" s="61"/>
      <c r="G62" s="61"/>
      <c r="H62" s="61"/>
      <c r="I62" s="61"/>
      <c r="J62" s="61"/>
      <c r="K62" s="61"/>
      <c r="L62" s="61"/>
      <c r="M62" s="61"/>
      <c r="N62" s="61"/>
    </row>
    <row r="63" spans="6:14" ht="12.75">
      <c r="F63" s="61"/>
      <c r="G63" s="61"/>
      <c r="H63" s="61"/>
      <c r="I63" s="61"/>
      <c r="J63" s="61"/>
      <c r="K63" s="61"/>
      <c r="L63" s="61"/>
      <c r="M63" s="61"/>
      <c r="N63" s="61"/>
    </row>
    <row r="64" spans="6:14" ht="12.75">
      <c r="F64" s="61"/>
      <c r="G64" s="61"/>
      <c r="H64" s="61"/>
      <c r="I64" s="61"/>
      <c r="J64" s="61"/>
      <c r="K64" s="61"/>
      <c r="L64" s="61"/>
      <c r="M64" s="61"/>
      <c r="N64" s="61"/>
    </row>
    <row r="65" spans="6:14" ht="12.75">
      <c r="F65" s="61"/>
      <c r="G65" s="61"/>
      <c r="H65" s="61"/>
      <c r="I65" s="61"/>
      <c r="J65" s="61"/>
      <c r="K65" s="61"/>
      <c r="L65" s="61"/>
      <c r="M65" s="61"/>
      <c r="N65" s="61"/>
    </row>
    <row r="66" spans="6:14" ht="12.75">
      <c r="F66" s="61"/>
      <c r="G66" s="61"/>
      <c r="H66" s="61"/>
      <c r="I66" s="61"/>
      <c r="J66" s="61"/>
      <c r="K66" s="61"/>
      <c r="L66" s="61"/>
      <c r="M66" s="61"/>
      <c r="N66" s="61"/>
    </row>
    <row r="67" spans="6:14" ht="12.75">
      <c r="F67" s="61"/>
      <c r="G67" s="61"/>
      <c r="H67" s="61"/>
      <c r="I67" s="61"/>
      <c r="J67" s="61"/>
      <c r="K67" s="61"/>
      <c r="L67" s="61"/>
      <c r="M67" s="61"/>
      <c r="N67" s="61"/>
    </row>
    <row r="68" spans="6:14" ht="12.75">
      <c r="F68" s="61"/>
      <c r="G68" s="61"/>
      <c r="H68" s="61"/>
      <c r="I68" s="61"/>
      <c r="J68" s="61"/>
      <c r="K68" s="61"/>
      <c r="L68" s="61"/>
      <c r="M68" s="61"/>
      <c r="N68" s="61"/>
    </row>
    <row r="69" spans="6:14" ht="12.75">
      <c r="F69" s="61"/>
      <c r="G69" s="61"/>
      <c r="H69" s="61"/>
      <c r="I69" s="61"/>
      <c r="J69" s="61"/>
      <c r="K69" s="61"/>
      <c r="L69" s="61"/>
      <c r="M69" s="61"/>
      <c r="N69" s="61"/>
    </row>
    <row r="70" spans="6:14" ht="12.75">
      <c r="F70" s="61"/>
      <c r="G70" s="61"/>
      <c r="H70" s="61"/>
      <c r="I70" s="61"/>
      <c r="J70" s="61"/>
      <c r="K70" s="61"/>
      <c r="L70" s="61"/>
      <c r="M70" s="61"/>
      <c r="N70" s="61"/>
    </row>
    <row r="71" spans="6:14" ht="12.75">
      <c r="F71" s="61"/>
      <c r="G71" s="61"/>
      <c r="H71" s="61"/>
      <c r="I71" s="61"/>
      <c r="J71" s="61"/>
      <c r="K71" s="61"/>
      <c r="L71" s="61"/>
      <c r="M71" s="61"/>
      <c r="N71" s="61"/>
    </row>
    <row r="72" spans="6:14" ht="12.75">
      <c r="F72" s="61"/>
      <c r="G72" s="61"/>
      <c r="H72" s="61"/>
      <c r="I72" s="61"/>
      <c r="J72" s="61"/>
      <c r="K72" s="61"/>
      <c r="L72" s="61"/>
      <c r="M72" s="61"/>
      <c r="N72" s="61"/>
    </row>
    <row r="73" spans="6:14" ht="12.75">
      <c r="F73" s="61"/>
      <c r="G73" s="61"/>
      <c r="H73" s="61"/>
      <c r="I73" s="61"/>
      <c r="J73" s="61"/>
      <c r="K73" s="61"/>
      <c r="L73" s="61"/>
      <c r="M73" s="61"/>
      <c r="N73" s="61"/>
    </row>
    <row r="74" spans="6:14" ht="12.75">
      <c r="F74" s="61"/>
      <c r="G74" s="61"/>
      <c r="H74" s="61"/>
      <c r="I74" s="61"/>
      <c r="J74" s="61"/>
      <c r="K74" s="61"/>
      <c r="L74" s="61"/>
      <c r="M74" s="61"/>
      <c r="N74" s="61"/>
    </row>
    <row r="75" spans="6:14" ht="12.75">
      <c r="F75" s="61"/>
      <c r="G75" s="61"/>
      <c r="H75" s="61"/>
      <c r="I75" s="61"/>
      <c r="J75" s="61"/>
      <c r="K75" s="61"/>
      <c r="L75" s="61"/>
      <c r="M75" s="61"/>
      <c r="N75" s="61"/>
    </row>
  </sheetData>
  <sheetProtection password="CAF5" sheet="1" objects="1" scenarios="1"/>
  <mergeCells count="11">
    <mergeCell ref="AF9:AG9"/>
    <mergeCell ref="AE5:AG5"/>
    <mergeCell ref="AE6:AG6"/>
    <mergeCell ref="AE7:AG7"/>
    <mergeCell ref="AE8:AG8"/>
    <mergeCell ref="AA8:AC8"/>
    <mergeCell ref="AB9:AC9"/>
    <mergeCell ref="AA6:AC6"/>
    <mergeCell ref="A4:M4"/>
    <mergeCell ref="AA5:AC5"/>
    <mergeCell ref="AA7:AC7"/>
  </mergeCells>
  <printOptions/>
  <pageMargins left="0.61" right="0.64" top="1" bottom="1" header="0.5" footer="0.5"/>
  <pageSetup fitToHeight="1" fitToWidth="1" orientation="landscape" scale="74" r:id="rId1"/>
  <headerFooter alignWithMargins="0">
    <oddFooter>&amp;L&amp;"Lucida Sans,Italic"&amp;10MSDE-DBS  12 / 2007&amp;C-15 -&amp;R&amp;"Lucida Sans,Italic"&amp;10Selected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6"/>
  <sheetViews>
    <sheetView workbookViewId="0" topLeftCell="AH1">
      <pane xSplit="14970" topLeftCell="A34" activePane="topLeft" state="split"/>
      <selection pane="topLeft" activeCell="AQ10" sqref="AQ10"/>
      <selection pane="topRight" activeCell="X3" sqref="X3"/>
    </sheetView>
  </sheetViews>
  <sheetFormatPr defaultColWidth="9.00390625" defaultRowHeight="15.75"/>
  <cols>
    <col min="1" max="1" width="15.50390625" style="1" customWidth="1"/>
    <col min="2" max="11" width="12.625" style="1" customWidth="1"/>
    <col min="12" max="13" width="6.625" style="1" customWidth="1"/>
    <col min="14" max="14" width="8.75390625" style="1" customWidth="1"/>
    <col min="15" max="20" width="10.125" style="1" customWidth="1"/>
    <col min="21" max="24" width="10.125" style="3" customWidth="1"/>
    <col min="25" max="25" width="12.625" style="1" customWidth="1"/>
    <col min="26" max="26" width="10.125" style="3" customWidth="1"/>
    <col min="27" max="27" width="14.125" style="3" customWidth="1"/>
    <col min="28" max="28" width="11.75390625" style="3" customWidth="1"/>
    <col min="29" max="29" width="10.125" style="180" customWidth="1"/>
    <col min="30" max="30" width="10.125" style="109" customWidth="1"/>
    <col min="31" max="31" width="10.125" style="3" customWidth="1"/>
    <col min="32" max="46" width="10.00390625" style="3" customWidth="1"/>
    <col min="47" max="47" width="4.375" style="3" customWidth="1"/>
    <col min="48" max="48" width="6.875" style="3" customWidth="1"/>
    <col min="49" max="49" width="3.125" style="3" customWidth="1"/>
    <col min="50" max="16384" width="10.00390625" style="3" customWidth="1"/>
  </cols>
  <sheetData>
    <row r="1" spans="1:25" ht="15.75" customHeight="1">
      <c r="A1" s="123" t="s">
        <v>80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O1" s="2"/>
      <c r="P1" s="2"/>
      <c r="Q1" s="2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Y2" s="123"/>
    </row>
    <row r="3" spans="1:25" ht="12.75">
      <c r="A3" s="123" t="s">
        <v>252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O3" s="10"/>
      <c r="P3" s="10"/>
      <c r="Q3" s="10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P4" s="10"/>
      <c r="Q4" s="10"/>
      <c r="Y4" s="123"/>
    </row>
    <row r="5" spans="1:42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02"/>
      <c r="S5" s="3"/>
      <c r="Y5" s="123"/>
      <c r="AA5" s="3" t="s">
        <v>195</v>
      </c>
      <c r="AG5" s="3" t="s">
        <v>211</v>
      </c>
      <c r="AI5" s="180"/>
      <c r="AJ5" s="109"/>
      <c r="AM5" s="3" t="s">
        <v>229</v>
      </c>
      <c r="AO5" s="180"/>
      <c r="AP5" s="109"/>
    </row>
    <row r="6" spans="1:42" ht="14.25" thickBot="1" thickTop="1">
      <c r="A6" s="5"/>
      <c r="B6" s="5"/>
      <c r="C6" s="5"/>
      <c r="D6" s="5"/>
      <c r="E6" s="5"/>
      <c r="F6" s="5"/>
      <c r="G6" s="5"/>
      <c r="H6" s="5"/>
      <c r="I6" s="34"/>
      <c r="J6" s="34"/>
      <c r="K6" s="3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I6" s="180"/>
      <c r="AJ6" s="109"/>
      <c r="AO6" s="180"/>
      <c r="AP6" s="109"/>
    </row>
    <row r="7" spans="1:42" ht="16.5" thickTop="1">
      <c r="A7" s="7"/>
      <c r="B7" s="7"/>
      <c r="C7" s="7"/>
      <c r="E7" s="32"/>
      <c r="F7" s="32"/>
      <c r="I7" s="32"/>
      <c r="J7" s="32"/>
      <c r="K7" s="32"/>
      <c r="L7" s="40" t="s">
        <v>34</v>
      </c>
      <c r="M7" s="40"/>
      <c r="O7" s="7"/>
      <c r="P7" s="7"/>
      <c r="Q7" s="7"/>
      <c r="T7" s="7"/>
      <c r="U7" s="7"/>
      <c r="V7" s="7"/>
      <c r="W7" s="7"/>
      <c r="X7" s="7"/>
      <c r="Y7" s="7"/>
      <c r="Z7" s="7"/>
      <c r="AA7" s="106" t="s">
        <v>125</v>
      </c>
      <c r="AB7" s="106" t="s">
        <v>128</v>
      </c>
      <c r="AC7" s="211" t="s">
        <v>130</v>
      </c>
      <c r="AD7" s="5"/>
      <c r="AG7" s="106" t="s">
        <v>125</v>
      </c>
      <c r="AH7" s="106" t="s">
        <v>128</v>
      </c>
      <c r="AI7" s="211" t="s">
        <v>130</v>
      </c>
      <c r="AJ7" s="5"/>
      <c r="AM7" s="106" t="s">
        <v>125</v>
      </c>
      <c r="AN7" s="106" t="s">
        <v>128</v>
      </c>
      <c r="AO7" s="211" t="s">
        <v>130</v>
      </c>
      <c r="AP7" s="5"/>
    </row>
    <row r="8" spans="1:42" ht="15.75">
      <c r="A8" s="7"/>
      <c r="B8" s="7"/>
      <c r="C8" s="7"/>
      <c r="D8" s="7"/>
      <c r="E8" s="35"/>
      <c r="F8" s="35"/>
      <c r="G8" s="7"/>
      <c r="H8" s="7"/>
      <c r="I8" s="35"/>
      <c r="J8" s="35"/>
      <c r="K8" s="35"/>
      <c r="L8" s="31" t="s">
        <v>87</v>
      </c>
      <c r="M8" s="31" t="s">
        <v>88</v>
      </c>
      <c r="O8" s="7"/>
      <c r="P8" s="7"/>
      <c r="Q8" s="7"/>
      <c r="T8" s="7"/>
      <c r="U8" s="7"/>
      <c r="V8" s="7"/>
      <c r="W8" s="7"/>
      <c r="X8" s="7"/>
      <c r="Y8" s="7"/>
      <c r="Z8" s="7"/>
      <c r="AA8" s="107" t="s">
        <v>126</v>
      </c>
      <c r="AB8" s="107" t="s">
        <v>125</v>
      </c>
      <c r="AC8" s="212" t="s">
        <v>125</v>
      </c>
      <c r="AD8" s="107" t="s">
        <v>132</v>
      </c>
      <c r="AG8" s="107" t="s">
        <v>126</v>
      </c>
      <c r="AH8" s="107" t="s">
        <v>125</v>
      </c>
      <c r="AI8" s="212" t="s">
        <v>125</v>
      </c>
      <c r="AJ8" s="107" t="s">
        <v>132</v>
      </c>
      <c r="AM8" s="107" t="s">
        <v>126</v>
      </c>
      <c r="AN8" s="107" t="s">
        <v>125</v>
      </c>
      <c r="AO8" s="212" t="s">
        <v>125</v>
      </c>
      <c r="AP8" s="107" t="s">
        <v>132</v>
      </c>
    </row>
    <row r="9" spans="1:42" ht="16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181</v>
      </c>
      <c r="X9" s="36" t="s">
        <v>182</v>
      </c>
      <c r="Y9" s="36" t="s">
        <v>183</v>
      </c>
      <c r="Z9" s="7"/>
      <c r="AA9" s="108" t="s">
        <v>127</v>
      </c>
      <c r="AB9" s="108" t="s">
        <v>129</v>
      </c>
      <c r="AC9" s="213" t="s">
        <v>131</v>
      </c>
      <c r="AD9" s="108" t="s">
        <v>133</v>
      </c>
      <c r="AG9" s="108" t="s">
        <v>127</v>
      </c>
      <c r="AH9" s="108" t="s">
        <v>129</v>
      </c>
      <c r="AI9" s="213" t="s">
        <v>131</v>
      </c>
      <c r="AJ9" s="108" t="s">
        <v>133</v>
      </c>
      <c r="AM9" s="108" t="s">
        <v>127</v>
      </c>
      <c r="AN9" s="108" t="s">
        <v>129</v>
      </c>
      <c r="AO9" s="213" t="s">
        <v>131</v>
      </c>
      <c r="AP9" s="108" t="s">
        <v>133</v>
      </c>
    </row>
    <row r="10" spans="1:43" ht="16.5" thickTop="1">
      <c r="A10" s="7" t="s">
        <v>5</v>
      </c>
      <c r="B10" s="56">
        <v>3849.2</v>
      </c>
      <c r="C10" s="56">
        <v>3656.13</v>
      </c>
      <c r="D10" s="95">
        <v>3850.06</v>
      </c>
      <c r="E10" s="95">
        <v>4043.74</v>
      </c>
      <c r="F10" s="95">
        <v>4392.63</v>
      </c>
      <c r="G10" s="95">
        <v>4694.88</v>
      </c>
      <c r="H10" s="95">
        <v>4862.83</v>
      </c>
      <c r="I10" s="95">
        <v>4945.41</v>
      </c>
      <c r="J10" s="95">
        <v>5180.06</v>
      </c>
      <c r="K10" s="95">
        <v>5517.584938954596</v>
      </c>
      <c r="L10" s="271">
        <f>(K10-J10)*100/J10</f>
        <v>6.515849989278023</v>
      </c>
      <c r="M10" s="280">
        <f>((K10-Y10)*100)/Y10</f>
        <v>46.29760568674885</v>
      </c>
      <c r="N10" s="49">
        <v>2073.76</v>
      </c>
      <c r="O10" s="47">
        <v>2280.49</v>
      </c>
      <c r="P10" s="47">
        <v>2483.39</v>
      </c>
      <c r="Q10" s="47">
        <v>2694.63</v>
      </c>
      <c r="R10" s="47">
        <v>2946.96</v>
      </c>
      <c r="S10" s="47">
        <v>3180.1</v>
      </c>
      <c r="T10" s="47">
        <v>3390.88</v>
      </c>
      <c r="U10" s="47">
        <v>3370.3</v>
      </c>
      <c r="V10" s="47">
        <v>3453.14</v>
      </c>
      <c r="W10" s="216">
        <v>3523.49</v>
      </c>
      <c r="X10" s="63">
        <v>3704.73</v>
      </c>
      <c r="Y10" s="48">
        <f>3178.33+593.15</f>
        <v>3771.48</v>
      </c>
      <c r="Z10" s="216"/>
      <c r="AA10" s="103">
        <v>3708.64</v>
      </c>
      <c r="AB10" s="103">
        <v>213.23</v>
      </c>
      <c r="AC10" s="179">
        <v>95.22</v>
      </c>
      <c r="AD10" s="214">
        <v>928.32</v>
      </c>
      <c r="AE10" s="179">
        <f>SUM(AA10:AD10)</f>
        <v>4945.41</v>
      </c>
      <c r="AG10" s="103">
        <v>3838.86</v>
      </c>
      <c r="AH10" s="103">
        <v>235.85</v>
      </c>
      <c r="AI10" s="179">
        <v>109.17</v>
      </c>
      <c r="AJ10" s="214">
        <v>996.18</v>
      </c>
      <c r="AK10" s="179">
        <f>SUM(AG10:AJ10)</f>
        <v>5180.06</v>
      </c>
      <c r="AM10" s="103">
        <v>4064.0602159476093</v>
      </c>
      <c r="AN10" s="103">
        <v>249.8987293608817</v>
      </c>
      <c r="AO10" s="103">
        <v>133.15248867303504</v>
      </c>
      <c r="AP10" s="214">
        <v>1070.47350497307</v>
      </c>
      <c r="AQ10" s="179">
        <f>SUM(AM10:AP10)</f>
        <v>5517.584938954596</v>
      </c>
    </row>
    <row r="11" spans="2:41" ht="15.75">
      <c r="B11" s="32"/>
      <c r="C11" s="32"/>
      <c r="M11" s="97"/>
      <c r="N11" s="15"/>
      <c r="Q11" s="15"/>
      <c r="R11" s="15"/>
      <c r="U11" s="1"/>
      <c r="V11" s="1"/>
      <c r="W11" s="47"/>
      <c r="X11" s="1"/>
      <c r="Y11" s="15"/>
      <c r="Z11" s="47"/>
      <c r="AA11" s="104"/>
      <c r="AB11" s="104"/>
      <c r="AD11" s="215"/>
      <c r="AE11" s="109"/>
      <c r="AO11" s="104"/>
    </row>
    <row r="12" spans="1:43" ht="15.75">
      <c r="A12" s="1" t="s">
        <v>6</v>
      </c>
      <c r="B12" s="61">
        <v>3378.38</v>
      </c>
      <c r="C12" s="61">
        <v>3312.7</v>
      </c>
      <c r="D12" s="50">
        <v>3562.27</v>
      </c>
      <c r="E12" s="50">
        <v>3736.9</v>
      </c>
      <c r="F12" s="50">
        <v>3899.32</v>
      </c>
      <c r="G12" s="50">
        <v>4353.24</v>
      </c>
      <c r="H12" s="50">
        <v>4427.71</v>
      </c>
      <c r="I12" s="50">
        <v>4829.5</v>
      </c>
      <c r="J12" s="50">
        <v>5047</v>
      </c>
      <c r="K12" s="50">
        <v>5359.758590871176</v>
      </c>
      <c r="L12" s="271">
        <f>(K12-J12)*100/J12</f>
        <v>6.196920762258297</v>
      </c>
      <c r="M12" s="280">
        <f>((K12-Y12)*100)/Y12</f>
        <v>59.491466848121455</v>
      </c>
      <c r="N12" s="51">
        <v>1777.12</v>
      </c>
      <c r="O12" s="51">
        <v>1916.7</v>
      </c>
      <c r="P12" s="51">
        <v>2042.32</v>
      </c>
      <c r="Q12" s="51">
        <v>2194.89</v>
      </c>
      <c r="R12" s="51">
        <v>2420.21</v>
      </c>
      <c r="S12" s="51">
        <v>2588.24</v>
      </c>
      <c r="T12" s="51">
        <v>2775.1</v>
      </c>
      <c r="U12" s="51">
        <v>2845.96</v>
      </c>
      <c r="V12" s="51">
        <v>2906.88</v>
      </c>
      <c r="W12" s="50">
        <v>3076.1</v>
      </c>
      <c r="X12" s="52">
        <v>3217.06</v>
      </c>
      <c r="Y12" s="50">
        <f>2890.23+470.3</f>
        <v>3360.53</v>
      </c>
      <c r="Z12" s="50"/>
      <c r="AA12" s="104">
        <v>3483.65</v>
      </c>
      <c r="AB12" s="104">
        <v>322.9</v>
      </c>
      <c r="AC12" s="180">
        <v>89.82</v>
      </c>
      <c r="AD12" s="180">
        <v>933.13</v>
      </c>
      <c r="AE12" s="180">
        <f>SUM(AA12:AD12)</f>
        <v>4829.5</v>
      </c>
      <c r="AG12" s="3">
        <v>3623</v>
      </c>
      <c r="AH12" s="3">
        <v>267</v>
      </c>
      <c r="AI12" s="3">
        <v>96</v>
      </c>
      <c r="AJ12" s="3">
        <v>1061</v>
      </c>
      <c r="AK12" s="180">
        <f>SUM(AG12:AJ12)</f>
        <v>5047</v>
      </c>
      <c r="AM12" s="265">
        <v>3898.26266853903</v>
      </c>
      <c r="AN12" s="265">
        <v>250.0592349357519</v>
      </c>
      <c r="AO12" s="104">
        <v>97.96901732639292</v>
      </c>
      <c r="AP12" s="265">
        <v>1113.4676700700022</v>
      </c>
      <c r="AQ12" s="180">
        <f>SUM(AM12:AP12)</f>
        <v>5359.758590871176</v>
      </c>
    </row>
    <row r="13" spans="1:43" ht="15.75">
      <c r="A13" s="1" t="s">
        <v>7</v>
      </c>
      <c r="B13" s="61">
        <v>3718.17</v>
      </c>
      <c r="C13" s="61">
        <v>3442.61</v>
      </c>
      <c r="D13" s="50">
        <v>3568.9</v>
      </c>
      <c r="E13" s="50">
        <v>3792.15</v>
      </c>
      <c r="F13" s="50">
        <v>4169.31</v>
      </c>
      <c r="G13" s="50">
        <v>4377.38</v>
      </c>
      <c r="H13" s="50">
        <v>4547.35</v>
      </c>
      <c r="I13" s="50">
        <v>4653.96</v>
      </c>
      <c r="J13" s="50">
        <v>4908</v>
      </c>
      <c r="K13" s="50">
        <v>5138.116035599798</v>
      </c>
      <c r="L13" s="271">
        <f>(K13-J13)*100/J13</f>
        <v>4.688590782391975</v>
      </c>
      <c r="M13" s="280">
        <f>((K13-Y13)*100)/Y13</f>
        <v>38.66824373537035</v>
      </c>
      <c r="N13" s="51">
        <v>2067.27</v>
      </c>
      <c r="O13" s="51">
        <v>2240.93</v>
      </c>
      <c r="P13" s="51">
        <v>2421.43</v>
      </c>
      <c r="Q13" s="51">
        <v>2624.73</v>
      </c>
      <c r="R13" s="51">
        <v>2865.27</v>
      </c>
      <c r="S13" s="51">
        <v>3154.02</v>
      </c>
      <c r="T13" s="51">
        <v>3424.88</v>
      </c>
      <c r="U13" s="51">
        <v>3328.76</v>
      </c>
      <c r="V13" s="51">
        <v>3466.13</v>
      </c>
      <c r="W13" s="51">
        <v>3537.05</v>
      </c>
      <c r="X13" s="52">
        <v>3723.53</v>
      </c>
      <c r="Y13" s="50">
        <f>3185.09+520.24</f>
        <v>3705.33</v>
      </c>
      <c r="Z13" s="51"/>
      <c r="AA13" s="104">
        <v>3420.09</v>
      </c>
      <c r="AB13" s="104">
        <v>259.08</v>
      </c>
      <c r="AC13" s="180">
        <v>143.52</v>
      </c>
      <c r="AD13" s="180">
        <v>831.27</v>
      </c>
      <c r="AE13" s="180">
        <f>SUM(AA13:AD13)</f>
        <v>4653.96</v>
      </c>
      <c r="AG13" s="3">
        <v>3619</v>
      </c>
      <c r="AH13" s="3">
        <v>245</v>
      </c>
      <c r="AI13" s="3">
        <v>146</v>
      </c>
      <c r="AJ13" s="3">
        <v>898</v>
      </c>
      <c r="AK13" s="180">
        <f>SUM(AG13:AJ13)</f>
        <v>4908</v>
      </c>
      <c r="AM13" s="265">
        <v>3858.210938109824</v>
      </c>
      <c r="AN13" s="265">
        <v>189.26575945279419</v>
      </c>
      <c r="AO13" s="104">
        <v>154.4447640826332</v>
      </c>
      <c r="AP13" s="265">
        <v>936.1945739545469</v>
      </c>
      <c r="AQ13" s="180">
        <f>SUM(AM13:AP13)</f>
        <v>5138.116035599798</v>
      </c>
    </row>
    <row r="14" spans="1:43" ht="15.75">
      <c r="A14" s="1" t="s">
        <v>8</v>
      </c>
      <c r="B14" s="61">
        <v>3779.48</v>
      </c>
      <c r="C14" s="61">
        <v>3750.06</v>
      </c>
      <c r="D14" s="50">
        <v>4082.53</v>
      </c>
      <c r="E14" s="50">
        <v>4195.28</v>
      </c>
      <c r="F14" s="50">
        <v>4838.53</v>
      </c>
      <c r="G14" s="50">
        <v>5261.24</v>
      </c>
      <c r="H14" s="50">
        <v>5492.31</v>
      </c>
      <c r="I14" s="50">
        <v>5165.54</v>
      </c>
      <c r="J14" s="50">
        <v>5232</v>
      </c>
      <c r="K14" s="50">
        <v>5829.877207781987</v>
      </c>
      <c r="L14" s="271">
        <f>(K14-J14)*100/J14</f>
        <v>11.427316662499747</v>
      </c>
      <c r="M14" s="280">
        <f>((K14-Y14)*100)/Y14</f>
        <v>57.941601225142946</v>
      </c>
      <c r="N14" s="51">
        <v>1772.86</v>
      </c>
      <c r="O14" s="51">
        <v>1981.98</v>
      </c>
      <c r="P14" s="51">
        <v>2119.93</v>
      </c>
      <c r="Q14" s="51">
        <v>2336.38</v>
      </c>
      <c r="R14" s="51">
        <v>2510.83</v>
      </c>
      <c r="S14" s="51">
        <v>2683.8</v>
      </c>
      <c r="T14" s="51">
        <v>2911.71</v>
      </c>
      <c r="U14" s="51">
        <v>2987.21</v>
      </c>
      <c r="V14" s="51">
        <v>3133.5</v>
      </c>
      <c r="W14" s="51">
        <v>3182.61</v>
      </c>
      <c r="X14" s="52">
        <v>3459.36</v>
      </c>
      <c r="Y14" s="50">
        <f>2803.59+887.57</f>
        <v>3691.1600000000003</v>
      </c>
      <c r="Z14" s="51"/>
      <c r="AA14" s="104">
        <v>3486.03</v>
      </c>
      <c r="AB14" s="104">
        <v>133.91</v>
      </c>
      <c r="AC14" s="180">
        <v>177.73</v>
      </c>
      <c r="AD14" s="180">
        <v>1367.87</v>
      </c>
      <c r="AE14" s="180">
        <f>SUM(AA14:AD14)</f>
        <v>5165.54</v>
      </c>
      <c r="AG14" s="3">
        <v>3230</v>
      </c>
      <c r="AH14" s="3">
        <v>345</v>
      </c>
      <c r="AI14" s="3">
        <v>266</v>
      </c>
      <c r="AJ14" s="3">
        <v>1391</v>
      </c>
      <c r="AK14" s="180">
        <f>SUM(AG14:AJ14)</f>
        <v>5232</v>
      </c>
      <c r="AM14" s="265">
        <v>3557.961015016873</v>
      </c>
      <c r="AN14" s="265">
        <v>293.16566759645644</v>
      </c>
      <c r="AO14" s="104">
        <v>467.7013691907836</v>
      </c>
      <c r="AP14" s="265">
        <v>1511.049155977874</v>
      </c>
      <c r="AQ14" s="180">
        <f>SUM(AM14:AP14)</f>
        <v>5829.877207781987</v>
      </c>
    </row>
    <row r="15" spans="1:43" ht="15.75">
      <c r="A15" s="1" t="s">
        <v>9</v>
      </c>
      <c r="B15" s="61">
        <v>3904.21</v>
      </c>
      <c r="C15" s="61">
        <v>3667.37</v>
      </c>
      <c r="D15" s="50">
        <v>3703.6</v>
      </c>
      <c r="E15" s="50">
        <v>3973.68</v>
      </c>
      <c r="F15" s="50">
        <v>4346.25</v>
      </c>
      <c r="G15" s="50">
        <v>4556.16</v>
      </c>
      <c r="H15" s="50">
        <v>4607.15</v>
      </c>
      <c r="I15" s="50">
        <v>4770.11</v>
      </c>
      <c r="J15" s="50">
        <v>4989</v>
      </c>
      <c r="K15" s="50">
        <v>5238.0536205642475</v>
      </c>
      <c r="L15" s="271">
        <f>(K15-J15)*100/J15</f>
        <v>4.992054932135647</v>
      </c>
      <c r="M15" s="280">
        <f>((K15-Y15)*100)/Y15</f>
        <v>40.255542569296935</v>
      </c>
      <c r="N15" s="51">
        <v>2463.92</v>
      </c>
      <c r="O15" s="51">
        <v>2666.57</v>
      </c>
      <c r="P15" s="51">
        <v>2915.41</v>
      </c>
      <c r="Q15" s="51">
        <v>3006.46</v>
      </c>
      <c r="R15" s="51">
        <v>3394.1</v>
      </c>
      <c r="S15" s="51">
        <v>3502.67</v>
      </c>
      <c r="T15" s="51">
        <v>3655.93</v>
      </c>
      <c r="U15" s="51">
        <v>3634.45</v>
      </c>
      <c r="V15" s="51">
        <v>3577.65</v>
      </c>
      <c r="W15" s="51">
        <v>3562.21</v>
      </c>
      <c r="X15" s="52">
        <v>3701.71</v>
      </c>
      <c r="Y15" s="50">
        <f>3204.6+530.05</f>
        <v>3734.6499999999996</v>
      </c>
      <c r="Z15" s="51"/>
      <c r="AA15" s="104">
        <v>3543.46</v>
      </c>
      <c r="AB15" s="104">
        <v>223.2</v>
      </c>
      <c r="AC15" s="180">
        <v>109.34</v>
      </c>
      <c r="AD15" s="180">
        <v>894.11</v>
      </c>
      <c r="AE15" s="180">
        <f>SUM(AA15:AD15)</f>
        <v>4770.11</v>
      </c>
      <c r="AG15" s="3">
        <v>3705</v>
      </c>
      <c r="AH15" s="3">
        <v>228</v>
      </c>
      <c r="AI15" s="3">
        <v>80</v>
      </c>
      <c r="AJ15" s="3">
        <v>976</v>
      </c>
      <c r="AK15" s="180">
        <f>SUM(AG15:AJ15)</f>
        <v>4989</v>
      </c>
      <c r="AM15" s="265">
        <v>3862.3595191372356</v>
      </c>
      <c r="AN15" s="265">
        <v>227.4170600178772</v>
      </c>
      <c r="AO15" s="104">
        <v>85.33514686760802</v>
      </c>
      <c r="AP15" s="265">
        <v>1062.9418945415264</v>
      </c>
      <c r="AQ15" s="180">
        <f>SUM(AM15:AP15)</f>
        <v>5238.0536205642475</v>
      </c>
    </row>
    <row r="16" spans="1:43" ht="15.75">
      <c r="A16" s="1" t="s">
        <v>10</v>
      </c>
      <c r="B16" s="61">
        <v>3593.29</v>
      </c>
      <c r="C16" s="61">
        <v>3392.28</v>
      </c>
      <c r="D16" s="50">
        <v>3538.3</v>
      </c>
      <c r="E16" s="50">
        <v>3714.6</v>
      </c>
      <c r="F16" s="50">
        <v>3917.68</v>
      </c>
      <c r="G16" s="50">
        <v>4283.22</v>
      </c>
      <c r="H16" s="50">
        <v>4625.91</v>
      </c>
      <c r="I16" s="50">
        <v>4914.95</v>
      </c>
      <c r="J16" s="50">
        <v>5088</v>
      </c>
      <c r="K16" s="50">
        <v>5358.3672293677955</v>
      </c>
      <c r="L16" s="271">
        <f>(K16-J16)*100/J16</f>
        <v>5.3138213319142205</v>
      </c>
      <c r="M16" s="280">
        <f>((K16-Y16)*100)/Y16</f>
        <v>50.31495049786788</v>
      </c>
      <c r="N16" s="51">
        <v>2005.21</v>
      </c>
      <c r="O16" s="51">
        <v>2163</v>
      </c>
      <c r="P16" s="51">
        <v>2268.79</v>
      </c>
      <c r="Q16" s="51">
        <v>2369.87</v>
      </c>
      <c r="R16" s="51">
        <v>2561.32</v>
      </c>
      <c r="S16" s="51">
        <v>2741.78</v>
      </c>
      <c r="T16" s="51">
        <v>2922.45</v>
      </c>
      <c r="U16" s="51">
        <v>3171.6</v>
      </c>
      <c r="V16" s="51">
        <v>3189.08</v>
      </c>
      <c r="W16" s="51">
        <v>3375.68</v>
      </c>
      <c r="X16" s="52">
        <v>3452.04</v>
      </c>
      <c r="Y16" s="50">
        <f>3068.11+496.65</f>
        <v>3564.76</v>
      </c>
      <c r="Z16" s="51"/>
      <c r="AA16" s="104">
        <v>3797.89</v>
      </c>
      <c r="AB16" s="104">
        <v>189.16</v>
      </c>
      <c r="AC16" s="180">
        <v>50.23</v>
      </c>
      <c r="AD16" s="180">
        <v>877.67</v>
      </c>
      <c r="AE16" s="180">
        <f>SUM(AA16:AD16)</f>
        <v>4914.95</v>
      </c>
      <c r="AG16" s="3">
        <v>3959</v>
      </c>
      <c r="AH16" s="3">
        <v>170</v>
      </c>
      <c r="AI16" s="3">
        <v>46</v>
      </c>
      <c r="AJ16" s="3">
        <v>913</v>
      </c>
      <c r="AK16" s="180">
        <f>SUM(AG16:AJ16)</f>
        <v>5088</v>
      </c>
      <c r="AM16" s="265">
        <v>4152.135659296189</v>
      </c>
      <c r="AN16" s="265">
        <v>169.35747980200344</v>
      </c>
      <c r="AO16" s="104">
        <v>54.76010830695847</v>
      </c>
      <c r="AP16" s="265">
        <v>982.1139819626445</v>
      </c>
      <c r="AQ16" s="180">
        <f>SUM(AM16:AP16)</f>
        <v>5358.3672293677955</v>
      </c>
    </row>
    <row r="17" spans="2:43" ht="15.75">
      <c r="B17" s="61"/>
      <c r="C17" s="61"/>
      <c r="D17" s="50"/>
      <c r="E17" s="50"/>
      <c r="F17" s="50"/>
      <c r="G17" s="50"/>
      <c r="H17" s="50"/>
      <c r="I17" s="50"/>
      <c r="J17" s="50"/>
      <c r="K17" s="50"/>
      <c r="L17" s="271"/>
      <c r="M17" s="27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  <c r="Y17" s="50"/>
      <c r="Z17" s="51"/>
      <c r="AA17"/>
      <c r="AB17"/>
      <c r="AD17" s="180"/>
      <c r="AE17" s="180"/>
      <c r="AK17" s="180"/>
      <c r="AM17" s="265"/>
      <c r="AN17" s="265"/>
      <c r="AO17" s="104"/>
      <c r="AP17" s="265"/>
      <c r="AQ17" s="180"/>
    </row>
    <row r="18" spans="1:43" ht="15.75">
      <c r="A18" s="1" t="s">
        <v>11</v>
      </c>
      <c r="B18" s="61">
        <v>3342.7</v>
      </c>
      <c r="C18" s="61">
        <v>3152</v>
      </c>
      <c r="D18" s="50">
        <v>3384.52</v>
      </c>
      <c r="E18" s="50">
        <v>3542.67</v>
      </c>
      <c r="F18" s="50">
        <v>3721.11</v>
      </c>
      <c r="G18" s="50">
        <v>3992.21</v>
      </c>
      <c r="H18" s="50">
        <v>4273.05</v>
      </c>
      <c r="I18" s="50">
        <v>4585.1</v>
      </c>
      <c r="J18" s="50">
        <v>4650</v>
      </c>
      <c r="K18" s="50">
        <v>4804.646396117974</v>
      </c>
      <c r="L18" s="271">
        <f>(K18-J18)*100/J18</f>
        <v>3.325728948773641</v>
      </c>
      <c r="M18" s="280">
        <f>((K18-Y18)*100)/Y18</f>
        <v>51.759062660668754</v>
      </c>
      <c r="N18" s="51">
        <v>1568.38</v>
      </c>
      <c r="O18" s="51">
        <v>1714.28</v>
      </c>
      <c r="P18" s="51">
        <v>1965.66</v>
      </c>
      <c r="Q18" s="51">
        <v>2177.26</v>
      </c>
      <c r="R18" s="51">
        <v>2371.1</v>
      </c>
      <c r="S18" s="51">
        <v>2532.97</v>
      </c>
      <c r="T18" s="51">
        <v>2667.89</v>
      </c>
      <c r="U18" s="51">
        <v>2753.35</v>
      </c>
      <c r="V18" s="51">
        <v>2820.28</v>
      </c>
      <c r="W18" s="51">
        <v>2960.7</v>
      </c>
      <c r="X18" s="52">
        <v>3080.34</v>
      </c>
      <c r="Y18" s="50">
        <f>2781.2+384.77</f>
        <v>3165.97</v>
      </c>
      <c r="Z18" s="51"/>
      <c r="AA18" s="104">
        <v>3520.3</v>
      </c>
      <c r="AB18" s="104">
        <v>221.57</v>
      </c>
      <c r="AC18" s="180">
        <v>110.54</v>
      </c>
      <c r="AD18" s="180">
        <v>732.69</v>
      </c>
      <c r="AE18" s="180">
        <f>SUM(AA18:AD18)</f>
        <v>4585.1</v>
      </c>
      <c r="AG18" s="3">
        <v>3612</v>
      </c>
      <c r="AH18" s="3">
        <v>165</v>
      </c>
      <c r="AI18" s="3">
        <v>139</v>
      </c>
      <c r="AJ18" s="3">
        <v>734</v>
      </c>
      <c r="AK18" s="180">
        <f>SUM(AG18:AJ18)</f>
        <v>4650</v>
      </c>
      <c r="AM18" s="265">
        <v>3657.1127097613407</v>
      </c>
      <c r="AN18" s="265">
        <v>193.62668893050545</v>
      </c>
      <c r="AO18" s="104">
        <v>178.35095436220558</v>
      </c>
      <c r="AP18" s="265">
        <v>775.5560430639224</v>
      </c>
      <c r="AQ18" s="180">
        <f>SUM(AM18:AP18)</f>
        <v>4804.646396117974</v>
      </c>
    </row>
    <row r="19" spans="1:43" ht="15.75">
      <c r="A19" s="1" t="s">
        <v>12</v>
      </c>
      <c r="B19" s="61">
        <v>3341.7</v>
      </c>
      <c r="C19" s="61">
        <v>3136.44</v>
      </c>
      <c r="D19" s="50">
        <v>3338.92</v>
      </c>
      <c r="E19" s="50">
        <v>3488.05</v>
      </c>
      <c r="F19" s="50">
        <v>3767.64</v>
      </c>
      <c r="G19" s="50">
        <v>3991.86</v>
      </c>
      <c r="H19" s="50">
        <v>4261.28</v>
      </c>
      <c r="I19" s="50">
        <v>4441.27</v>
      </c>
      <c r="J19" s="50">
        <v>4730</v>
      </c>
      <c r="K19" s="50">
        <v>4936.431568120301</v>
      </c>
      <c r="L19" s="271">
        <f>(K19-J19)*100/J19</f>
        <v>4.364303765756885</v>
      </c>
      <c r="M19" s="280">
        <f>((K19-Y19)*100)/Y19</f>
        <v>47.2721990781465</v>
      </c>
      <c r="N19" s="51">
        <v>1771.29</v>
      </c>
      <c r="O19" s="51">
        <v>1918.92</v>
      </c>
      <c r="P19" s="51">
        <v>2109.07</v>
      </c>
      <c r="Q19" s="51">
        <v>2301.37</v>
      </c>
      <c r="R19" s="51">
        <v>2572.7</v>
      </c>
      <c r="S19" s="51">
        <v>2821.14</v>
      </c>
      <c r="T19" s="51">
        <v>3001.93</v>
      </c>
      <c r="U19" s="51">
        <v>3044.44</v>
      </c>
      <c r="V19" s="51">
        <v>3082.89</v>
      </c>
      <c r="W19" s="51">
        <v>3192.12</v>
      </c>
      <c r="X19" s="52">
        <v>3378.47</v>
      </c>
      <c r="Y19" s="50">
        <f>2910.01+441.9</f>
        <v>3351.9100000000003</v>
      </c>
      <c r="Z19" s="51"/>
      <c r="AA19" s="104">
        <v>3405.75</v>
      </c>
      <c r="AB19" s="104">
        <v>235.43</v>
      </c>
      <c r="AC19" s="180">
        <v>78.18</v>
      </c>
      <c r="AD19" s="180">
        <v>721.91</v>
      </c>
      <c r="AE19" s="180">
        <f>SUM(AA19:AD19)</f>
        <v>4441.2699999999995</v>
      </c>
      <c r="AG19" s="3">
        <v>3586</v>
      </c>
      <c r="AH19" s="3">
        <v>299</v>
      </c>
      <c r="AI19" s="3">
        <v>70</v>
      </c>
      <c r="AJ19" s="3">
        <v>775</v>
      </c>
      <c r="AK19" s="180">
        <f>SUM(AG19:AJ19)</f>
        <v>4730</v>
      </c>
      <c r="AM19" s="265">
        <v>3753.621764910223</v>
      </c>
      <c r="AN19" s="265">
        <v>293.14575069627585</v>
      </c>
      <c r="AO19" s="104">
        <v>64.90923582430574</v>
      </c>
      <c r="AP19" s="265">
        <v>824.754816689496</v>
      </c>
      <c r="AQ19" s="180">
        <f>SUM(AM19:AP19)</f>
        <v>4936.431568120301</v>
      </c>
    </row>
    <row r="20" spans="1:43" ht="15.75">
      <c r="A20" s="1" t="s">
        <v>13</v>
      </c>
      <c r="B20" s="61">
        <v>3501.66</v>
      </c>
      <c r="C20" s="61">
        <v>3258.69</v>
      </c>
      <c r="D20" s="50">
        <v>3485.08</v>
      </c>
      <c r="E20" s="50">
        <v>3622.29</v>
      </c>
      <c r="F20" s="50">
        <v>3884.3</v>
      </c>
      <c r="G20" s="50">
        <v>4072.14</v>
      </c>
      <c r="H20" s="50">
        <v>4235.71</v>
      </c>
      <c r="I20" s="50">
        <v>4396.54</v>
      </c>
      <c r="J20" s="50">
        <v>4630</v>
      </c>
      <c r="K20" s="50">
        <v>5005.440563102697</v>
      </c>
      <c r="L20" s="271">
        <f>(K20-J20)*100/J20</f>
        <v>8.108867453621958</v>
      </c>
      <c r="M20" s="280">
        <f>((K20-Y20)*100)/Y20</f>
        <v>46.63703608631331</v>
      </c>
      <c r="N20" s="51">
        <v>1749.33</v>
      </c>
      <c r="O20" s="51">
        <v>1929.5</v>
      </c>
      <c r="P20" s="51">
        <v>2092.46</v>
      </c>
      <c r="Q20" s="51">
        <v>2369.14</v>
      </c>
      <c r="R20" s="51">
        <v>2512.44</v>
      </c>
      <c r="S20" s="51">
        <v>2767.18</v>
      </c>
      <c r="T20" s="51">
        <v>2927.76</v>
      </c>
      <c r="U20" s="51">
        <v>3044.35</v>
      </c>
      <c r="V20" s="51">
        <v>3071.87</v>
      </c>
      <c r="W20" s="51">
        <v>3173.34</v>
      </c>
      <c r="X20" s="52">
        <v>3352.2</v>
      </c>
      <c r="Y20" s="50">
        <f>2892.03+521.46</f>
        <v>3413.4900000000002</v>
      </c>
      <c r="Z20" s="51"/>
      <c r="AA20" s="104">
        <v>3270.21</v>
      </c>
      <c r="AB20" s="104">
        <v>169.21</v>
      </c>
      <c r="AC20" s="180">
        <v>77.29</v>
      </c>
      <c r="AD20" s="180">
        <v>879.83</v>
      </c>
      <c r="AE20" s="180">
        <f>SUM(AA20:AD20)</f>
        <v>4396.54</v>
      </c>
      <c r="AG20" s="3">
        <v>3431</v>
      </c>
      <c r="AH20" s="3">
        <v>175</v>
      </c>
      <c r="AI20" s="3">
        <v>83</v>
      </c>
      <c r="AJ20" s="3">
        <v>941</v>
      </c>
      <c r="AK20" s="180">
        <f>SUM(AG20:AJ20)</f>
        <v>4630</v>
      </c>
      <c r="AM20" s="265">
        <v>3645.664884183279</v>
      </c>
      <c r="AN20" s="265">
        <v>180.41789452034578</v>
      </c>
      <c r="AO20" s="104">
        <v>119.16363834859578</v>
      </c>
      <c r="AP20" s="265">
        <v>1060.1941460504763</v>
      </c>
      <c r="AQ20" s="180">
        <f>SUM(AM20:AP20)</f>
        <v>5005.440563102697</v>
      </c>
    </row>
    <row r="21" spans="1:43" ht="15.75">
      <c r="A21" s="1" t="s">
        <v>14</v>
      </c>
      <c r="B21" s="61">
        <v>3546.04</v>
      </c>
      <c r="C21" s="61">
        <v>3247.98</v>
      </c>
      <c r="D21" s="50">
        <v>3390.25</v>
      </c>
      <c r="E21" s="50">
        <v>3608.8</v>
      </c>
      <c r="F21" s="50">
        <v>3852.68</v>
      </c>
      <c r="G21" s="50">
        <v>4095.48</v>
      </c>
      <c r="H21" s="50">
        <v>4282.12</v>
      </c>
      <c r="I21" s="50">
        <v>4366.41</v>
      </c>
      <c r="J21" s="50">
        <v>4678</v>
      </c>
      <c r="K21" s="50">
        <v>4966.084044310647</v>
      </c>
      <c r="L21" s="271">
        <f>(K21-J21)*100/J21</f>
        <v>6.158273713352869</v>
      </c>
      <c r="M21" s="280">
        <f>((K21-Y21)*100)/Y21</f>
        <v>46.429954364831666</v>
      </c>
      <c r="N21" s="51">
        <v>1781.39</v>
      </c>
      <c r="O21" s="51">
        <v>1907.19</v>
      </c>
      <c r="P21" s="51">
        <v>2120.71</v>
      </c>
      <c r="Q21" s="51">
        <v>2345.07</v>
      </c>
      <c r="R21" s="51">
        <v>2541.49</v>
      </c>
      <c r="S21" s="51">
        <v>2842.3</v>
      </c>
      <c r="T21" s="51">
        <v>2997.57</v>
      </c>
      <c r="U21" s="51">
        <v>3064.19</v>
      </c>
      <c r="V21" s="51">
        <v>3214.35</v>
      </c>
      <c r="W21" s="51">
        <v>3352.95</v>
      </c>
      <c r="X21" s="52">
        <v>3433.5</v>
      </c>
      <c r="Y21" s="50">
        <f>2897.15+494.29</f>
        <v>3391.44</v>
      </c>
      <c r="Z21" s="51"/>
      <c r="AA21" s="104">
        <v>3367.28</v>
      </c>
      <c r="AB21" s="104">
        <v>236.39</v>
      </c>
      <c r="AC21" s="180">
        <v>47</v>
      </c>
      <c r="AD21" s="180">
        <v>715.74</v>
      </c>
      <c r="AE21" s="180">
        <f>SUM(AA21:AD21)</f>
        <v>4366.41</v>
      </c>
      <c r="AG21" s="3">
        <v>3532</v>
      </c>
      <c r="AH21" s="3">
        <v>320</v>
      </c>
      <c r="AI21" s="3">
        <v>50</v>
      </c>
      <c r="AJ21" s="3">
        <v>776</v>
      </c>
      <c r="AK21" s="180">
        <f>SUM(AG21:AJ21)</f>
        <v>4678</v>
      </c>
      <c r="AM21" s="265">
        <v>3755.6921056614656</v>
      </c>
      <c r="AN21" s="265">
        <v>338.5394531041652</v>
      </c>
      <c r="AO21" s="104">
        <v>51.395430979737874</v>
      </c>
      <c r="AP21" s="265">
        <v>820.4570545652784</v>
      </c>
      <c r="AQ21" s="180">
        <f>SUM(AM21:AP21)</f>
        <v>4966.084044310647</v>
      </c>
    </row>
    <row r="22" spans="1:43" ht="15.75">
      <c r="A22" s="1" t="s">
        <v>15</v>
      </c>
      <c r="B22" s="61">
        <v>3782.27</v>
      </c>
      <c r="C22" s="61">
        <v>3668.21</v>
      </c>
      <c r="D22" s="50">
        <v>3767.53</v>
      </c>
      <c r="E22" s="50">
        <v>4079.3</v>
      </c>
      <c r="F22" s="50">
        <v>4456.37</v>
      </c>
      <c r="G22" s="50">
        <v>4382.88</v>
      </c>
      <c r="H22" s="50">
        <v>4720.93</v>
      </c>
      <c r="I22" s="50">
        <v>4913.81</v>
      </c>
      <c r="J22" s="50">
        <v>5076</v>
      </c>
      <c r="K22" s="50">
        <v>5802.248623690705</v>
      </c>
      <c r="L22" s="271">
        <f>(K22-J22)*100/J22</f>
        <v>14.3074984966648</v>
      </c>
      <c r="M22" s="280">
        <f>((K22-Y22)*100)/Y22</f>
        <v>63.68015254976079</v>
      </c>
      <c r="N22" s="51">
        <v>1868.13</v>
      </c>
      <c r="O22" s="51">
        <v>2061.31</v>
      </c>
      <c r="P22" s="51">
        <v>2182.19</v>
      </c>
      <c r="Q22" s="51">
        <v>2394.86</v>
      </c>
      <c r="R22" s="51">
        <v>2629.27</v>
      </c>
      <c r="S22" s="51">
        <v>2934.52</v>
      </c>
      <c r="T22" s="51">
        <v>3093.08</v>
      </c>
      <c r="U22" s="51">
        <v>3057.72</v>
      </c>
      <c r="V22" s="51">
        <v>3137.47</v>
      </c>
      <c r="W22" s="51">
        <v>3282.11</v>
      </c>
      <c r="X22" s="52">
        <v>3532.64</v>
      </c>
      <c r="Y22" s="50">
        <f>3042.02+502.85</f>
        <v>3544.87</v>
      </c>
      <c r="Z22" s="51"/>
      <c r="AA22" s="104">
        <v>3612.77</v>
      </c>
      <c r="AB22" s="104">
        <v>303.17</v>
      </c>
      <c r="AC22" s="180">
        <v>199.19</v>
      </c>
      <c r="AD22" s="180">
        <v>798.68</v>
      </c>
      <c r="AE22" s="180">
        <f>SUM(AA22:AD22)</f>
        <v>4913.81</v>
      </c>
      <c r="AG22" s="3">
        <v>3777</v>
      </c>
      <c r="AH22" s="3">
        <v>306</v>
      </c>
      <c r="AI22" s="3">
        <v>145</v>
      </c>
      <c r="AJ22" s="3">
        <v>848</v>
      </c>
      <c r="AK22" s="180">
        <f>SUM(AG22:AJ22)</f>
        <v>5076</v>
      </c>
      <c r="AM22" s="265">
        <v>4346.706644781125</v>
      </c>
      <c r="AN22" s="265">
        <v>292.91647201917743</v>
      </c>
      <c r="AO22" s="104">
        <v>190.28816173257917</v>
      </c>
      <c r="AP22" s="265">
        <v>972.337345157824</v>
      </c>
      <c r="AQ22" s="180">
        <f>SUM(AM22:AP22)</f>
        <v>5802.248623690705</v>
      </c>
    </row>
    <row r="23" spans="2:43" ht="15.75">
      <c r="B23" s="61"/>
      <c r="C23" s="61"/>
      <c r="D23" s="50"/>
      <c r="E23" s="50"/>
      <c r="F23" s="50"/>
      <c r="G23" s="50"/>
      <c r="H23" s="50"/>
      <c r="I23" s="50"/>
      <c r="J23" s="50"/>
      <c r="K23" s="50"/>
      <c r="L23" s="271"/>
      <c r="M23" s="27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2"/>
      <c r="Y23" s="50"/>
      <c r="Z23" s="51"/>
      <c r="AA23" s="104"/>
      <c r="AB23" s="104"/>
      <c r="AD23" s="180"/>
      <c r="AE23" s="180"/>
      <c r="AK23" s="180"/>
      <c r="AM23" s="265"/>
      <c r="AN23" s="265"/>
      <c r="AO23" s="104"/>
      <c r="AP23" s="265"/>
      <c r="AQ23" s="180"/>
    </row>
    <row r="24" spans="1:43" ht="15.75">
      <c r="A24" s="1" t="s">
        <v>16</v>
      </c>
      <c r="B24" s="61">
        <v>3454.18</v>
      </c>
      <c r="C24" s="61">
        <v>3317.06</v>
      </c>
      <c r="D24" s="50">
        <v>3511.87</v>
      </c>
      <c r="E24" s="50">
        <v>3646.57</v>
      </c>
      <c r="F24" s="50">
        <v>3889.25</v>
      </c>
      <c r="G24" s="50">
        <v>4161.26</v>
      </c>
      <c r="H24" s="50">
        <v>4338.91</v>
      </c>
      <c r="I24" s="50">
        <v>4581.21</v>
      </c>
      <c r="J24" s="50">
        <v>4688</v>
      </c>
      <c r="K24" s="50">
        <v>4974.386369725749</v>
      </c>
      <c r="L24" s="271">
        <f>(K24-J24)*100/J24</f>
        <v>6.10892426889397</v>
      </c>
      <c r="M24" s="280">
        <f>((K24-Y24)*100)/Y24</f>
        <v>44.116187033034905</v>
      </c>
      <c r="N24" s="51">
        <v>1853.06</v>
      </c>
      <c r="O24" s="51">
        <v>1946.8</v>
      </c>
      <c r="P24" s="51">
        <v>2105.61</v>
      </c>
      <c r="Q24" s="51">
        <v>2312.21</v>
      </c>
      <c r="R24" s="51">
        <v>2586.28</v>
      </c>
      <c r="S24" s="51">
        <v>2867.38</v>
      </c>
      <c r="T24" s="51">
        <v>3107.75</v>
      </c>
      <c r="U24" s="51">
        <v>3140.46</v>
      </c>
      <c r="V24" s="51">
        <v>3179.21</v>
      </c>
      <c r="W24" s="51">
        <v>3276.66</v>
      </c>
      <c r="X24" s="52">
        <v>3468.41</v>
      </c>
      <c r="Y24" s="50">
        <f>3020.1+431.55</f>
        <v>3451.65</v>
      </c>
      <c r="Z24" s="51"/>
      <c r="AA24" s="104">
        <v>3593.25</v>
      </c>
      <c r="AB24" s="104">
        <v>255.71</v>
      </c>
      <c r="AC24" s="180">
        <v>55.05</v>
      </c>
      <c r="AD24" s="180">
        <v>677.2</v>
      </c>
      <c r="AE24" s="180">
        <f>SUM(AA24:AD24)</f>
        <v>4581.21</v>
      </c>
      <c r="AG24" s="3">
        <v>3736</v>
      </c>
      <c r="AH24" s="3">
        <v>184</v>
      </c>
      <c r="AI24" s="3">
        <v>52</v>
      </c>
      <c r="AJ24" s="3">
        <v>716</v>
      </c>
      <c r="AK24" s="180">
        <f>SUM(AG24:AJ24)</f>
        <v>4688</v>
      </c>
      <c r="AM24" s="265">
        <v>3896.760797010088</v>
      </c>
      <c r="AN24" s="265">
        <v>247.82242859200397</v>
      </c>
      <c r="AO24" s="104">
        <v>52.047827447438735</v>
      </c>
      <c r="AP24" s="265">
        <v>777.7553166762183</v>
      </c>
      <c r="AQ24" s="180">
        <f>SUM(AM24:AP24)</f>
        <v>4974.386369725749</v>
      </c>
    </row>
    <row r="25" spans="1:43" ht="15.75">
      <c r="A25" s="1" t="s">
        <v>17</v>
      </c>
      <c r="B25" s="61">
        <v>3558.03</v>
      </c>
      <c r="C25" s="61">
        <v>3433.41</v>
      </c>
      <c r="D25" s="50">
        <v>3581.33</v>
      </c>
      <c r="E25" s="50">
        <v>3733.58</v>
      </c>
      <c r="F25" s="50">
        <v>4059.82</v>
      </c>
      <c r="G25" s="50">
        <v>4369.6</v>
      </c>
      <c r="H25" s="50">
        <v>4490.06</v>
      </c>
      <c r="I25" s="50">
        <v>4642.62</v>
      </c>
      <c r="J25" s="50">
        <v>4822</v>
      </c>
      <c r="K25" s="50">
        <v>5080.3976697693415</v>
      </c>
      <c r="L25" s="271">
        <f>(K25-J25)*100/J25</f>
        <v>5.358723968671537</v>
      </c>
      <c r="M25" s="280">
        <f>((K25-Y25)*100)/Y25</f>
        <v>51.260384783721776</v>
      </c>
      <c r="N25" s="51">
        <v>1536.75</v>
      </c>
      <c r="O25" s="51">
        <v>1797.12</v>
      </c>
      <c r="P25" s="51">
        <v>2021.39</v>
      </c>
      <c r="Q25" s="51">
        <v>2186.57</v>
      </c>
      <c r="R25" s="51">
        <v>2428.68</v>
      </c>
      <c r="S25" s="51">
        <v>2598.25</v>
      </c>
      <c r="T25" s="51">
        <v>2791.29</v>
      </c>
      <c r="U25" s="51">
        <v>2872.83</v>
      </c>
      <c r="V25" s="51">
        <v>2981.22</v>
      </c>
      <c r="W25" s="51">
        <v>3072.97</v>
      </c>
      <c r="X25" s="52">
        <v>3254.81</v>
      </c>
      <c r="Y25" s="50">
        <f>2934.34+424.37</f>
        <v>3358.71</v>
      </c>
      <c r="Z25" s="51"/>
      <c r="AA25" s="104">
        <v>3689.68</v>
      </c>
      <c r="AB25" s="104">
        <v>224.34</v>
      </c>
      <c r="AC25" s="180">
        <v>80.26</v>
      </c>
      <c r="AD25" s="180">
        <v>648.34</v>
      </c>
      <c r="AE25" s="180">
        <f>SUM(AA25:AD25)</f>
        <v>4642.62</v>
      </c>
      <c r="AG25" s="3">
        <v>3878</v>
      </c>
      <c r="AH25" s="3">
        <v>187</v>
      </c>
      <c r="AI25" s="3">
        <v>61</v>
      </c>
      <c r="AJ25" s="3">
        <v>696</v>
      </c>
      <c r="AK25" s="180">
        <f>SUM(AG25:AJ25)</f>
        <v>4822</v>
      </c>
      <c r="AM25" s="265">
        <v>4039.279436359337</v>
      </c>
      <c r="AN25" s="265">
        <v>217.29028783937747</v>
      </c>
      <c r="AO25" s="104">
        <v>81.3556374814592</v>
      </c>
      <c r="AP25" s="265">
        <v>742.472308089168</v>
      </c>
      <c r="AQ25" s="180">
        <f>SUM(AM25:AP25)</f>
        <v>5080.3976697693415</v>
      </c>
    </row>
    <row r="26" spans="1:43" ht="15.75">
      <c r="A26" s="1" t="s">
        <v>18</v>
      </c>
      <c r="B26" s="61">
        <v>3474.71</v>
      </c>
      <c r="C26" s="61">
        <v>3334.61</v>
      </c>
      <c r="D26" s="50">
        <v>3429.73</v>
      </c>
      <c r="E26" s="50">
        <v>3565.27</v>
      </c>
      <c r="F26" s="50">
        <v>3781</v>
      </c>
      <c r="G26" s="50">
        <v>4084.61</v>
      </c>
      <c r="H26" s="50">
        <v>4008.7</v>
      </c>
      <c r="I26" s="50">
        <v>4082.57</v>
      </c>
      <c r="J26" s="50">
        <v>4304</v>
      </c>
      <c r="K26" s="50">
        <v>4804.657989892657</v>
      </c>
      <c r="L26" s="271">
        <f>(K26-J26)*100/J26</f>
        <v>11.632388241000386</v>
      </c>
      <c r="M26" s="280">
        <f>((K26-Y26)*100)/Y26</f>
        <v>40.42425435090901</v>
      </c>
      <c r="N26" s="51">
        <v>1807.13</v>
      </c>
      <c r="O26" s="51">
        <v>1978.66</v>
      </c>
      <c r="P26" s="51">
        <v>2149.69</v>
      </c>
      <c r="Q26" s="51">
        <v>2283.76</v>
      </c>
      <c r="R26" s="51">
        <v>2529.73</v>
      </c>
      <c r="S26" s="51">
        <v>2699.94</v>
      </c>
      <c r="T26" s="51">
        <v>2879.32</v>
      </c>
      <c r="U26" s="51">
        <v>2949.31</v>
      </c>
      <c r="V26" s="51">
        <v>3056.3</v>
      </c>
      <c r="W26" s="51">
        <v>3185.84</v>
      </c>
      <c r="X26" s="52">
        <v>3378.61</v>
      </c>
      <c r="Y26" s="50">
        <f>2992.77+428.76</f>
        <v>3421.5299999999997</v>
      </c>
      <c r="Z26" s="51"/>
      <c r="AA26" s="104">
        <v>3208.27</v>
      </c>
      <c r="AB26" s="104">
        <v>171.85</v>
      </c>
      <c r="AC26" s="180">
        <v>62.87</v>
      </c>
      <c r="AD26" s="180">
        <v>639.58</v>
      </c>
      <c r="AE26" s="180">
        <f>SUM(AA26:AD26)</f>
        <v>4082.5699999999997</v>
      </c>
      <c r="AG26" s="3">
        <v>3385</v>
      </c>
      <c r="AH26" s="3">
        <v>169</v>
      </c>
      <c r="AI26" s="3">
        <v>58</v>
      </c>
      <c r="AJ26" s="3">
        <v>692</v>
      </c>
      <c r="AK26" s="180">
        <f>SUM(AG26:AJ26)</f>
        <v>4304</v>
      </c>
      <c r="AM26" s="265">
        <v>3719.395521612478</v>
      </c>
      <c r="AN26" s="265">
        <v>233.18525454201134</v>
      </c>
      <c r="AO26" s="104">
        <v>48.2018876243717</v>
      </c>
      <c r="AP26" s="265">
        <v>803.8753261137953</v>
      </c>
      <c r="AQ26" s="180">
        <f>SUM(AM26:AP26)</f>
        <v>4804.657989892657</v>
      </c>
    </row>
    <row r="27" spans="1:43" ht="15.75">
      <c r="A27" s="1" t="s">
        <v>19</v>
      </c>
      <c r="B27" s="61">
        <v>4064.03</v>
      </c>
      <c r="C27" s="61">
        <v>3802.87</v>
      </c>
      <c r="D27" s="50">
        <v>3974.61</v>
      </c>
      <c r="E27" s="50">
        <v>4304.01</v>
      </c>
      <c r="F27" s="50">
        <v>4714.94</v>
      </c>
      <c r="G27" s="50">
        <v>5059.77</v>
      </c>
      <c r="H27" s="50">
        <v>5074.37</v>
      </c>
      <c r="I27" s="50">
        <v>5687.55</v>
      </c>
      <c r="J27" s="50">
        <v>6078</v>
      </c>
      <c r="K27" s="50">
        <v>6307.163089241841</v>
      </c>
      <c r="L27" s="271">
        <f>(K27-J27)*100/J27</f>
        <v>3.7703700105600637</v>
      </c>
      <c r="M27" s="280">
        <f>((K27-Y27)*100)/Y27</f>
        <v>55.29376500063624</v>
      </c>
      <c r="N27" s="51">
        <v>2200.37</v>
      </c>
      <c r="O27" s="51">
        <v>2439.84</v>
      </c>
      <c r="P27" s="51">
        <v>2706.88</v>
      </c>
      <c r="Q27" s="51">
        <v>2934.34</v>
      </c>
      <c r="R27" s="51">
        <v>3205.34</v>
      </c>
      <c r="S27" s="51">
        <v>3501.33</v>
      </c>
      <c r="T27" s="51">
        <v>3806.22</v>
      </c>
      <c r="U27" s="51">
        <v>3691.79</v>
      </c>
      <c r="V27" s="51">
        <v>3637.54</v>
      </c>
      <c r="W27" s="51">
        <v>3745.61</v>
      </c>
      <c r="X27" s="52">
        <v>3931.89</v>
      </c>
      <c r="Y27" s="50">
        <f>3445.87+615.57</f>
        <v>4061.44</v>
      </c>
      <c r="Z27" s="51"/>
      <c r="AA27" s="104">
        <v>4160.23</v>
      </c>
      <c r="AB27" s="104">
        <v>232.26</v>
      </c>
      <c r="AC27" s="180">
        <v>60.47</v>
      </c>
      <c r="AD27" s="180">
        <v>1234.59</v>
      </c>
      <c r="AE27" s="180">
        <f>SUM(AA27:AD27)</f>
        <v>5687.55</v>
      </c>
      <c r="AG27" s="3">
        <v>4385</v>
      </c>
      <c r="AH27" s="3">
        <v>194</v>
      </c>
      <c r="AI27" s="3">
        <v>68</v>
      </c>
      <c r="AJ27" s="3">
        <v>1431</v>
      </c>
      <c r="AK27" s="180">
        <f>SUM(AG27:AJ27)</f>
        <v>6078</v>
      </c>
      <c r="AM27" s="265">
        <v>4570.994522828634</v>
      </c>
      <c r="AN27" s="265">
        <v>243.12674444973112</v>
      </c>
      <c r="AO27" s="104">
        <v>59.08256473176394</v>
      </c>
      <c r="AP27" s="265">
        <v>1433.9592572317115</v>
      </c>
      <c r="AQ27" s="180">
        <f>SUM(AM27:AP27)</f>
        <v>6307.163089241841</v>
      </c>
    </row>
    <row r="28" spans="1:43" ht="15.75">
      <c r="A28" s="1" t="s">
        <v>20</v>
      </c>
      <c r="B28" s="61">
        <v>4060.32</v>
      </c>
      <c r="C28" s="61">
        <v>4297.26</v>
      </c>
      <c r="D28" s="50">
        <v>4156.62</v>
      </c>
      <c r="E28" s="50">
        <v>4263.78</v>
      </c>
      <c r="F28" s="50">
        <v>4850.98</v>
      </c>
      <c r="G28" s="50">
        <v>5190.07</v>
      </c>
      <c r="H28" s="50">
        <v>5442.03</v>
      </c>
      <c r="I28" s="50">
        <v>5193.45</v>
      </c>
      <c r="J28" s="50">
        <v>5445</v>
      </c>
      <c r="K28" s="50">
        <v>5727.767486730777</v>
      </c>
      <c r="L28" s="271">
        <f>(K28-J28)*100/J28</f>
        <v>5.193158617645122</v>
      </c>
      <c r="M28" s="280">
        <f>((K28-Y28)*100)/Y28</f>
        <v>43.68270837675037</v>
      </c>
      <c r="N28" s="51">
        <v>1902.23</v>
      </c>
      <c r="O28" s="51">
        <v>2140.24</v>
      </c>
      <c r="P28" s="51">
        <v>2352.09</v>
      </c>
      <c r="Q28" s="51">
        <v>2592.93</v>
      </c>
      <c r="R28" s="51">
        <v>2914.57</v>
      </c>
      <c r="S28" s="51">
        <v>3139.42</v>
      </c>
      <c r="T28" s="51">
        <v>3328.6</v>
      </c>
      <c r="U28" s="51">
        <v>3356.2</v>
      </c>
      <c r="V28" s="51">
        <v>3436.13</v>
      </c>
      <c r="W28" s="51">
        <v>3690.61</v>
      </c>
      <c r="X28" s="52">
        <v>3917.35</v>
      </c>
      <c r="Y28" s="50">
        <f>3482.23+504.17</f>
        <v>3986.4</v>
      </c>
      <c r="Z28" s="51"/>
      <c r="AA28" s="104">
        <v>4042.76</v>
      </c>
      <c r="AB28" s="104">
        <v>170.6</v>
      </c>
      <c r="AC28" s="180">
        <v>123.44</v>
      </c>
      <c r="AD28" s="180">
        <v>856.65</v>
      </c>
      <c r="AE28" s="180">
        <f>SUM(AA28:AD28)</f>
        <v>5193.45</v>
      </c>
      <c r="AG28" s="3">
        <v>4132</v>
      </c>
      <c r="AH28" s="3">
        <v>211</v>
      </c>
      <c r="AI28" s="3">
        <v>119</v>
      </c>
      <c r="AJ28" s="3">
        <v>983</v>
      </c>
      <c r="AK28" s="180">
        <f>SUM(AG28:AJ28)</f>
        <v>5445</v>
      </c>
      <c r="AM28" s="265">
        <v>4317.424332100951</v>
      </c>
      <c r="AN28" s="265">
        <v>248.1229518434901</v>
      </c>
      <c r="AO28" s="104">
        <v>124.54159314599615</v>
      </c>
      <c r="AP28" s="265">
        <v>1037.6786096403391</v>
      </c>
      <c r="AQ28" s="180">
        <f>SUM(AM28:AP28)</f>
        <v>5727.767486730777</v>
      </c>
    </row>
    <row r="29" spans="2:43" ht="15.75">
      <c r="B29" s="61"/>
      <c r="C29" s="61"/>
      <c r="D29" s="50"/>
      <c r="E29" s="50"/>
      <c r="F29" s="50"/>
      <c r="G29" s="50"/>
      <c r="H29" s="50"/>
      <c r="I29" s="50"/>
      <c r="J29" s="50"/>
      <c r="K29" s="50"/>
      <c r="L29" s="271"/>
      <c r="M29" s="27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  <c r="Y29" s="50"/>
      <c r="Z29" s="51"/>
      <c r="AA29" s="104"/>
      <c r="AB29" s="104"/>
      <c r="AD29" s="180"/>
      <c r="AE29" s="180"/>
      <c r="AK29" s="180"/>
      <c r="AM29" s="265"/>
      <c r="AN29" s="265"/>
      <c r="AO29" s="104"/>
      <c r="AP29" s="265"/>
      <c r="AQ29" s="180"/>
    </row>
    <row r="30" spans="1:43" ht="15.75">
      <c r="A30" s="1" t="s">
        <v>21</v>
      </c>
      <c r="B30" s="61">
        <v>4783.18</v>
      </c>
      <c r="C30" s="61">
        <v>4514.96</v>
      </c>
      <c r="D30" s="50">
        <v>4744.66</v>
      </c>
      <c r="E30" s="50">
        <v>4970.18</v>
      </c>
      <c r="F30" s="50">
        <v>5404.41</v>
      </c>
      <c r="G30" s="50">
        <v>5770.06</v>
      </c>
      <c r="H30" s="50">
        <v>5993.99</v>
      </c>
      <c r="I30" s="50">
        <v>6173.81</v>
      </c>
      <c r="J30" s="50">
        <v>6544</v>
      </c>
      <c r="K30" s="50">
        <v>6958.514286345134</v>
      </c>
      <c r="L30" s="271">
        <f>(K30-J30)*100/J30</f>
        <v>6.33426476688774</v>
      </c>
      <c r="M30" s="280">
        <f>((K30-Y30)*100)/Y30</f>
        <v>47.84933753912436</v>
      </c>
      <c r="N30" s="51">
        <v>2770.55</v>
      </c>
      <c r="O30" s="51">
        <v>3038.35</v>
      </c>
      <c r="P30" s="51">
        <v>3528.28</v>
      </c>
      <c r="Q30" s="51">
        <v>3557.35</v>
      </c>
      <c r="R30" s="51">
        <v>3885.2</v>
      </c>
      <c r="S30" s="51">
        <v>4287.2</v>
      </c>
      <c r="T30" s="51">
        <v>4516.04</v>
      </c>
      <c r="U30" s="51">
        <v>4380.59</v>
      </c>
      <c r="V30" s="51">
        <v>4458.01</v>
      </c>
      <c r="W30" s="51">
        <v>4485.4</v>
      </c>
      <c r="X30" s="52">
        <v>4610.23</v>
      </c>
      <c r="Y30" s="50">
        <f>4008.99+697.5</f>
        <v>4706.49</v>
      </c>
      <c r="Z30" s="51"/>
      <c r="AA30" s="104">
        <v>4827.33</v>
      </c>
      <c r="AB30" s="104">
        <v>187.93</v>
      </c>
      <c r="AC30" s="180">
        <v>55.78</v>
      </c>
      <c r="AD30" s="180">
        <v>1102.77</v>
      </c>
      <c r="AE30" s="180">
        <f>SUM(AA30:AD30)</f>
        <v>6173.8099999999995</v>
      </c>
      <c r="AG30" s="3">
        <v>5035</v>
      </c>
      <c r="AH30" s="3">
        <v>219</v>
      </c>
      <c r="AI30" s="3">
        <v>97</v>
      </c>
      <c r="AJ30" s="3">
        <v>1193</v>
      </c>
      <c r="AK30" s="180">
        <f>SUM(AG30:AJ30)</f>
        <v>6544</v>
      </c>
      <c r="AM30" s="265">
        <v>5305.101411036019</v>
      </c>
      <c r="AN30" s="265">
        <v>245.9694669236644</v>
      </c>
      <c r="AO30" s="104">
        <v>111.39226563329468</v>
      </c>
      <c r="AP30" s="265">
        <v>1296.0511427521562</v>
      </c>
      <c r="AQ30" s="180">
        <f>SUM(AM30:AP30)</f>
        <v>6958.514286345134</v>
      </c>
    </row>
    <row r="31" spans="1:43" ht="15.75">
      <c r="A31" s="1" t="s">
        <v>22</v>
      </c>
      <c r="B31" s="61">
        <v>3586.77</v>
      </c>
      <c r="C31" s="61">
        <v>3401.77</v>
      </c>
      <c r="D31" s="50">
        <v>3630.78</v>
      </c>
      <c r="E31" s="50">
        <v>3775.18</v>
      </c>
      <c r="F31" s="50">
        <v>3943.81</v>
      </c>
      <c r="G31" s="50">
        <v>4226.47</v>
      </c>
      <c r="H31" s="50">
        <v>4467.32</v>
      </c>
      <c r="I31" s="50">
        <v>4337.62</v>
      </c>
      <c r="J31" s="50">
        <v>4526</v>
      </c>
      <c r="K31" s="50">
        <v>4865.427069070048</v>
      </c>
      <c r="L31" s="271">
        <f>(K31-J31)*100/J31</f>
        <v>7.4994933510836885</v>
      </c>
      <c r="M31" s="280">
        <f>((K31-Y31)*100)/Y31</f>
        <v>37.067797362276494</v>
      </c>
      <c r="N31" s="51">
        <v>1945.13</v>
      </c>
      <c r="O31" s="51">
        <v>2161.43</v>
      </c>
      <c r="P31" s="51">
        <v>2416.72</v>
      </c>
      <c r="Q31" s="51">
        <v>2659.4</v>
      </c>
      <c r="R31" s="51">
        <v>2865.1</v>
      </c>
      <c r="S31" s="51">
        <v>3029.88</v>
      </c>
      <c r="T31" s="51">
        <v>3219.31</v>
      </c>
      <c r="U31" s="51">
        <v>3080.96</v>
      </c>
      <c r="V31" s="51">
        <v>3241.77</v>
      </c>
      <c r="W31" s="51">
        <v>3321.37</v>
      </c>
      <c r="X31" s="52">
        <v>3516.4</v>
      </c>
      <c r="Y31" s="50">
        <f>2971.57+578.08</f>
        <v>3549.65</v>
      </c>
      <c r="Z31" s="51"/>
      <c r="AA31" s="104">
        <v>3263.48</v>
      </c>
      <c r="AB31" s="104">
        <v>210.46</v>
      </c>
      <c r="AC31" s="180">
        <v>83.52</v>
      </c>
      <c r="AD31" s="180">
        <v>780.16</v>
      </c>
      <c r="AE31" s="180">
        <f>SUM(AA31:AD31)</f>
        <v>4337.62</v>
      </c>
      <c r="AG31" s="3">
        <v>3404</v>
      </c>
      <c r="AH31" s="3">
        <v>189</v>
      </c>
      <c r="AI31" s="3">
        <v>97</v>
      </c>
      <c r="AJ31" s="3">
        <v>836</v>
      </c>
      <c r="AK31" s="180">
        <f>SUM(AG31:AJ31)</f>
        <v>4526</v>
      </c>
      <c r="AM31" s="265">
        <v>3586.4466699526683</v>
      </c>
      <c r="AN31" s="265">
        <v>262.85009710329234</v>
      </c>
      <c r="AO31" s="104">
        <v>94.88813793342901</v>
      </c>
      <c r="AP31" s="265">
        <v>921.2421640806581</v>
      </c>
      <c r="AQ31" s="180">
        <f>SUM(AM31:AP31)</f>
        <v>4865.427069070048</v>
      </c>
    </row>
    <row r="32" spans="1:43" ht="15.75">
      <c r="A32" s="1" t="s">
        <v>23</v>
      </c>
      <c r="B32" s="61">
        <v>3623.32</v>
      </c>
      <c r="C32" s="61">
        <v>3434.93</v>
      </c>
      <c r="D32" s="50">
        <v>3679.53</v>
      </c>
      <c r="E32" s="50">
        <v>3854.27</v>
      </c>
      <c r="F32" s="50">
        <v>4094.33</v>
      </c>
      <c r="G32" s="50">
        <v>4487.5</v>
      </c>
      <c r="H32" s="50">
        <v>4563.6</v>
      </c>
      <c r="I32" s="50">
        <v>4681.13</v>
      </c>
      <c r="J32" s="50">
        <v>4761</v>
      </c>
      <c r="K32" s="50">
        <v>5016.340855784192</v>
      </c>
      <c r="L32" s="271">
        <f>(K32-J32)*100/J32</f>
        <v>5.363176975093303</v>
      </c>
      <c r="M32" s="280">
        <f>((K32-Y32)*100)/Y32</f>
        <v>45.44966744811147</v>
      </c>
      <c r="N32" s="51">
        <v>1798.72</v>
      </c>
      <c r="O32" s="51">
        <v>2130.82</v>
      </c>
      <c r="P32" s="51">
        <v>2461.69</v>
      </c>
      <c r="Q32" s="51">
        <v>2588.69</v>
      </c>
      <c r="R32" s="51">
        <v>2720.52</v>
      </c>
      <c r="S32" s="51">
        <v>2938.03</v>
      </c>
      <c r="T32" s="51">
        <v>3073.72</v>
      </c>
      <c r="U32" s="51">
        <v>3153.52</v>
      </c>
      <c r="V32" s="51">
        <v>3203.81</v>
      </c>
      <c r="W32" s="51">
        <v>3408.86</v>
      </c>
      <c r="X32" s="52">
        <v>3450.15</v>
      </c>
      <c r="Y32" s="50">
        <f>2994.7+454.15</f>
        <v>3448.85</v>
      </c>
      <c r="Z32" s="51"/>
      <c r="AA32" s="104">
        <v>3545.24</v>
      </c>
      <c r="AB32" s="104">
        <v>264.43</v>
      </c>
      <c r="AC32" s="180">
        <v>100.07</v>
      </c>
      <c r="AD32" s="180">
        <v>771.39</v>
      </c>
      <c r="AE32" s="180">
        <f>SUM(AA32:AD32)</f>
        <v>4681.13</v>
      </c>
      <c r="AG32" s="3">
        <v>3635</v>
      </c>
      <c r="AH32" s="3">
        <v>226</v>
      </c>
      <c r="AI32" s="3">
        <v>99</v>
      </c>
      <c r="AJ32" s="3">
        <v>801</v>
      </c>
      <c r="AK32" s="180">
        <f>SUM(AG32:AJ32)</f>
        <v>4761</v>
      </c>
      <c r="AM32" s="265">
        <v>3807.8497629210974</v>
      </c>
      <c r="AN32" s="265">
        <v>215.78740461699837</v>
      </c>
      <c r="AO32" s="104">
        <v>124.24310994830753</v>
      </c>
      <c r="AP32" s="265">
        <v>868.4605782977886</v>
      </c>
      <c r="AQ32" s="180">
        <f>SUM(AM32:AP32)</f>
        <v>5016.340855784192</v>
      </c>
    </row>
    <row r="33" spans="1:43" ht="15.75">
      <c r="A33" s="1" t="s">
        <v>24</v>
      </c>
      <c r="B33" s="61">
        <v>3593.54</v>
      </c>
      <c r="C33" s="61">
        <v>3369.98</v>
      </c>
      <c r="D33" s="50">
        <v>3578.4</v>
      </c>
      <c r="E33" s="50">
        <v>3707.13</v>
      </c>
      <c r="F33" s="50">
        <v>3948.61</v>
      </c>
      <c r="G33" s="50">
        <v>4297.64</v>
      </c>
      <c r="H33" s="50">
        <v>4290.06</v>
      </c>
      <c r="I33" s="50">
        <v>4433.29</v>
      </c>
      <c r="J33" s="50">
        <v>4743</v>
      </c>
      <c r="K33" s="50">
        <v>4813.261608514148</v>
      </c>
      <c r="L33" s="271">
        <f>(K33-J33)*100/J33</f>
        <v>1.4813748368996007</v>
      </c>
      <c r="M33" s="280">
        <f>((K33-Y33)*100)/Y33</f>
        <v>40.69873774146363</v>
      </c>
      <c r="N33" s="51">
        <v>1741.92</v>
      </c>
      <c r="O33" s="51">
        <v>1995.24</v>
      </c>
      <c r="P33" s="51">
        <v>2194.72</v>
      </c>
      <c r="Q33" s="51">
        <v>2355.41</v>
      </c>
      <c r="R33" s="51">
        <v>2478</v>
      </c>
      <c r="S33" s="51">
        <v>2758.55</v>
      </c>
      <c r="T33" s="51">
        <v>2965.05</v>
      </c>
      <c r="U33" s="51">
        <v>3214.43</v>
      </c>
      <c r="V33" s="51">
        <v>3334.77</v>
      </c>
      <c r="W33" s="51">
        <v>3346</v>
      </c>
      <c r="X33" s="52">
        <v>3537.13</v>
      </c>
      <c r="Y33" s="50">
        <f>2888.83+532.14</f>
        <v>3420.97</v>
      </c>
      <c r="Z33" s="51"/>
      <c r="AA33" s="104">
        <v>3285.02</v>
      </c>
      <c r="AB33" s="104">
        <v>213.55</v>
      </c>
      <c r="AC33" s="180">
        <v>108.88</v>
      </c>
      <c r="AD33" s="180">
        <v>825.84</v>
      </c>
      <c r="AE33" s="180">
        <f>SUM(AA33:AD33)</f>
        <v>4433.29</v>
      </c>
      <c r="AG33" s="3">
        <v>3487</v>
      </c>
      <c r="AH33" s="3">
        <v>246</v>
      </c>
      <c r="AI33" s="3">
        <v>98</v>
      </c>
      <c r="AJ33" s="3">
        <v>912</v>
      </c>
      <c r="AK33" s="180">
        <f>SUM(AG33:AJ33)</f>
        <v>4743</v>
      </c>
      <c r="AM33" s="265">
        <v>3580.9201517512465</v>
      </c>
      <c r="AN33" s="265">
        <v>215.42726580093066</v>
      </c>
      <c r="AO33" s="104">
        <v>102.20548480228317</v>
      </c>
      <c r="AP33" s="265">
        <v>914.7087061596875</v>
      </c>
      <c r="AQ33" s="180">
        <f>SUM(AM33:AP33)</f>
        <v>4813.261608514148</v>
      </c>
    </row>
    <row r="34" spans="1:43" ht="15.75">
      <c r="A34" s="1" t="s">
        <v>25</v>
      </c>
      <c r="B34" s="61">
        <v>3814.36</v>
      </c>
      <c r="C34" s="61">
        <v>3780.42</v>
      </c>
      <c r="D34" s="50">
        <v>3994.91</v>
      </c>
      <c r="E34" s="50">
        <v>4293.08</v>
      </c>
      <c r="F34" s="50">
        <v>4548.68</v>
      </c>
      <c r="G34" s="50">
        <v>4870.63</v>
      </c>
      <c r="H34" s="50">
        <v>5126.54</v>
      </c>
      <c r="I34" s="50">
        <v>5265.73</v>
      </c>
      <c r="J34" s="50">
        <v>5526</v>
      </c>
      <c r="K34" s="50">
        <v>6016.915075223698</v>
      </c>
      <c r="L34" s="271">
        <f>(K34-J34)*100/J34</f>
        <v>8.883732812589546</v>
      </c>
      <c r="M34" s="280">
        <f>((K34-Y34)*100)/Y34</f>
        <v>59.337828378361785</v>
      </c>
      <c r="N34" s="51">
        <v>1602.99</v>
      </c>
      <c r="O34" s="51">
        <v>1749.92</v>
      </c>
      <c r="P34" s="51">
        <v>1945.13</v>
      </c>
      <c r="Q34" s="51">
        <v>2133.34</v>
      </c>
      <c r="R34" s="51">
        <v>2411.96</v>
      </c>
      <c r="S34" s="51">
        <v>2683.67</v>
      </c>
      <c r="T34" s="51">
        <v>2942.52</v>
      </c>
      <c r="U34" s="51">
        <v>2784.58</v>
      </c>
      <c r="V34" s="51">
        <v>2964.25</v>
      </c>
      <c r="W34" s="51">
        <v>3273.33</v>
      </c>
      <c r="X34" s="52">
        <v>3502.99</v>
      </c>
      <c r="Y34" s="50">
        <f>3264.09+512.11</f>
        <v>3776.2000000000003</v>
      </c>
      <c r="Z34" s="51"/>
      <c r="AA34" s="104">
        <v>3926.62</v>
      </c>
      <c r="AB34" s="104">
        <v>288.05</v>
      </c>
      <c r="AC34" s="180">
        <v>228.98</v>
      </c>
      <c r="AD34" s="180">
        <v>822.08</v>
      </c>
      <c r="AE34" s="180">
        <f>SUM(AA34:AD34)</f>
        <v>5265.73</v>
      </c>
      <c r="AG34" s="3">
        <v>4067</v>
      </c>
      <c r="AH34" s="3">
        <v>381</v>
      </c>
      <c r="AI34" s="3">
        <v>255</v>
      </c>
      <c r="AJ34" s="3">
        <v>823</v>
      </c>
      <c r="AK34" s="180">
        <f>SUM(AG34:AJ34)</f>
        <v>5526</v>
      </c>
      <c r="AM34" s="265">
        <v>4460.061366040849</v>
      </c>
      <c r="AN34" s="265">
        <v>376.26114368712683</v>
      </c>
      <c r="AO34" s="104">
        <v>290.0649093549949</v>
      </c>
      <c r="AP34" s="265">
        <v>890.5276561407285</v>
      </c>
      <c r="AQ34" s="180">
        <f>SUM(AM34:AP34)</f>
        <v>6016.915075223698</v>
      </c>
    </row>
    <row r="35" spans="2:43" ht="15.75">
      <c r="B35" s="61"/>
      <c r="C35" s="61"/>
      <c r="D35" s="50"/>
      <c r="E35" s="50"/>
      <c r="F35" s="50"/>
      <c r="G35" s="50"/>
      <c r="H35" s="50"/>
      <c r="I35" s="50"/>
      <c r="J35" s="50"/>
      <c r="K35" s="50"/>
      <c r="L35" s="271"/>
      <c r="M35" s="27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2"/>
      <c r="Y35" s="50"/>
      <c r="Z35" s="51"/>
      <c r="AA35"/>
      <c r="AB35"/>
      <c r="AD35" s="180"/>
      <c r="AE35" s="180"/>
      <c r="AK35" s="180"/>
      <c r="AM35" s="265"/>
      <c r="AN35" s="265"/>
      <c r="AO35" s="104"/>
      <c r="AP35" s="265"/>
      <c r="AQ35" s="180"/>
    </row>
    <row r="36" spans="1:43" ht="15.75">
      <c r="A36" s="1" t="s">
        <v>26</v>
      </c>
      <c r="B36" s="61">
        <v>3877.18</v>
      </c>
      <c r="C36" s="61">
        <v>3526.22</v>
      </c>
      <c r="D36" s="50">
        <v>3738.45</v>
      </c>
      <c r="E36" s="50">
        <v>3855.24</v>
      </c>
      <c r="F36" s="50">
        <v>4160.08</v>
      </c>
      <c r="G36" s="50">
        <v>4541.32</v>
      </c>
      <c r="H36" s="50">
        <v>4678.28</v>
      </c>
      <c r="I36" s="50">
        <v>4963.86</v>
      </c>
      <c r="J36" s="50">
        <v>4820</v>
      </c>
      <c r="K36" s="50">
        <v>5106.6249350171365</v>
      </c>
      <c r="L36" s="271">
        <f>(K36-J36)*100/J36</f>
        <v>5.946575415293289</v>
      </c>
      <c r="M36" s="280">
        <f>((K36-Y36)*100)/Y36</f>
        <v>38.315577016777766</v>
      </c>
      <c r="N36" s="51">
        <v>2047.29</v>
      </c>
      <c r="O36" s="51">
        <v>2211.37</v>
      </c>
      <c r="P36" s="51">
        <v>2289.85</v>
      </c>
      <c r="Q36" s="51">
        <v>2758.61</v>
      </c>
      <c r="R36" s="51">
        <v>3043.44</v>
      </c>
      <c r="S36" s="51">
        <v>3417.57</v>
      </c>
      <c r="T36" s="51">
        <v>3423.15</v>
      </c>
      <c r="U36" s="51">
        <v>3265.79</v>
      </c>
      <c r="V36" s="51">
        <v>3278.91</v>
      </c>
      <c r="W36" s="51">
        <v>3444.32</v>
      </c>
      <c r="X36" s="52">
        <v>3585.58</v>
      </c>
      <c r="Y36" s="50">
        <f>3233.62+458.39</f>
        <v>3692.0099999999998</v>
      </c>
      <c r="Z36" s="51"/>
      <c r="AA36" s="104">
        <v>3833.01</v>
      </c>
      <c r="AB36" s="104">
        <v>260.82</v>
      </c>
      <c r="AC36" s="180">
        <v>150.13</v>
      </c>
      <c r="AD36" s="180">
        <v>719.9</v>
      </c>
      <c r="AE36" s="180">
        <f>SUM(AA36:AD36)</f>
        <v>4963.86</v>
      </c>
      <c r="AG36" s="3">
        <v>3762</v>
      </c>
      <c r="AH36" s="3">
        <v>185</v>
      </c>
      <c r="AI36" s="3">
        <v>142</v>
      </c>
      <c r="AJ36" s="3">
        <v>731</v>
      </c>
      <c r="AK36" s="180">
        <f>SUM(AG36:AJ36)</f>
        <v>4820</v>
      </c>
      <c r="AM36" s="265">
        <v>3972.371812389299</v>
      </c>
      <c r="AN36" s="265">
        <v>244.43734271846893</v>
      </c>
      <c r="AO36" s="104">
        <v>153.18884595036</v>
      </c>
      <c r="AP36" s="265">
        <v>736.626933959009</v>
      </c>
      <c r="AQ36" s="180">
        <f>SUM(AM36:AP36)</f>
        <v>5106.6249350171365</v>
      </c>
    </row>
    <row r="37" spans="1:43" ht="15.75">
      <c r="A37" s="1" t="s">
        <v>27</v>
      </c>
      <c r="B37" s="61">
        <v>3550.21</v>
      </c>
      <c r="C37" s="61">
        <v>3368.62</v>
      </c>
      <c r="D37" s="50">
        <v>3604.86</v>
      </c>
      <c r="E37" s="50">
        <v>3827.8</v>
      </c>
      <c r="F37" s="50">
        <v>3993.55</v>
      </c>
      <c r="G37" s="50">
        <v>4312.79</v>
      </c>
      <c r="H37" s="50">
        <v>4447.87</v>
      </c>
      <c r="I37" s="50">
        <v>4626.84</v>
      </c>
      <c r="J37" s="50">
        <v>4819</v>
      </c>
      <c r="K37" s="50">
        <v>5096.706200185309</v>
      </c>
      <c r="L37" s="271">
        <f>(K37-J37)*100/J37</f>
        <v>5.762735011108304</v>
      </c>
      <c r="M37" s="280">
        <f>((K37-Y37)*100)/Y37</f>
        <v>45.15567897543032</v>
      </c>
      <c r="N37" s="51">
        <v>1873.62</v>
      </c>
      <c r="O37" s="51">
        <v>2062.82</v>
      </c>
      <c r="P37" s="51">
        <v>2276.64</v>
      </c>
      <c r="Q37" s="51">
        <v>2471.45</v>
      </c>
      <c r="R37" s="51">
        <v>2690.4</v>
      </c>
      <c r="S37" s="51">
        <v>2889.12</v>
      </c>
      <c r="T37" s="51">
        <v>3101.57</v>
      </c>
      <c r="U37" s="51">
        <v>3154.69</v>
      </c>
      <c r="V37" s="51">
        <v>3165.86</v>
      </c>
      <c r="W37" s="51">
        <v>3265.74</v>
      </c>
      <c r="X37" s="52">
        <v>3462.82</v>
      </c>
      <c r="Y37" s="50">
        <f>3054.16+457.04</f>
        <v>3511.2</v>
      </c>
      <c r="Z37" s="51"/>
      <c r="AA37" s="104">
        <v>3515.17</v>
      </c>
      <c r="AB37" s="104">
        <v>316.23</v>
      </c>
      <c r="AC37" s="180">
        <v>99.33</v>
      </c>
      <c r="AD37" s="180">
        <v>696.11</v>
      </c>
      <c r="AE37" s="180">
        <f>SUM(AA37:AD37)</f>
        <v>4626.84</v>
      </c>
      <c r="AG37" s="3">
        <v>3617</v>
      </c>
      <c r="AH37" s="3">
        <v>385</v>
      </c>
      <c r="AI37" s="3">
        <v>95</v>
      </c>
      <c r="AJ37" s="3">
        <v>722</v>
      </c>
      <c r="AK37" s="180">
        <f>SUM(AG37:AJ37)</f>
        <v>4819</v>
      </c>
      <c r="AM37" s="265">
        <v>3868.5980346649494</v>
      </c>
      <c r="AN37" s="265">
        <v>342.33147224029346</v>
      </c>
      <c r="AO37" s="104">
        <v>102.94678669358873</v>
      </c>
      <c r="AP37" s="265">
        <v>782.8299065864779</v>
      </c>
      <c r="AQ37" s="180">
        <f>SUM(AM37:AP37)</f>
        <v>5096.706200185309</v>
      </c>
    </row>
    <row r="38" spans="1:43" ht="15.75">
      <c r="A38" s="1" t="s">
        <v>28</v>
      </c>
      <c r="B38" s="61">
        <v>3571.91</v>
      </c>
      <c r="C38" s="61">
        <v>3404.32</v>
      </c>
      <c r="D38" s="50">
        <v>3713.24</v>
      </c>
      <c r="E38" s="50">
        <v>3941.14</v>
      </c>
      <c r="F38" s="50">
        <v>4326.2</v>
      </c>
      <c r="G38" s="50">
        <v>4545.74</v>
      </c>
      <c r="H38" s="50">
        <v>4678.81</v>
      </c>
      <c r="I38" s="50">
        <v>4797.17</v>
      </c>
      <c r="J38" s="50">
        <v>4961</v>
      </c>
      <c r="K38" s="50">
        <v>5294.25425908887</v>
      </c>
      <c r="L38" s="271">
        <f>(K38-J38)*100/J38</f>
        <v>6.7174815377720165</v>
      </c>
      <c r="M38" s="280">
        <f>((K38-Y38)*100)/Y38</f>
        <v>57.552086083732185</v>
      </c>
      <c r="N38" s="51">
        <v>1809.28</v>
      </c>
      <c r="O38" s="51">
        <v>1975.29</v>
      </c>
      <c r="P38" s="51">
        <v>2129.95</v>
      </c>
      <c r="Q38" s="51">
        <v>2346.56</v>
      </c>
      <c r="R38" s="51">
        <v>2558.82</v>
      </c>
      <c r="S38" s="51">
        <v>2803.1</v>
      </c>
      <c r="T38" s="51">
        <v>3061.92</v>
      </c>
      <c r="U38" s="51">
        <v>3011.39</v>
      </c>
      <c r="V38" s="51">
        <v>3126.7</v>
      </c>
      <c r="W38" s="51">
        <v>3194.18</v>
      </c>
      <c r="X38" s="52">
        <v>3372.48</v>
      </c>
      <c r="Y38" s="50">
        <f>2936.13+424.19</f>
        <v>3360.32</v>
      </c>
      <c r="Z38" s="51"/>
      <c r="AA38" s="104">
        <v>3669.49</v>
      </c>
      <c r="AB38" s="104">
        <v>241.82</v>
      </c>
      <c r="AC38" s="180">
        <v>86.77</v>
      </c>
      <c r="AD38" s="180">
        <v>799.09</v>
      </c>
      <c r="AE38" s="180">
        <f>SUM(AA38:AD38)</f>
        <v>4797.17</v>
      </c>
      <c r="AG38" s="3">
        <v>3792</v>
      </c>
      <c r="AH38" s="3">
        <v>222</v>
      </c>
      <c r="AI38" s="3">
        <v>104</v>
      </c>
      <c r="AJ38" s="3">
        <v>843</v>
      </c>
      <c r="AK38" s="180">
        <f>SUM(AG38:AJ38)</f>
        <v>4961</v>
      </c>
      <c r="AM38" s="265">
        <v>4027.2624625365693</v>
      </c>
      <c r="AN38" s="265">
        <v>260.43084864669646</v>
      </c>
      <c r="AO38" s="104">
        <v>105.68228017076852</v>
      </c>
      <c r="AP38" s="265">
        <v>900.8786677348355</v>
      </c>
      <c r="AQ38" s="180">
        <f>SUM(AM38:AP38)</f>
        <v>5294.25425908887</v>
      </c>
    </row>
    <row r="39" spans="1:43" ht="15.75">
      <c r="A39" s="18" t="s">
        <v>29</v>
      </c>
      <c r="B39" s="62">
        <v>4034.53</v>
      </c>
      <c r="C39" s="62">
        <v>3881.84</v>
      </c>
      <c r="D39" s="96">
        <v>4144.52</v>
      </c>
      <c r="E39" s="96">
        <v>4383.22</v>
      </c>
      <c r="F39" s="96">
        <v>4886.01</v>
      </c>
      <c r="G39" s="96">
        <v>5391.77</v>
      </c>
      <c r="H39" s="96">
        <v>6083.15</v>
      </c>
      <c r="I39" s="96">
        <v>6079.91</v>
      </c>
      <c r="J39" s="96">
        <v>6412</v>
      </c>
      <c r="K39" s="96">
        <v>6808.731861677505</v>
      </c>
      <c r="L39" s="281">
        <f>(K39-J39)*100/J39</f>
        <v>6.1873340872973275</v>
      </c>
      <c r="M39" s="282">
        <f>((K39-Y39)*100)/Y39</f>
        <v>76.56354908726105</v>
      </c>
      <c r="N39" s="51">
        <v>2268.3</v>
      </c>
      <c r="O39" s="51">
        <v>2438.49</v>
      </c>
      <c r="P39" s="51">
        <v>2807.39</v>
      </c>
      <c r="Q39" s="51">
        <v>2974.11</v>
      </c>
      <c r="R39" s="51">
        <v>3148.62</v>
      </c>
      <c r="S39" s="51">
        <v>3398.76</v>
      </c>
      <c r="T39" s="51">
        <v>3595.32</v>
      </c>
      <c r="U39" s="51">
        <v>3654.59</v>
      </c>
      <c r="V39" s="51">
        <v>3726.03</v>
      </c>
      <c r="W39" s="51">
        <v>3840.38</v>
      </c>
      <c r="X39" s="52">
        <v>3875.69</v>
      </c>
      <c r="Y39" s="50">
        <f>3406.86+449.39</f>
        <v>3856.25</v>
      </c>
      <c r="Z39" s="51"/>
      <c r="AA39" s="105">
        <v>4640.8</v>
      </c>
      <c r="AB39" s="105">
        <v>370.29</v>
      </c>
      <c r="AC39" s="180">
        <v>140.95</v>
      </c>
      <c r="AD39" s="180">
        <v>927.87</v>
      </c>
      <c r="AE39" s="180">
        <f>SUM(AA39:AD39)</f>
        <v>6079.91</v>
      </c>
      <c r="AG39" s="3">
        <v>4878</v>
      </c>
      <c r="AH39" s="3">
        <v>351</v>
      </c>
      <c r="AI39" s="3">
        <v>160</v>
      </c>
      <c r="AJ39" s="3">
        <v>1023</v>
      </c>
      <c r="AK39" s="180">
        <f>SUM(AG39:AJ39)</f>
        <v>6412</v>
      </c>
      <c r="AM39" s="265">
        <v>5158.827263828074</v>
      </c>
      <c r="AN39" s="265">
        <v>341.7373754543592</v>
      </c>
      <c r="AO39" s="105">
        <v>193.28025254403204</v>
      </c>
      <c r="AP39" s="265">
        <v>1114.8869698510387</v>
      </c>
      <c r="AQ39" s="180">
        <f>SUM(AM39:AP39)</f>
        <v>6808.731861677505</v>
      </c>
    </row>
    <row r="40" spans="1:25" ht="12.75">
      <c r="A40" s="1" t="s">
        <v>253</v>
      </c>
      <c r="B40" s="19"/>
      <c r="C40" s="19"/>
      <c r="D40" s="19"/>
      <c r="E40" s="19"/>
      <c r="F40" s="61"/>
      <c r="G40" s="61"/>
      <c r="H40" s="61"/>
      <c r="I40" s="61"/>
      <c r="J40" s="61"/>
      <c r="K40" s="61"/>
      <c r="L40" s="86"/>
      <c r="M40" s="39"/>
      <c r="N40" s="39"/>
      <c r="O40" s="19"/>
      <c r="P40" s="19"/>
      <c r="Q40" s="19"/>
      <c r="Y40" s="19"/>
    </row>
    <row r="41" spans="6:14" ht="12.75">
      <c r="F41" s="61"/>
      <c r="G41" s="61"/>
      <c r="H41" s="61"/>
      <c r="I41" s="61"/>
      <c r="J41" s="61"/>
      <c r="K41" s="61"/>
      <c r="L41" s="86"/>
      <c r="M41" s="32"/>
      <c r="N41" s="32"/>
    </row>
    <row r="42" spans="1:17" ht="12.75">
      <c r="A42" s="32" t="s">
        <v>254</v>
      </c>
      <c r="O42" s="15"/>
      <c r="P42" s="15"/>
      <c r="Q42" s="15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printOptions/>
  <pageMargins left="0.54" right="0.54" top="0.74" bottom="0.48" header="0.5" footer="0.32"/>
  <pageSetup fitToHeight="1" fitToWidth="1" orientation="landscape" scale="76" r:id="rId1"/>
  <headerFooter alignWithMargins="0">
    <oddFooter>&amp;L&amp;"Lucida Sans,Italic"&amp;10MSDE-DBS  10 / 2007&amp;C- 16 -&amp;R&amp;"Lucida Sans,Italic"&amp;10Selected Financial Data - Part 4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workbookViewId="0" topLeftCell="AE1">
      <selection activeCell="AL28" sqref="AL28"/>
    </sheetView>
  </sheetViews>
  <sheetFormatPr defaultColWidth="9.00390625" defaultRowHeight="15.75"/>
  <cols>
    <col min="1" max="1" width="12.875" style="1" customWidth="1"/>
    <col min="2" max="5" width="12.625" style="1" customWidth="1"/>
    <col min="6" max="6" width="12.625" style="64" customWidth="1"/>
    <col min="7" max="11" width="12.625" style="66" customWidth="1"/>
    <col min="12" max="12" width="6.625" style="66" customWidth="1"/>
    <col min="13" max="13" width="6.625" style="1" customWidth="1"/>
    <col min="14" max="14" width="7.125" style="1" customWidth="1"/>
    <col min="15" max="21" width="10.125" style="1" customWidth="1"/>
    <col min="22" max="22" width="8.625" style="1" bestFit="1" customWidth="1"/>
    <col min="23" max="24" width="12.75390625" style="1" customWidth="1"/>
    <col min="25" max="25" width="12.625" style="1" customWidth="1"/>
    <col min="26" max="26" width="11.125" style="1" bestFit="1" customWidth="1"/>
    <col min="27" max="27" width="11.125" style="3" bestFit="1" customWidth="1"/>
    <col min="28" max="28" width="10.125" style="3" customWidth="1"/>
    <col min="29" max="29" width="3.25390625" style="3" customWidth="1"/>
    <col min="30" max="30" width="11.125" style="3" bestFit="1" customWidth="1"/>
    <col min="31" max="31" width="10.125" style="3" customWidth="1"/>
    <col min="32" max="32" width="2.875" style="3" customWidth="1"/>
    <col min="33" max="33" width="12.125" style="3" customWidth="1"/>
    <col min="34" max="34" width="10.125" style="3" customWidth="1"/>
    <col min="35" max="35" width="3.50390625" style="3" customWidth="1"/>
    <col min="36" max="36" width="11.125" style="3" bestFit="1" customWidth="1"/>
    <col min="37" max="38" width="10.125" style="3" customWidth="1"/>
    <col min="39" max="39" width="11.125" style="3" bestFit="1" customWidth="1"/>
    <col min="40" max="43" width="10.125" style="3" customWidth="1"/>
    <col min="44" max="16384" width="10.00390625" style="3" customWidth="1"/>
  </cols>
  <sheetData>
    <row r="1" spans="1:25" ht="15.75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0"/>
      <c r="O1" s="2"/>
      <c r="P1" s="2"/>
      <c r="Q1" s="2"/>
      <c r="Y1" s="125"/>
    </row>
    <row r="2" spans="1:25" ht="12.75">
      <c r="A2" s="123"/>
      <c r="B2" s="123"/>
      <c r="C2" s="123"/>
      <c r="D2" s="123"/>
      <c r="E2" s="123"/>
      <c r="F2" s="126"/>
      <c r="G2" s="125"/>
      <c r="H2" s="125"/>
      <c r="I2" s="125"/>
      <c r="J2" s="125"/>
      <c r="K2" s="125"/>
      <c r="L2" s="125"/>
      <c r="M2" s="123"/>
      <c r="N2" s="2"/>
      <c r="O2" s="2"/>
      <c r="P2" s="2"/>
      <c r="Q2" s="2"/>
      <c r="Y2" s="123"/>
    </row>
    <row r="3" spans="1:25" ht="15.75">
      <c r="A3" s="123" t="s">
        <v>255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94"/>
      <c r="O3" s="94"/>
      <c r="P3" s="94"/>
      <c r="Q3" s="94"/>
      <c r="Y3" s="127"/>
    </row>
    <row r="4" spans="1:25" ht="15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94"/>
      <c r="P4" s="94"/>
      <c r="Q4" s="94"/>
      <c r="Y4" s="123"/>
    </row>
    <row r="5" spans="5:39" ht="13.5" thickBot="1">
      <c r="E5" s="11"/>
      <c r="F5" s="11"/>
      <c r="O5" s="7"/>
      <c r="P5" s="7"/>
      <c r="Q5" s="7"/>
      <c r="AA5" s="42" t="s">
        <v>163</v>
      </c>
      <c r="AD5" s="42" t="s">
        <v>171</v>
      </c>
      <c r="AG5" s="42" t="s">
        <v>187</v>
      </c>
      <c r="AJ5" s="3" t="s">
        <v>197</v>
      </c>
      <c r="AM5" s="3" t="s">
        <v>213</v>
      </c>
    </row>
    <row r="6" spans="1:39" ht="13.5" thickTop="1">
      <c r="A6" s="5"/>
      <c r="B6" s="5"/>
      <c r="C6" s="5"/>
      <c r="D6" s="5"/>
      <c r="E6" s="65"/>
      <c r="F6" s="88"/>
      <c r="G6" s="5"/>
      <c r="H6" s="5"/>
      <c r="I6" s="5"/>
      <c r="J6" s="314"/>
      <c r="K6" s="314"/>
      <c r="L6" s="5"/>
      <c r="M6" s="5"/>
      <c r="N6" s="7"/>
      <c r="O6" s="7"/>
      <c r="P6" s="7"/>
      <c r="Q6" s="5"/>
      <c r="T6" s="5"/>
      <c r="U6" s="5"/>
      <c r="V6" s="5"/>
      <c r="W6" s="5"/>
      <c r="X6" s="5"/>
      <c r="Y6" s="5"/>
      <c r="Z6" s="7"/>
      <c r="AA6" s="1" t="s">
        <v>121</v>
      </c>
      <c r="AB6" s="1"/>
      <c r="AD6" s="1" t="s">
        <v>121</v>
      </c>
      <c r="AG6" s="1" t="s">
        <v>121</v>
      </c>
      <c r="AJ6" s="3" t="s">
        <v>121</v>
      </c>
      <c r="AM6" s="3" t="s">
        <v>121</v>
      </c>
    </row>
    <row r="7" spans="1:39" ht="12.75">
      <c r="A7" s="7"/>
      <c r="B7" s="7"/>
      <c r="C7" s="7"/>
      <c r="E7" s="66"/>
      <c r="F7" s="66"/>
      <c r="G7" s="1"/>
      <c r="H7" s="1"/>
      <c r="I7" s="1"/>
      <c r="J7" s="315"/>
      <c r="K7" s="315"/>
      <c r="L7" s="40" t="s">
        <v>34</v>
      </c>
      <c r="M7" s="40"/>
      <c r="O7" s="7"/>
      <c r="P7" s="7"/>
      <c r="Q7" s="7"/>
      <c r="T7" s="7"/>
      <c r="U7" s="7"/>
      <c r="V7" s="7"/>
      <c r="W7" s="7"/>
      <c r="X7" s="7"/>
      <c r="Y7" s="7"/>
      <c r="Z7" s="7"/>
      <c r="AA7" s="1" t="s">
        <v>91</v>
      </c>
      <c r="AB7" s="1"/>
      <c r="AD7" s="1" t="s">
        <v>91</v>
      </c>
      <c r="AG7" s="1" t="s">
        <v>91</v>
      </c>
      <c r="AJ7" s="3" t="s">
        <v>91</v>
      </c>
      <c r="AM7" s="3" t="s">
        <v>91</v>
      </c>
    </row>
    <row r="8" spans="1:39" ht="12.75">
      <c r="A8" s="7"/>
      <c r="B8" s="7"/>
      <c r="C8" s="7"/>
      <c r="D8" s="7"/>
      <c r="E8" s="67"/>
      <c r="F8" s="67"/>
      <c r="G8" s="7"/>
      <c r="H8" s="7"/>
      <c r="I8" s="7"/>
      <c r="J8" s="315"/>
      <c r="K8" s="315"/>
      <c r="L8" s="31" t="s">
        <v>87</v>
      </c>
      <c r="M8" s="31" t="s">
        <v>88</v>
      </c>
      <c r="N8" s="18"/>
      <c r="O8" s="18"/>
      <c r="P8" s="18"/>
      <c r="Q8" s="7"/>
      <c r="T8" s="7"/>
      <c r="U8" s="7"/>
      <c r="V8" s="7"/>
      <c r="W8" s="7"/>
      <c r="X8" s="7"/>
      <c r="Y8" s="7"/>
      <c r="Z8" s="7"/>
      <c r="AA8" s="1" t="s">
        <v>122</v>
      </c>
      <c r="AB8" s="1"/>
      <c r="AD8" s="1" t="s">
        <v>122</v>
      </c>
      <c r="AG8" s="1" t="s">
        <v>122</v>
      </c>
      <c r="AJ8" s="3" t="s">
        <v>122</v>
      </c>
      <c r="AM8" s="3" t="s">
        <v>122</v>
      </c>
    </row>
    <row r="9" spans="1:28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71" t="s">
        <v>55</v>
      </c>
      <c r="O9" s="71" t="s">
        <v>53</v>
      </c>
      <c r="P9" s="71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6" t="s">
        <v>181</v>
      </c>
      <c r="X9" s="36" t="s">
        <v>182</v>
      </c>
      <c r="Y9" s="36" t="s">
        <v>183</v>
      </c>
      <c r="Z9" s="27"/>
      <c r="AA9" s="1"/>
      <c r="AB9" s="1"/>
    </row>
    <row r="10" spans="1:40" ht="12.75">
      <c r="A10" s="7" t="s">
        <v>5</v>
      </c>
      <c r="B10" s="11">
        <f aca="true" t="shared" si="0" ref="B10:G10">SUM(B12:B39)</f>
        <v>127364</v>
      </c>
      <c r="C10" s="11">
        <f t="shared" si="0"/>
        <v>130462</v>
      </c>
      <c r="D10" s="11">
        <f t="shared" si="0"/>
        <v>134108</v>
      </c>
      <c r="E10" s="11">
        <f t="shared" si="0"/>
        <v>138965.27000000002</v>
      </c>
      <c r="F10" s="11">
        <f t="shared" si="0"/>
        <v>142702</v>
      </c>
      <c r="G10" s="11">
        <f t="shared" si="0"/>
        <v>339646</v>
      </c>
      <c r="H10" s="11">
        <f>SUM(H12:H39)</f>
        <v>356969</v>
      </c>
      <c r="I10" s="11">
        <f>SUM(I12:I39)</f>
        <v>382106</v>
      </c>
      <c r="J10" s="11">
        <f>SUM(J12:J39)</f>
        <v>418461</v>
      </c>
      <c r="K10" s="11">
        <f>SUM(K12:K39)</f>
        <v>469096.999</v>
      </c>
      <c r="L10" s="271">
        <f>(K10-J10)*100/J10</f>
        <v>12.100530037446742</v>
      </c>
      <c r="M10" s="280">
        <f>((K10-Y10)*100)/Y10</f>
        <v>280.3931259578816</v>
      </c>
      <c r="N10" s="72">
        <f aca="true" t="shared" si="1" ref="N10:S10">SUM(N12:N39)</f>
        <v>54322</v>
      </c>
      <c r="O10" s="72">
        <f t="shared" si="1"/>
        <v>59642</v>
      </c>
      <c r="P10" s="72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aca="true" t="shared" si="2" ref="T10:Y10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/>
      <c r="AA10" s="11">
        <f>SUM(AA12:AA39)</f>
        <v>339642268</v>
      </c>
      <c r="AB10" s="1"/>
      <c r="AD10" s="11">
        <f>SUM(AD12:AD39)</f>
        <v>356968969</v>
      </c>
      <c r="AG10" s="11">
        <f>SUM(AG12:AG39)</f>
        <v>382105908</v>
      </c>
      <c r="AJ10" s="11">
        <f>SUM(AJ12:AJ39)</f>
        <v>418460091.5</v>
      </c>
      <c r="AK10" s="11">
        <f>SUM(AK12:AK39)</f>
        <v>418460.0915</v>
      </c>
      <c r="AM10" s="11">
        <f>SUM(AM12:AM39)</f>
        <v>469096999</v>
      </c>
      <c r="AN10" s="11">
        <f>SUM(AN12:AN39)</f>
        <v>469096.999</v>
      </c>
    </row>
    <row r="11" spans="2:28" ht="12.75">
      <c r="B11" s="66"/>
      <c r="C11" s="90"/>
      <c r="D11" s="66"/>
      <c r="E11" s="66"/>
      <c r="F11" s="66"/>
      <c r="L11" s="32"/>
      <c r="M11" s="97"/>
      <c r="O11" s="15"/>
      <c r="R11" s="15"/>
      <c r="S11" s="15"/>
      <c r="X11" s="15"/>
      <c r="Y11" s="15"/>
      <c r="AA11" s="1"/>
      <c r="AB11" s="1"/>
    </row>
    <row r="12" spans="1:40" ht="12.75">
      <c r="A12" s="1" t="s">
        <v>6</v>
      </c>
      <c r="B12" s="66">
        <v>1175</v>
      </c>
      <c r="C12" s="90">
        <v>1177</v>
      </c>
      <c r="D12" s="66">
        <v>1320</v>
      </c>
      <c r="E12" s="66">
        <v>1556.36</v>
      </c>
      <c r="F12" s="68">
        <v>1510</v>
      </c>
      <c r="G12" s="68">
        <v>2605</v>
      </c>
      <c r="H12" s="68">
        <v>2565</v>
      </c>
      <c r="I12" s="68">
        <v>2604</v>
      </c>
      <c r="J12" s="68">
        <v>2679</v>
      </c>
      <c r="K12" s="68">
        <v>2769.308</v>
      </c>
      <c r="L12" s="271">
        <f>(K12-J12)*100/J12</f>
        <v>3.370959313176558</v>
      </c>
      <c r="M12" s="280">
        <f>((K12-Y12)*100)/Y12</f>
        <v>133.89425675675676</v>
      </c>
      <c r="N12" s="15">
        <v>715</v>
      </c>
      <c r="O12" s="15">
        <v>775</v>
      </c>
      <c r="P12" s="15">
        <v>844</v>
      </c>
      <c r="Q12" s="28">
        <v>854</v>
      </c>
      <c r="R12" s="28">
        <v>853</v>
      </c>
      <c r="S12" s="28">
        <v>901</v>
      </c>
      <c r="T12" s="28">
        <v>991</v>
      </c>
      <c r="U12" s="28">
        <v>1131</v>
      </c>
      <c r="V12" s="28">
        <v>1168</v>
      </c>
      <c r="W12" s="29">
        <v>1189</v>
      </c>
      <c r="X12" s="15">
        <v>1204</v>
      </c>
      <c r="Y12" s="15">
        <v>1184</v>
      </c>
      <c r="Z12" s="28"/>
      <c r="AA12" s="136">
        <v>2604574</v>
      </c>
      <c r="AB12" s="1">
        <f>AA12/1000</f>
        <v>2604.574</v>
      </c>
      <c r="AD12" s="3">
        <v>2565195</v>
      </c>
      <c r="AE12" s="1">
        <f>AD12/1000</f>
        <v>2565.195</v>
      </c>
      <c r="AG12" s="3">
        <v>2604327</v>
      </c>
      <c r="AH12" s="1">
        <f>AG12/1000</f>
        <v>2604.327</v>
      </c>
      <c r="AJ12" s="3">
        <v>2679375</v>
      </c>
      <c r="AK12" s="1">
        <f>AJ12/1000</f>
        <v>2679.375</v>
      </c>
      <c r="AM12" s="3">
        <v>2769308</v>
      </c>
      <c r="AN12" s="1">
        <f>AM12/1000</f>
        <v>2769.308</v>
      </c>
    </row>
    <row r="13" spans="1:40" ht="12.75">
      <c r="A13" s="1" t="s">
        <v>7</v>
      </c>
      <c r="B13" s="66">
        <v>13328</v>
      </c>
      <c r="C13" s="90">
        <v>13676</v>
      </c>
      <c r="D13" s="66">
        <v>14081</v>
      </c>
      <c r="E13" s="66">
        <v>14589.16</v>
      </c>
      <c r="F13" s="68">
        <v>14939</v>
      </c>
      <c r="G13" s="68">
        <v>35809</v>
      </c>
      <c r="H13" s="68">
        <v>38119</v>
      </c>
      <c r="I13" s="68">
        <v>41298</v>
      </c>
      <c r="J13" s="68">
        <v>46070</v>
      </c>
      <c r="K13" s="68">
        <v>52254.68</v>
      </c>
      <c r="L13" s="271">
        <f>(K13-J13)*100/J13</f>
        <v>13.424527892337746</v>
      </c>
      <c r="M13" s="280">
        <f>((K13-Y13)*100)/Y13</f>
        <v>302.9509561998766</v>
      </c>
      <c r="N13" s="15">
        <v>4883</v>
      </c>
      <c r="O13" s="15">
        <v>5671</v>
      </c>
      <c r="P13" s="15">
        <v>6196</v>
      </c>
      <c r="Q13" s="28">
        <v>6866</v>
      </c>
      <c r="R13" s="28">
        <v>7439</v>
      </c>
      <c r="S13" s="28">
        <v>8221</v>
      </c>
      <c r="T13" s="28">
        <v>9041</v>
      </c>
      <c r="U13" s="28">
        <v>9931</v>
      </c>
      <c r="V13" s="28">
        <v>11346</v>
      </c>
      <c r="W13" s="29">
        <v>12161</v>
      </c>
      <c r="X13" s="15">
        <v>12607</v>
      </c>
      <c r="Y13" s="15">
        <v>12968</v>
      </c>
      <c r="Z13" s="28"/>
      <c r="AA13" s="136">
        <v>35808505</v>
      </c>
      <c r="AB13" s="1">
        <f>AA13/1000</f>
        <v>35808.505</v>
      </c>
      <c r="AD13" s="3">
        <v>38118944</v>
      </c>
      <c r="AE13" s="1">
        <f>AD13/1000</f>
        <v>38118.944</v>
      </c>
      <c r="AG13" s="3">
        <v>41297966</v>
      </c>
      <c r="AH13" s="1">
        <f>AG13/1000</f>
        <v>41297.966</v>
      </c>
      <c r="AJ13" s="3">
        <v>46069922</v>
      </c>
      <c r="AK13" s="1">
        <f>AJ13/1000</f>
        <v>46069.922</v>
      </c>
      <c r="AM13" s="3">
        <v>52254680</v>
      </c>
      <c r="AN13" s="1">
        <f>AM13/1000</f>
        <v>52254.68</v>
      </c>
    </row>
    <row r="14" spans="1:40" ht="12.75">
      <c r="A14" s="1" t="s">
        <v>8</v>
      </c>
      <c r="B14" s="66">
        <v>8394</v>
      </c>
      <c r="C14" s="90">
        <v>8365</v>
      </c>
      <c r="D14" s="66">
        <v>8526</v>
      </c>
      <c r="E14" s="66">
        <v>8579.72</v>
      </c>
      <c r="F14" s="68">
        <v>8722</v>
      </c>
      <c r="G14" s="68">
        <v>19176</v>
      </c>
      <c r="H14" s="68">
        <v>19674</v>
      </c>
      <c r="I14" s="68">
        <v>20219</v>
      </c>
      <c r="J14" s="68">
        <v>21578</v>
      </c>
      <c r="K14" s="68">
        <v>22617.992</v>
      </c>
      <c r="L14" s="271">
        <f>(K14-J14)*100/J14</f>
        <v>4.819686717953464</v>
      </c>
      <c r="M14" s="280">
        <f>((K14-Y14)*100)/Y14</f>
        <v>167.89046547435743</v>
      </c>
      <c r="N14" s="15">
        <v>5108</v>
      </c>
      <c r="O14" s="15">
        <v>5514</v>
      </c>
      <c r="P14" s="15">
        <v>5967</v>
      </c>
      <c r="Q14" s="28">
        <v>6521</v>
      </c>
      <c r="R14" s="28">
        <v>7035</v>
      </c>
      <c r="S14" s="28">
        <v>7582</v>
      </c>
      <c r="T14" s="28">
        <v>7895</v>
      </c>
      <c r="U14" s="28">
        <v>8217</v>
      </c>
      <c r="V14" s="28">
        <v>8310</v>
      </c>
      <c r="W14" s="29">
        <v>8456</v>
      </c>
      <c r="X14" s="15">
        <v>8512</v>
      </c>
      <c r="Y14" s="15">
        <v>8443</v>
      </c>
      <c r="Z14" s="28"/>
      <c r="AA14" s="136">
        <v>19176195</v>
      </c>
      <c r="AB14" s="1">
        <f>AA14/1000</f>
        <v>19176.195</v>
      </c>
      <c r="AD14" s="3">
        <v>19674089</v>
      </c>
      <c r="AE14" s="1">
        <f>AD14/1000</f>
        <v>19674.089</v>
      </c>
      <c r="AG14" s="3">
        <v>20218975</v>
      </c>
      <c r="AH14" s="1">
        <f>AG14/1000</f>
        <v>20218.975</v>
      </c>
      <c r="AJ14" s="3">
        <v>21577606</v>
      </c>
      <c r="AK14" s="1">
        <f>AJ14/1000</f>
        <v>21577.606</v>
      </c>
      <c r="AM14" s="3">
        <v>22617992</v>
      </c>
      <c r="AN14" s="1">
        <f>AM14/1000</f>
        <v>22617.992</v>
      </c>
    </row>
    <row r="15" spans="1:40" ht="12.75">
      <c r="A15" s="1" t="s">
        <v>9</v>
      </c>
      <c r="B15" s="66">
        <v>16987</v>
      </c>
      <c r="C15" s="90">
        <v>17355</v>
      </c>
      <c r="D15" s="66">
        <v>17833</v>
      </c>
      <c r="E15" s="66">
        <v>18450.83</v>
      </c>
      <c r="F15" s="68">
        <v>18972</v>
      </c>
      <c r="G15" s="68">
        <v>44465</v>
      </c>
      <c r="H15" s="68">
        <v>46023</v>
      </c>
      <c r="I15" s="68">
        <v>47861</v>
      </c>
      <c r="J15" s="68">
        <v>50534</v>
      </c>
      <c r="K15" s="68">
        <v>55260.331</v>
      </c>
      <c r="L15" s="271">
        <f>(K15-J15)*100/J15</f>
        <v>9.352774369731268</v>
      </c>
      <c r="M15" s="280">
        <f>((K15-Y15)*100)/Y15</f>
        <v>234.20218324765645</v>
      </c>
      <c r="N15" s="15">
        <v>8081</v>
      </c>
      <c r="O15" s="15">
        <v>8689</v>
      </c>
      <c r="P15" s="15">
        <v>9494</v>
      </c>
      <c r="Q15" s="28">
        <v>10427</v>
      </c>
      <c r="R15" s="28">
        <v>11273</v>
      </c>
      <c r="S15" s="28">
        <v>12291</v>
      </c>
      <c r="T15" s="28">
        <v>13186</v>
      </c>
      <c r="U15" s="28">
        <v>14131</v>
      </c>
      <c r="V15" s="28">
        <v>15207</v>
      </c>
      <c r="W15" s="29">
        <v>15717</v>
      </c>
      <c r="X15" s="15">
        <v>16220</v>
      </c>
      <c r="Y15" s="15">
        <v>16535</v>
      </c>
      <c r="Z15" s="28"/>
      <c r="AA15" s="136">
        <v>44464713</v>
      </c>
      <c r="AB15" s="1">
        <f>AA15/1000</f>
        <v>44464.713</v>
      </c>
      <c r="AD15" s="3">
        <v>46023190</v>
      </c>
      <c r="AE15" s="1">
        <f>AD15/1000</f>
        <v>46023.19</v>
      </c>
      <c r="AG15" s="3">
        <v>47861367</v>
      </c>
      <c r="AH15" s="1">
        <f>AG15/1000</f>
        <v>47861.367</v>
      </c>
      <c r="AJ15" s="3">
        <v>50533574</v>
      </c>
      <c r="AK15" s="1">
        <f>AJ15/1000</f>
        <v>50533.574</v>
      </c>
      <c r="AM15" s="3">
        <v>55260331</v>
      </c>
      <c r="AN15" s="1">
        <f>AM15/1000</f>
        <v>55260.331</v>
      </c>
    </row>
    <row r="16" spans="1:40" ht="12.75">
      <c r="A16" s="1" t="s">
        <v>10</v>
      </c>
      <c r="B16" s="66">
        <v>2713</v>
      </c>
      <c r="C16" s="90">
        <v>2819</v>
      </c>
      <c r="D16" s="66">
        <v>2905</v>
      </c>
      <c r="E16" s="66">
        <v>3013.17</v>
      </c>
      <c r="F16" s="68">
        <v>2933</v>
      </c>
      <c r="G16" s="68">
        <v>5993</v>
      </c>
      <c r="H16" s="68">
        <v>6337</v>
      </c>
      <c r="I16" s="68">
        <v>6820</v>
      </c>
      <c r="J16" s="68">
        <v>7507</v>
      </c>
      <c r="K16" s="68">
        <v>8273.28</v>
      </c>
      <c r="L16" s="271">
        <f>(K16-J16)*100/J16</f>
        <v>10.207539629678974</v>
      </c>
      <c r="M16" s="280">
        <f>((K16-Y16)*100)/Y16</f>
        <v>227.007114624506</v>
      </c>
      <c r="N16" s="15">
        <v>1217</v>
      </c>
      <c r="O16" s="15">
        <v>1257</v>
      </c>
      <c r="P16" s="15">
        <v>1324</v>
      </c>
      <c r="Q16" s="28">
        <v>1400</v>
      </c>
      <c r="R16" s="28">
        <v>1508</v>
      </c>
      <c r="S16" s="28">
        <v>1642</v>
      </c>
      <c r="T16" s="28">
        <v>1584</v>
      </c>
      <c r="U16" s="28">
        <v>1882</v>
      </c>
      <c r="V16" s="28">
        <v>2132</v>
      </c>
      <c r="W16" s="29">
        <v>2288</v>
      </c>
      <c r="X16" s="15">
        <v>2458</v>
      </c>
      <c r="Y16" s="15">
        <v>2530</v>
      </c>
      <c r="Z16" s="28"/>
      <c r="AA16" s="136">
        <v>5993478</v>
      </c>
      <c r="AB16" s="1">
        <f>AA16/1000</f>
        <v>5993.478</v>
      </c>
      <c r="AD16" s="3">
        <v>6336952</v>
      </c>
      <c r="AE16" s="1">
        <f>AD16/1000</f>
        <v>6336.952</v>
      </c>
      <c r="AG16" s="3">
        <v>6819523</v>
      </c>
      <c r="AH16" s="1">
        <f>AG16/1000</f>
        <v>6819.523</v>
      </c>
      <c r="AJ16" s="3">
        <v>7506646</v>
      </c>
      <c r="AK16" s="1">
        <f>AJ16/1000</f>
        <v>7506.646</v>
      </c>
      <c r="AM16" s="3">
        <v>8273280</v>
      </c>
      <c r="AN16" s="1">
        <f>AM16/1000</f>
        <v>8273.28</v>
      </c>
    </row>
    <row r="17" spans="2:28" ht="12.75">
      <c r="B17" s="66"/>
      <c r="C17" s="90"/>
      <c r="D17" s="66"/>
      <c r="E17" s="66"/>
      <c r="F17" s="66"/>
      <c r="L17" s="271"/>
      <c r="M17" s="280"/>
      <c r="N17" s="15"/>
      <c r="P17" s="15"/>
      <c r="Q17" s="28"/>
      <c r="R17" s="28"/>
      <c r="S17" s="28"/>
      <c r="T17" s="28"/>
      <c r="U17" s="28"/>
      <c r="V17" s="28"/>
      <c r="W17" s="29"/>
      <c r="X17" s="15"/>
      <c r="Y17" s="15"/>
      <c r="Z17" s="28"/>
      <c r="AA17" s="136"/>
      <c r="AB17" s="1"/>
    </row>
    <row r="18" spans="1:40" ht="12.75">
      <c r="A18" s="1" t="s">
        <v>11</v>
      </c>
      <c r="B18" s="66">
        <v>466</v>
      </c>
      <c r="C18" s="90">
        <v>508</v>
      </c>
      <c r="D18" s="66">
        <v>505</v>
      </c>
      <c r="E18" s="66">
        <v>525.76</v>
      </c>
      <c r="F18" s="68">
        <v>554</v>
      </c>
      <c r="G18" s="68">
        <v>1319</v>
      </c>
      <c r="H18" s="68">
        <v>1380</v>
      </c>
      <c r="I18" s="68">
        <v>1451</v>
      </c>
      <c r="J18" s="68">
        <v>1598</v>
      </c>
      <c r="K18" s="68">
        <v>1732.039</v>
      </c>
      <c r="L18" s="271">
        <f>(K18-J18)*100/J18</f>
        <v>8.387922403003753</v>
      </c>
      <c r="M18" s="280">
        <f>((K18-Y18)*100)/Y18</f>
        <v>287.4807606263982</v>
      </c>
      <c r="N18" s="15">
        <v>178</v>
      </c>
      <c r="O18" s="15">
        <v>201</v>
      </c>
      <c r="P18" s="15">
        <v>222</v>
      </c>
      <c r="Q18" s="28">
        <v>242</v>
      </c>
      <c r="R18" s="28">
        <v>265</v>
      </c>
      <c r="S18" s="28">
        <v>303</v>
      </c>
      <c r="T18" s="28">
        <v>320</v>
      </c>
      <c r="U18" s="28">
        <v>351</v>
      </c>
      <c r="V18" s="28">
        <v>382</v>
      </c>
      <c r="W18" s="29">
        <v>418</v>
      </c>
      <c r="X18" s="15">
        <v>437</v>
      </c>
      <c r="Y18" s="15">
        <v>447</v>
      </c>
      <c r="Z18" s="28"/>
      <c r="AA18" s="136">
        <v>1318953</v>
      </c>
      <c r="AB18" s="1">
        <f>AA18/1000</f>
        <v>1318.953</v>
      </c>
      <c r="AD18" s="3">
        <v>1380313</v>
      </c>
      <c r="AE18" s="1">
        <f>AD18/1000</f>
        <v>1380.313</v>
      </c>
      <c r="AG18" s="3">
        <v>1451362</v>
      </c>
      <c r="AH18" s="1">
        <f>AG18/1000</f>
        <v>1451.362</v>
      </c>
      <c r="AJ18" s="3">
        <v>1597825</v>
      </c>
      <c r="AK18" s="1">
        <f>AJ18/1000</f>
        <v>1597.825</v>
      </c>
      <c r="AM18" s="3">
        <v>1732039</v>
      </c>
      <c r="AN18" s="1">
        <f>AM18/1000</f>
        <v>1732.039</v>
      </c>
    </row>
    <row r="19" spans="1:40" ht="12.75">
      <c r="A19" s="1" t="s">
        <v>12</v>
      </c>
      <c r="B19" s="66">
        <v>3351</v>
      </c>
      <c r="C19" s="90">
        <v>3453</v>
      </c>
      <c r="D19" s="66">
        <v>3580</v>
      </c>
      <c r="E19" s="66">
        <v>3793.98</v>
      </c>
      <c r="F19" s="68">
        <v>3957</v>
      </c>
      <c r="G19" s="68">
        <v>9666</v>
      </c>
      <c r="H19" s="68">
        <v>10278</v>
      </c>
      <c r="I19" s="68">
        <v>10941</v>
      </c>
      <c r="J19" s="68">
        <v>11890</v>
      </c>
      <c r="K19" s="68">
        <v>13331.645</v>
      </c>
      <c r="L19" s="271">
        <f>(K19-J19)*100/J19</f>
        <v>12.124852817493696</v>
      </c>
      <c r="M19" s="280">
        <f>((K19-Y19)*100)/Y19</f>
        <v>316.87445278298935</v>
      </c>
      <c r="N19" s="15">
        <v>1212</v>
      </c>
      <c r="O19" s="15">
        <v>1307</v>
      </c>
      <c r="P19" s="15">
        <v>1395</v>
      </c>
      <c r="Q19" s="28">
        <v>1556</v>
      </c>
      <c r="R19" s="28">
        <v>1708</v>
      </c>
      <c r="S19" s="28">
        <v>1920</v>
      </c>
      <c r="T19" s="28">
        <v>2124</v>
      </c>
      <c r="U19" s="28">
        <v>2355</v>
      </c>
      <c r="V19" s="28">
        <v>2607</v>
      </c>
      <c r="W19" s="29">
        <v>2862</v>
      </c>
      <c r="X19" s="15">
        <v>3071</v>
      </c>
      <c r="Y19" s="15">
        <v>3198</v>
      </c>
      <c r="Z19" s="28"/>
      <c r="AA19" s="136">
        <v>9665960</v>
      </c>
      <c r="AB19" s="1">
        <f>AA19/1000</f>
        <v>9665.96</v>
      </c>
      <c r="AD19" s="3">
        <v>10278303</v>
      </c>
      <c r="AE19" s="1">
        <f>AD19/1000</f>
        <v>10278.303</v>
      </c>
      <c r="AG19" s="3">
        <v>10941349</v>
      </c>
      <c r="AH19" s="1">
        <f>AG19/1000</f>
        <v>10941.349</v>
      </c>
      <c r="AJ19" s="3">
        <v>11890136</v>
      </c>
      <c r="AK19" s="1">
        <f>AJ19/1000</f>
        <v>11890.136</v>
      </c>
      <c r="AM19" s="3">
        <v>13331645</v>
      </c>
      <c r="AN19" s="1">
        <f>AM19/1000</f>
        <v>13331.645</v>
      </c>
    </row>
    <row r="20" spans="1:40" ht="12.75">
      <c r="A20" s="1" t="s">
        <v>13</v>
      </c>
      <c r="B20" s="66">
        <v>1753</v>
      </c>
      <c r="C20" s="90">
        <v>1806</v>
      </c>
      <c r="D20" s="66">
        <v>1865</v>
      </c>
      <c r="E20" s="66">
        <v>1952.55</v>
      </c>
      <c r="F20" s="68">
        <v>2025</v>
      </c>
      <c r="G20" s="68">
        <v>4924</v>
      </c>
      <c r="H20" s="68">
        <v>5223</v>
      </c>
      <c r="I20" s="68">
        <v>5621</v>
      </c>
      <c r="J20" s="68">
        <v>6266</v>
      </c>
      <c r="K20" s="68">
        <v>6771.749</v>
      </c>
      <c r="L20" s="271">
        <f>(K20-J20)*100/J20</f>
        <v>8.071321417172037</v>
      </c>
      <c r="M20" s="280">
        <f>((K20-Y20)*100)/Y20</f>
        <v>301.1699644549763</v>
      </c>
      <c r="N20" s="15">
        <v>588</v>
      </c>
      <c r="O20" s="15">
        <v>635</v>
      </c>
      <c r="P20" s="15">
        <v>701</v>
      </c>
      <c r="Q20" s="28">
        <v>769</v>
      </c>
      <c r="R20" s="28">
        <v>871</v>
      </c>
      <c r="S20" s="28">
        <v>984</v>
      </c>
      <c r="T20" s="28">
        <v>1099</v>
      </c>
      <c r="U20" s="28">
        <v>1238</v>
      </c>
      <c r="V20" s="28">
        <v>1403</v>
      </c>
      <c r="W20" s="29">
        <v>1520</v>
      </c>
      <c r="X20" s="15">
        <v>1633</v>
      </c>
      <c r="Y20" s="15">
        <v>1688</v>
      </c>
      <c r="Z20" s="28"/>
      <c r="AA20" s="136">
        <v>4924083</v>
      </c>
      <c r="AB20" s="1">
        <f>AA20/1000</f>
        <v>4924.083</v>
      </c>
      <c r="AD20" s="3">
        <v>5222682</v>
      </c>
      <c r="AE20" s="1">
        <f>AD20/1000</f>
        <v>5222.682</v>
      </c>
      <c r="AG20" s="3">
        <v>5620734</v>
      </c>
      <c r="AH20" s="1">
        <f>AG20/1000</f>
        <v>5620.734</v>
      </c>
      <c r="AJ20" s="3">
        <v>6266367</v>
      </c>
      <c r="AK20" s="1">
        <f>AJ20/1000</f>
        <v>6266.367</v>
      </c>
      <c r="AM20" s="3">
        <v>6771749</v>
      </c>
      <c r="AN20" s="1">
        <f>AM20/1000</f>
        <v>6771.749</v>
      </c>
    </row>
    <row r="21" spans="1:40" ht="12.75">
      <c r="A21" s="1" t="s">
        <v>14</v>
      </c>
      <c r="B21" s="66">
        <v>3033</v>
      </c>
      <c r="C21" s="90">
        <v>3095</v>
      </c>
      <c r="D21" s="66">
        <v>3208</v>
      </c>
      <c r="E21" s="66">
        <v>3345.26</v>
      </c>
      <c r="F21" s="68">
        <v>3384</v>
      </c>
      <c r="G21" s="68">
        <v>8204</v>
      </c>
      <c r="H21" s="68">
        <v>8672</v>
      </c>
      <c r="I21" s="68">
        <v>9310</v>
      </c>
      <c r="J21" s="68">
        <v>10097</v>
      </c>
      <c r="K21" s="68">
        <v>11238.385</v>
      </c>
      <c r="L21" s="271">
        <f>(K21-J21)*100/J21</f>
        <v>11.304199267109045</v>
      </c>
      <c r="M21" s="280">
        <f>((K21-Y21)*100)/Y21</f>
        <v>294.46770796770795</v>
      </c>
      <c r="N21" s="15">
        <v>1110</v>
      </c>
      <c r="O21" s="15">
        <v>1261</v>
      </c>
      <c r="P21" s="15">
        <v>1371</v>
      </c>
      <c r="Q21" s="28">
        <v>1517</v>
      </c>
      <c r="R21" s="28">
        <v>1646</v>
      </c>
      <c r="S21" s="28">
        <v>1806</v>
      </c>
      <c r="T21" s="28">
        <v>1941</v>
      </c>
      <c r="U21" s="28">
        <v>2111</v>
      </c>
      <c r="V21" s="28">
        <v>2310</v>
      </c>
      <c r="W21" s="29">
        <v>2549</v>
      </c>
      <c r="X21" s="15">
        <v>2735</v>
      </c>
      <c r="Y21" s="15">
        <v>2849</v>
      </c>
      <c r="Z21" s="28"/>
      <c r="AA21" s="136">
        <v>8204465</v>
      </c>
      <c r="AB21" s="1">
        <f>AA21/1000</f>
        <v>8204.465</v>
      </c>
      <c r="AD21" s="3">
        <v>8672489</v>
      </c>
      <c r="AE21" s="1">
        <f>AD21/1000</f>
        <v>8672.489</v>
      </c>
      <c r="AG21" s="3">
        <v>9310426</v>
      </c>
      <c r="AH21" s="1">
        <f>AG21/1000</f>
        <v>9310.426</v>
      </c>
      <c r="AJ21" s="3">
        <v>10097010</v>
      </c>
      <c r="AK21" s="1">
        <f>AJ21/1000</f>
        <v>10097.01</v>
      </c>
      <c r="AM21" s="3">
        <v>11238385</v>
      </c>
      <c r="AN21" s="1">
        <f>AM21/1000</f>
        <v>11238.385</v>
      </c>
    </row>
    <row r="22" spans="1:40" ht="12.75">
      <c r="A22" s="1" t="s">
        <v>15</v>
      </c>
      <c r="B22" s="66">
        <v>647</v>
      </c>
      <c r="C22" s="90">
        <v>664</v>
      </c>
      <c r="D22" s="66">
        <v>678</v>
      </c>
      <c r="E22" s="66">
        <v>685.4</v>
      </c>
      <c r="F22" s="68">
        <v>697</v>
      </c>
      <c r="G22" s="68">
        <v>1562</v>
      </c>
      <c r="H22" s="68">
        <v>1649</v>
      </c>
      <c r="I22" s="68">
        <v>1818</v>
      </c>
      <c r="J22" s="68">
        <v>1935</v>
      </c>
      <c r="K22" s="68">
        <v>2118.457</v>
      </c>
      <c r="L22" s="271">
        <f>(K22-J22)*100/J22</f>
        <v>9.480981912144697</v>
      </c>
      <c r="M22" s="280">
        <f>((K22-Y22)*100)/Y22</f>
        <v>236.79761526232113</v>
      </c>
      <c r="N22" s="15">
        <v>308</v>
      </c>
      <c r="O22" s="15">
        <v>334</v>
      </c>
      <c r="P22" s="15">
        <v>367</v>
      </c>
      <c r="Q22" s="28">
        <v>393</v>
      </c>
      <c r="R22" s="28">
        <v>418</v>
      </c>
      <c r="S22" s="28">
        <v>445</v>
      </c>
      <c r="T22" s="28">
        <v>483</v>
      </c>
      <c r="U22" s="28">
        <v>520</v>
      </c>
      <c r="V22" s="28">
        <v>563</v>
      </c>
      <c r="W22" s="29">
        <v>598</v>
      </c>
      <c r="X22" s="15">
        <v>613</v>
      </c>
      <c r="Y22" s="15">
        <v>629</v>
      </c>
      <c r="Z22" s="28"/>
      <c r="AA22" s="136">
        <v>1562057</v>
      </c>
      <c r="AB22" s="1">
        <f>AA22/1000</f>
        <v>1562.057</v>
      </c>
      <c r="AD22" s="3">
        <v>1648897</v>
      </c>
      <c r="AE22" s="1">
        <f>AD22/1000</f>
        <v>1648.897</v>
      </c>
      <c r="AG22" s="3">
        <v>1817529</v>
      </c>
      <c r="AH22" s="1">
        <f>AG22/1000</f>
        <v>1817.529</v>
      </c>
      <c r="AJ22" s="3">
        <v>1934858</v>
      </c>
      <c r="AK22" s="1">
        <f>AJ22/1000</f>
        <v>1934.858</v>
      </c>
      <c r="AM22" s="3">
        <v>2118457</v>
      </c>
      <c r="AN22" s="1">
        <f>AM22/1000</f>
        <v>2118.457</v>
      </c>
    </row>
    <row r="23" spans="2:28" ht="12.75">
      <c r="B23" s="66"/>
      <c r="C23" s="90"/>
      <c r="D23" s="66"/>
      <c r="E23" s="66"/>
      <c r="F23" s="66"/>
      <c r="L23" s="271"/>
      <c r="M23" s="280"/>
      <c r="N23" s="15"/>
      <c r="P23" s="15"/>
      <c r="Q23" s="28"/>
      <c r="R23" s="28"/>
      <c r="S23" s="28"/>
      <c r="T23" s="28"/>
      <c r="U23" s="28"/>
      <c r="V23" s="28"/>
      <c r="W23" s="29"/>
      <c r="X23" s="15"/>
      <c r="Y23" s="15"/>
      <c r="Z23" s="28"/>
      <c r="AA23" s="181"/>
      <c r="AB23" s="1"/>
    </row>
    <row r="24" spans="1:40" ht="12.75">
      <c r="A24" s="1" t="s">
        <v>16</v>
      </c>
      <c r="B24" s="66">
        <v>4410</v>
      </c>
      <c r="C24" s="90">
        <v>4551</v>
      </c>
      <c r="D24" s="66">
        <v>4732</v>
      </c>
      <c r="E24" s="66">
        <v>5026.38</v>
      </c>
      <c r="F24" s="68">
        <v>5197</v>
      </c>
      <c r="G24" s="68">
        <v>13224</v>
      </c>
      <c r="H24" s="68">
        <v>14007</v>
      </c>
      <c r="I24" s="68">
        <v>14952</v>
      </c>
      <c r="J24" s="68">
        <v>16411</v>
      </c>
      <c r="K24" s="68">
        <v>18632.544</v>
      </c>
      <c r="L24" s="271">
        <f>(K24-J24)*100/J24</f>
        <v>13.536920358296275</v>
      </c>
      <c r="M24" s="280">
        <f>((K24-Y24)*100)/Y24</f>
        <v>346.2884790419162</v>
      </c>
      <c r="N24" s="15">
        <v>1428</v>
      </c>
      <c r="O24" s="15">
        <v>1564</v>
      </c>
      <c r="P24" s="15">
        <v>1736</v>
      </c>
      <c r="Q24" s="28">
        <v>1903</v>
      </c>
      <c r="R24" s="28">
        <v>2153</v>
      </c>
      <c r="S24" s="28">
        <v>2418</v>
      </c>
      <c r="T24" s="28">
        <v>2708</v>
      </c>
      <c r="U24" s="28">
        <v>3018</v>
      </c>
      <c r="V24" s="28">
        <v>3394</v>
      </c>
      <c r="W24" s="29">
        <v>3785</v>
      </c>
      <c r="X24" s="15">
        <v>4043</v>
      </c>
      <c r="Y24" s="15">
        <v>4175</v>
      </c>
      <c r="Z24" s="28"/>
      <c r="AA24" s="136">
        <v>13223600</v>
      </c>
      <c r="AB24" s="1">
        <f>AA24/1000</f>
        <v>13223.6</v>
      </c>
      <c r="AD24" s="3">
        <v>14007191</v>
      </c>
      <c r="AE24" s="1">
        <f>AD24/1000</f>
        <v>14007.191</v>
      </c>
      <c r="AG24" s="3">
        <v>14951629</v>
      </c>
      <c r="AH24" s="1">
        <f>AG24/1000</f>
        <v>14951.629</v>
      </c>
      <c r="AJ24" s="3">
        <v>16410859</v>
      </c>
      <c r="AK24" s="1">
        <f>AJ24/1000</f>
        <v>16410.859</v>
      </c>
      <c r="AM24" s="3">
        <v>18632544</v>
      </c>
      <c r="AN24" s="1">
        <f>AM24/1000</f>
        <v>18632.544</v>
      </c>
    </row>
    <row r="25" spans="1:40" ht="12.75">
      <c r="A25" s="1" t="s">
        <v>17</v>
      </c>
      <c r="B25" s="66">
        <v>743</v>
      </c>
      <c r="C25" s="90">
        <v>759</v>
      </c>
      <c r="D25" s="66">
        <v>790</v>
      </c>
      <c r="E25" s="66">
        <v>823.1</v>
      </c>
      <c r="F25" s="68">
        <v>871</v>
      </c>
      <c r="G25" s="68">
        <v>1983</v>
      </c>
      <c r="H25" s="68">
        <v>2129</v>
      </c>
      <c r="I25" s="68">
        <v>2316</v>
      </c>
      <c r="J25" s="68">
        <v>2513</v>
      </c>
      <c r="K25" s="68">
        <v>2806.883</v>
      </c>
      <c r="L25" s="271">
        <f>(K25-J25)*100/J25</f>
        <v>11.694508555511334</v>
      </c>
      <c r="M25" s="280">
        <f>((K25-Y25)*100)/Y25</f>
        <v>300.41126961483593</v>
      </c>
      <c r="N25" s="15">
        <v>307</v>
      </c>
      <c r="O25" s="15">
        <v>337</v>
      </c>
      <c r="P25" s="15">
        <v>369</v>
      </c>
      <c r="Q25" s="28">
        <v>392</v>
      </c>
      <c r="R25" s="28">
        <v>437</v>
      </c>
      <c r="S25" s="28">
        <v>480</v>
      </c>
      <c r="T25" s="28">
        <v>515</v>
      </c>
      <c r="U25" s="28">
        <v>563</v>
      </c>
      <c r="V25" s="28">
        <v>615</v>
      </c>
      <c r="W25" s="29">
        <v>666</v>
      </c>
      <c r="X25" s="15">
        <v>668</v>
      </c>
      <c r="Y25" s="15">
        <v>701</v>
      </c>
      <c r="Z25" s="28"/>
      <c r="AA25" s="136">
        <v>1982674</v>
      </c>
      <c r="AB25" s="1">
        <f>AA25/1000</f>
        <v>1982.674</v>
      </c>
      <c r="AD25" s="3">
        <v>2129052</v>
      </c>
      <c r="AE25" s="1">
        <f>AD25/1000</f>
        <v>2129.052</v>
      </c>
      <c r="AG25" s="3">
        <v>2315500</v>
      </c>
      <c r="AH25" s="1">
        <f>AG25/1000</f>
        <v>2315.5</v>
      </c>
      <c r="AJ25" s="3">
        <v>2513160</v>
      </c>
      <c r="AK25" s="1">
        <f>AJ25/1000</f>
        <v>2513.16</v>
      </c>
      <c r="AM25" s="3">
        <v>2806883</v>
      </c>
      <c r="AN25" s="1">
        <f>AM25/1000</f>
        <v>2806.883</v>
      </c>
    </row>
    <row r="26" spans="1:40" ht="12.75">
      <c r="A26" s="1" t="s">
        <v>18</v>
      </c>
      <c r="B26" s="66">
        <v>4553</v>
      </c>
      <c r="C26" s="90">
        <v>4793</v>
      </c>
      <c r="D26" s="66">
        <v>5001</v>
      </c>
      <c r="E26" s="66">
        <v>5261.7</v>
      </c>
      <c r="F26" s="68">
        <v>5463</v>
      </c>
      <c r="G26" s="68">
        <v>12898</v>
      </c>
      <c r="H26" s="68">
        <v>13641</v>
      </c>
      <c r="I26" s="68">
        <v>14428</v>
      </c>
      <c r="J26" s="68">
        <v>15621</v>
      </c>
      <c r="K26" s="68">
        <v>17087.626</v>
      </c>
      <c r="L26" s="271">
        <f>(K26-J26)*100/J26</f>
        <v>9.38880993534345</v>
      </c>
      <c r="M26" s="280">
        <f>((K26-Y26)*100)/Y26</f>
        <v>297.47908816003724</v>
      </c>
      <c r="N26" s="15">
        <v>1567</v>
      </c>
      <c r="O26" s="15">
        <v>1684</v>
      </c>
      <c r="P26" s="15">
        <v>1843</v>
      </c>
      <c r="Q26" s="28">
        <v>2056</v>
      </c>
      <c r="R26" s="28">
        <v>2300</v>
      </c>
      <c r="S26" s="28">
        <v>2563</v>
      </c>
      <c r="T26" s="28">
        <v>2822</v>
      </c>
      <c r="U26" s="28">
        <v>3136</v>
      </c>
      <c r="V26" s="28">
        <v>3479</v>
      </c>
      <c r="W26" s="29">
        <v>3785</v>
      </c>
      <c r="X26" s="15">
        <v>4075</v>
      </c>
      <c r="Y26" s="15">
        <v>4299</v>
      </c>
      <c r="Z26" s="28"/>
      <c r="AA26" s="136">
        <v>12897679</v>
      </c>
      <c r="AB26" s="1">
        <f>AA26/1000</f>
        <v>12897.679</v>
      </c>
      <c r="AD26" s="3">
        <v>13640671</v>
      </c>
      <c r="AE26" s="1">
        <f>AD26/1000</f>
        <v>13640.671</v>
      </c>
      <c r="AG26" s="3">
        <v>14428277</v>
      </c>
      <c r="AH26" s="1">
        <f>AG26/1000</f>
        <v>14428.277</v>
      </c>
      <c r="AJ26" s="3">
        <v>15621361</v>
      </c>
      <c r="AK26" s="1">
        <f>AJ26/1000</f>
        <v>15621.361</v>
      </c>
      <c r="AM26" s="3">
        <v>17087626</v>
      </c>
      <c r="AN26" s="1">
        <f>AM26/1000</f>
        <v>17087.626</v>
      </c>
    </row>
    <row r="27" spans="1:40" ht="12.75">
      <c r="A27" s="1" t="s">
        <v>19</v>
      </c>
      <c r="B27" s="66">
        <v>7102</v>
      </c>
      <c r="C27" s="90">
        <v>7420</v>
      </c>
      <c r="D27" s="66">
        <v>7742</v>
      </c>
      <c r="E27" s="66">
        <v>8245.45</v>
      </c>
      <c r="F27" s="68">
        <v>8665</v>
      </c>
      <c r="G27" s="68">
        <v>21792</v>
      </c>
      <c r="H27" s="68">
        <v>22544</v>
      </c>
      <c r="I27" s="68">
        <v>24297</v>
      </c>
      <c r="J27" s="68">
        <v>27064</v>
      </c>
      <c r="K27" s="68">
        <v>30451.238</v>
      </c>
      <c r="L27" s="271">
        <f>(K27-J27)*100/J27</f>
        <v>12.515659178244166</v>
      </c>
      <c r="M27" s="280">
        <f>((K27-Y27)*100)/Y27</f>
        <v>340.30130133024875</v>
      </c>
      <c r="N27" s="15">
        <v>2363</v>
      </c>
      <c r="O27" s="15">
        <v>2653</v>
      </c>
      <c r="P27" s="15">
        <v>3012</v>
      </c>
      <c r="Q27" s="28">
        <v>3387</v>
      </c>
      <c r="R27" s="28">
        <v>3979</v>
      </c>
      <c r="S27" s="28">
        <v>4482</v>
      </c>
      <c r="T27" s="28">
        <v>4930</v>
      </c>
      <c r="U27" s="28">
        <v>5344</v>
      </c>
      <c r="V27" s="28">
        <v>5907</v>
      </c>
      <c r="W27" s="29">
        <v>6270</v>
      </c>
      <c r="X27" s="15">
        <v>6519</v>
      </c>
      <c r="Y27" s="15">
        <v>6916</v>
      </c>
      <c r="Z27" s="28"/>
      <c r="AA27" s="136">
        <v>21791561</v>
      </c>
      <c r="AB27" s="1">
        <f>AA27/1000</f>
        <v>21791.561</v>
      </c>
      <c r="AD27" s="3">
        <v>22543862</v>
      </c>
      <c r="AE27" s="1">
        <f>AD27/1000</f>
        <v>22543.862</v>
      </c>
      <c r="AG27" s="3">
        <v>24297361</v>
      </c>
      <c r="AH27" s="1">
        <f>AG27/1000</f>
        <v>24297.361</v>
      </c>
      <c r="AJ27" s="3">
        <v>27064279</v>
      </c>
      <c r="AK27" s="1">
        <f>AJ27/1000</f>
        <v>27064.279</v>
      </c>
      <c r="AM27" s="3">
        <v>30451238</v>
      </c>
      <c r="AN27" s="1">
        <f>AM27/1000</f>
        <v>30451.238</v>
      </c>
    </row>
    <row r="28" spans="1:40" ht="12.75">
      <c r="A28" s="1" t="s">
        <v>20</v>
      </c>
      <c r="B28" s="66">
        <v>517</v>
      </c>
      <c r="C28" s="90">
        <v>530</v>
      </c>
      <c r="D28" s="66">
        <v>538</v>
      </c>
      <c r="E28" s="66">
        <v>548.27</v>
      </c>
      <c r="F28" s="68">
        <v>560</v>
      </c>
      <c r="G28" s="68">
        <v>1390</v>
      </c>
      <c r="H28" s="68">
        <v>1454</v>
      </c>
      <c r="I28" s="68">
        <v>1556</v>
      </c>
      <c r="J28" s="68">
        <v>1701</v>
      </c>
      <c r="K28" s="68">
        <v>1867.337</v>
      </c>
      <c r="L28" s="271">
        <f>(K28-J28)*100/J28</f>
        <v>9.778777189888299</v>
      </c>
      <c r="M28" s="280">
        <f>((K28-Y28)*100)/Y28</f>
        <v>271.97948207171316</v>
      </c>
      <c r="N28" s="15">
        <v>202</v>
      </c>
      <c r="O28" s="15">
        <v>216</v>
      </c>
      <c r="P28" s="28">
        <v>233</v>
      </c>
      <c r="Q28" s="28">
        <v>256</v>
      </c>
      <c r="R28" s="28">
        <v>281</v>
      </c>
      <c r="S28" s="28">
        <v>316</v>
      </c>
      <c r="T28" s="28">
        <v>346</v>
      </c>
      <c r="U28" s="28">
        <v>389</v>
      </c>
      <c r="V28" s="28">
        <v>434</v>
      </c>
      <c r="W28" s="29">
        <v>467</v>
      </c>
      <c r="X28" s="15">
        <v>488</v>
      </c>
      <c r="Y28" s="15">
        <v>502</v>
      </c>
      <c r="Z28" s="28"/>
      <c r="AA28" s="136">
        <v>1389818</v>
      </c>
      <c r="AB28" s="1">
        <f>AA28/1000</f>
        <v>1389.818</v>
      </c>
      <c r="AD28" s="3">
        <v>1454105</v>
      </c>
      <c r="AE28" s="1">
        <f>AD28/1000</f>
        <v>1454.105</v>
      </c>
      <c r="AG28" s="3">
        <v>1555850</v>
      </c>
      <c r="AH28" s="1">
        <f>AG28/1000</f>
        <v>1555.85</v>
      </c>
      <c r="AJ28" s="3">
        <v>1700633</v>
      </c>
      <c r="AK28" s="1">
        <f>AJ28/1000</f>
        <v>1700.633</v>
      </c>
      <c r="AM28" s="3">
        <v>1867337</v>
      </c>
      <c r="AN28" s="1">
        <f>AM28/1000</f>
        <v>1867.337</v>
      </c>
    </row>
    <row r="29" spans="2:28" ht="12.75">
      <c r="B29" s="66"/>
      <c r="C29" s="90"/>
      <c r="D29" s="66"/>
      <c r="E29" s="66"/>
      <c r="F29" s="66"/>
      <c r="L29" s="271"/>
      <c r="M29" s="280"/>
      <c r="N29" s="15"/>
      <c r="O29" s="15"/>
      <c r="Q29" s="28"/>
      <c r="R29" s="28"/>
      <c r="S29" s="28"/>
      <c r="T29" s="28"/>
      <c r="U29" s="28"/>
      <c r="V29" s="28"/>
      <c r="W29" s="29"/>
      <c r="X29" s="15"/>
      <c r="Y29" s="15"/>
      <c r="Z29" s="28"/>
      <c r="AA29" s="181"/>
      <c r="AB29" s="1"/>
    </row>
    <row r="30" spans="1:40" ht="12.75">
      <c r="A30" s="1" t="s">
        <v>21</v>
      </c>
      <c r="B30" s="66">
        <v>30477</v>
      </c>
      <c r="C30" s="90">
        <v>31226</v>
      </c>
      <c r="D30" s="66">
        <v>31848</v>
      </c>
      <c r="E30" s="66">
        <v>32719</v>
      </c>
      <c r="F30" s="68">
        <v>33746</v>
      </c>
      <c r="G30" s="68">
        <v>82145</v>
      </c>
      <c r="H30" s="68">
        <v>87194</v>
      </c>
      <c r="I30" s="68">
        <v>95287</v>
      </c>
      <c r="J30" s="68">
        <v>106670</v>
      </c>
      <c r="K30" s="68">
        <v>123700.452</v>
      </c>
      <c r="L30" s="271">
        <f>(K30-J30)*100/J30</f>
        <v>15.965549826567925</v>
      </c>
      <c r="M30" s="280">
        <f>((K30-Y30)*100)/Y30</f>
        <v>321.86908123593213</v>
      </c>
      <c r="N30" s="15">
        <v>12905</v>
      </c>
      <c r="O30" s="15">
        <v>14257</v>
      </c>
      <c r="P30" s="28">
        <v>15799</v>
      </c>
      <c r="Q30" s="28">
        <v>17630</v>
      </c>
      <c r="R30" s="28">
        <v>19574</v>
      </c>
      <c r="S30" s="28">
        <v>21505</v>
      </c>
      <c r="T30" s="28">
        <v>23766</v>
      </c>
      <c r="U30" s="28">
        <v>25962</v>
      </c>
      <c r="V30" s="28">
        <v>28433</v>
      </c>
      <c r="W30" s="29">
        <v>29484</v>
      </c>
      <c r="X30" s="15">
        <v>29485</v>
      </c>
      <c r="Y30" s="15">
        <v>29322</v>
      </c>
      <c r="Z30" s="28"/>
      <c r="AA30" s="136">
        <v>82144795</v>
      </c>
      <c r="AB30" s="1">
        <f>AA30/1000</f>
        <v>82144.795</v>
      </c>
      <c r="AD30" s="3">
        <v>87193587</v>
      </c>
      <c r="AE30" s="1">
        <f>AD30/1000</f>
        <v>87193.587</v>
      </c>
      <c r="AG30" s="3">
        <v>95287116</v>
      </c>
      <c r="AH30" s="1">
        <f>AG30/1000</f>
        <v>95287.116</v>
      </c>
      <c r="AJ30" s="3">
        <v>106670244</v>
      </c>
      <c r="AK30" s="1">
        <f>AJ30/1000</f>
        <v>106670.244</v>
      </c>
      <c r="AM30" s="3">
        <v>123700452</v>
      </c>
      <c r="AN30" s="1">
        <f>AM30/1000</f>
        <v>123700.452</v>
      </c>
    </row>
    <row r="31" spans="1:40" ht="12.75">
      <c r="A31" s="1" t="s">
        <v>22</v>
      </c>
      <c r="B31" s="66">
        <v>16909</v>
      </c>
      <c r="C31" s="90">
        <v>17113</v>
      </c>
      <c r="D31" s="66">
        <v>17427</v>
      </c>
      <c r="E31" s="66">
        <v>17791.02</v>
      </c>
      <c r="F31" s="68">
        <v>17982</v>
      </c>
      <c r="G31" s="68">
        <v>41878</v>
      </c>
      <c r="H31" s="68">
        <v>43740</v>
      </c>
      <c r="I31" s="68">
        <v>45737</v>
      </c>
      <c r="J31" s="68">
        <v>48952</v>
      </c>
      <c r="K31" s="68">
        <v>54285.945</v>
      </c>
      <c r="L31" s="271">
        <f>(K31-J31)*100/J31</f>
        <v>10.896275943781664</v>
      </c>
      <c r="M31" s="280">
        <f>((K31-Y31)*100)/Y31</f>
        <v>226.55164220404234</v>
      </c>
      <c r="N31" s="15">
        <v>7685</v>
      </c>
      <c r="O31" s="15">
        <v>8322</v>
      </c>
      <c r="P31" s="28">
        <v>9098</v>
      </c>
      <c r="Q31" s="28">
        <v>9956</v>
      </c>
      <c r="R31" s="28">
        <v>10842</v>
      </c>
      <c r="S31" s="28">
        <v>11835</v>
      </c>
      <c r="T31" s="28">
        <v>12878</v>
      </c>
      <c r="U31" s="28">
        <v>13892</v>
      </c>
      <c r="V31" s="28">
        <v>15080</v>
      </c>
      <c r="W31" s="29">
        <v>15766</v>
      </c>
      <c r="X31" s="15">
        <v>16282</v>
      </c>
      <c r="Y31" s="15">
        <v>16624</v>
      </c>
      <c r="Z31" s="28"/>
      <c r="AA31" s="136">
        <v>41877508</v>
      </c>
      <c r="AB31" s="1">
        <f>AA31/1000</f>
        <v>41877.508</v>
      </c>
      <c r="AD31" s="3">
        <v>43740098</v>
      </c>
      <c r="AE31" s="1">
        <f>AD31/1000</f>
        <v>43740.098</v>
      </c>
      <c r="AG31" s="3">
        <v>45736798</v>
      </c>
      <c r="AH31" s="1">
        <f>AG31/1000</f>
        <v>45736.798</v>
      </c>
      <c r="AJ31" s="3">
        <v>48951876</v>
      </c>
      <c r="AK31" s="1">
        <f>AJ31/1000</f>
        <v>48951.876</v>
      </c>
      <c r="AM31" s="3">
        <v>54285945</v>
      </c>
      <c r="AN31" s="1">
        <f>AM31/1000</f>
        <v>54285.945</v>
      </c>
    </row>
    <row r="32" spans="1:40" ht="12.75">
      <c r="A32" s="1" t="s">
        <v>23</v>
      </c>
      <c r="B32" s="66">
        <v>1081</v>
      </c>
      <c r="C32" s="90">
        <v>1120</v>
      </c>
      <c r="D32" s="66">
        <v>1167</v>
      </c>
      <c r="E32" s="66">
        <v>1221.51</v>
      </c>
      <c r="F32" s="68">
        <v>1290</v>
      </c>
      <c r="G32" s="68">
        <v>3341</v>
      </c>
      <c r="H32" s="68">
        <v>3621</v>
      </c>
      <c r="I32" s="68">
        <v>4032</v>
      </c>
      <c r="J32" s="68">
        <v>4577</v>
      </c>
      <c r="K32" s="68">
        <v>5136.984</v>
      </c>
      <c r="L32" s="271">
        <f>(K32-J32)*100/J32</f>
        <v>12.234738911951068</v>
      </c>
      <c r="M32" s="280">
        <f>((K32-Y32)*100)/Y32</f>
        <v>397.7697674418605</v>
      </c>
      <c r="N32" s="15">
        <v>371</v>
      </c>
      <c r="O32" s="15">
        <v>413</v>
      </c>
      <c r="P32" s="28">
        <v>460</v>
      </c>
      <c r="Q32" s="28">
        <v>516</v>
      </c>
      <c r="R32" s="28">
        <v>583</v>
      </c>
      <c r="S32" s="28">
        <v>660</v>
      </c>
      <c r="T32" s="28">
        <v>712</v>
      </c>
      <c r="U32" s="28">
        <v>788</v>
      </c>
      <c r="V32" s="28">
        <v>883</v>
      </c>
      <c r="W32" s="29">
        <v>962</v>
      </c>
      <c r="X32" s="15">
        <v>996</v>
      </c>
      <c r="Y32" s="15">
        <v>1032</v>
      </c>
      <c r="Z32" s="28"/>
      <c r="AA32" s="136">
        <v>3340827</v>
      </c>
      <c r="AB32" s="1">
        <f>AA32/1000</f>
        <v>3340.827</v>
      </c>
      <c r="AD32" s="3">
        <v>3620689</v>
      </c>
      <c r="AE32" s="1">
        <f>AD32/1000</f>
        <v>3620.689</v>
      </c>
      <c r="AG32" s="3">
        <v>4032277</v>
      </c>
      <c r="AH32" s="1">
        <f>AG32/1000</f>
        <v>4032.277</v>
      </c>
      <c r="AJ32" s="3">
        <v>4576913</v>
      </c>
      <c r="AK32" s="1">
        <f>AJ32/1000</f>
        <v>4576.913</v>
      </c>
      <c r="AM32" s="3">
        <v>5136984</v>
      </c>
      <c r="AN32" s="1">
        <f>AM32/1000</f>
        <v>5136.984</v>
      </c>
    </row>
    <row r="33" spans="1:40" ht="12.75">
      <c r="A33" s="1" t="s">
        <v>24</v>
      </c>
      <c r="B33" s="66">
        <v>1798</v>
      </c>
      <c r="C33" s="90">
        <v>1848</v>
      </c>
      <c r="D33" s="66">
        <v>1958</v>
      </c>
      <c r="E33" s="66">
        <v>2053.67</v>
      </c>
      <c r="F33" s="68">
        <v>2150</v>
      </c>
      <c r="G33" s="68">
        <v>5237</v>
      </c>
      <c r="H33" s="68">
        <v>5534</v>
      </c>
      <c r="I33" s="68">
        <v>5831</v>
      </c>
      <c r="J33" s="68">
        <v>6233</v>
      </c>
      <c r="K33" s="68">
        <v>6831.604</v>
      </c>
      <c r="L33" s="271">
        <f>(K33-J33)*100/J33</f>
        <v>9.603786298732556</v>
      </c>
      <c r="M33" s="280">
        <f>((K33-Y33)*100)/Y33</f>
        <v>303.0444837758112</v>
      </c>
      <c r="N33" s="15">
        <v>619</v>
      </c>
      <c r="O33" s="15">
        <v>696</v>
      </c>
      <c r="P33" s="28">
        <v>777</v>
      </c>
      <c r="Q33" s="28">
        <v>859</v>
      </c>
      <c r="R33" s="28">
        <v>950</v>
      </c>
      <c r="S33" s="28">
        <v>1053</v>
      </c>
      <c r="T33" s="28">
        <v>1140</v>
      </c>
      <c r="U33" s="28">
        <v>1255</v>
      </c>
      <c r="V33" s="28">
        <v>1391</v>
      </c>
      <c r="W33" s="29">
        <v>1537</v>
      </c>
      <c r="X33" s="15">
        <v>1612</v>
      </c>
      <c r="Y33" s="15">
        <v>1695</v>
      </c>
      <c r="Z33" s="28"/>
      <c r="AA33" s="136">
        <v>5236506</v>
      </c>
      <c r="AB33" s="1">
        <f>AA33/1000</f>
        <v>5236.506</v>
      </c>
      <c r="AD33" s="3">
        <v>5533506</v>
      </c>
      <c r="AE33" s="1">
        <f>AD33/1000</f>
        <v>5533.506</v>
      </c>
      <c r="AG33" s="3">
        <v>5830982</v>
      </c>
      <c r="AH33" s="1">
        <f>AG33/1000</f>
        <v>5830.982</v>
      </c>
      <c r="AJ33" s="3">
        <v>6232750</v>
      </c>
      <c r="AK33" s="1">
        <f>AJ33/1000</f>
        <v>6232.75</v>
      </c>
      <c r="AM33" s="3">
        <v>6831604</v>
      </c>
      <c r="AN33" s="1">
        <f>AM33/1000</f>
        <v>6831.604</v>
      </c>
    </row>
    <row r="34" spans="1:40" ht="12.75">
      <c r="A34" s="1" t="s">
        <v>25</v>
      </c>
      <c r="B34" s="66">
        <v>300</v>
      </c>
      <c r="C34" s="90">
        <v>307</v>
      </c>
      <c r="D34" s="66">
        <v>312</v>
      </c>
      <c r="E34" s="66">
        <v>321.67</v>
      </c>
      <c r="F34" s="68">
        <v>330</v>
      </c>
      <c r="G34" s="68">
        <v>734</v>
      </c>
      <c r="H34" s="68">
        <v>759</v>
      </c>
      <c r="I34" s="68">
        <v>799</v>
      </c>
      <c r="J34" s="68">
        <v>846</v>
      </c>
      <c r="K34" s="68">
        <v>959.979</v>
      </c>
      <c r="L34" s="271">
        <f>(K34-J34)*100/J34</f>
        <v>13.472695035461</v>
      </c>
      <c r="M34" s="280">
        <f>((K34-Y34)*100)/Y34</f>
        <v>235.65699300699305</v>
      </c>
      <c r="N34" s="15">
        <v>163</v>
      </c>
      <c r="O34" s="15">
        <v>178</v>
      </c>
      <c r="P34" s="28">
        <v>188</v>
      </c>
      <c r="Q34" s="28">
        <v>202</v>
      </c>
      <c r="R34" s="28">
        <v>216</v>
      </c>
      <c r="S34" s="28">
        <v>228</v>
      </c>
      <c r="T34" s="28">
        <v>234</v>
      </c>
      <c r="U34" s="28">
        <v>244</v>
      </c>
      <c r="V34" s="28">
        <v>258</v>
      </c>
      <c r="W34" s="29">
        <v>268</v>
      </c>
      <c r="X34" s="15">
        <v>275</v>
      </c>
      <c r="Y34" s="38">
        <v>286</v>
      </c>
      <c r="Z34" s="28"/>
      <c r="AA34" s="136">
        <v>733783</v>
      </c>
      <c r="AB34" s="1">
        <f>AA34/1000</f>
        <v>733.783</v>
      </c>
      <c r="AD34" s="3">
        <v>758573</v>
      </c>
      <c r="AE34" s="1">
        <f>AD34/1000</f>
        <v>758.573</v>
      </c>
      <c r="AG34" s="3">
        <v>799003</v>
      </c>
      <c r="AH34" s="1">
        <f>AG34/1000</f>
        <v>799.003</v>
      </c>
      <c r="AJ34" s="3">
        <v>846332.5</v>
      </c>
      <c r="AK34" s="1">
        <f>AJ34/1000</f>
        <v>846.3325</v>
      </c>
      <c r="AM34" s="3">
        <v>959979</v>
      </c>
      <c r="AN34" s="1">
        <f>AM34/1000</f>
        <v>959.979</v>
      </c>
    </row>
    <row r="35" spans="2:28" ht="12.75">
      <c r="B35" s="66"/>
      <c r="C35" s="90"/>
      <c r="D35" s="66"/>
      <c r="E35" s="66"/>
      <c r="F35" s="66"/>
      <c r="L35" s="271"/>
      <c r="M35" s="280"/>
      <c r="O35" s="15"/>
      <c r="P35" s="28"/>
      <c r="Q35" s="28"/>
      <c r="R35" s="28"/>
      <c r="S35" s="28"/>
      <c r="T35" s="28"/>
      <c r="U35" s="28"/>
      <c r="V35" s="28"/>
      <c r="W35" s="29"/>
      <c r="X35" s="15"/>
      <c r="Y35" s="38"/>
      <c r="Z35" s="28"/>
      <c r="AA35" s="136"/>
      <c r="AB35" s="1"/>
    </row>
    <row r="36" spans="1:40" ht="12.75">
      <c r="A36" s="1" t="s">
        <v>26</v>
      </c>
      <c r="B36" s="66">
        <v>1237</v>
      </c>
      <c r="C36" s="90">
        <v>1273</v>
      </c>
      <c r="D36" s="66">
        <v>1319</v>
      </c>
      <c r="E36" s="66">
        <v>1373.72</v>
      </c>
      <c r="F36" s="68">
        <v>1381</v>
      </c>
      <c r="G36" s="68">
        <v>3751</v>
      </c>
      <c r="H36" s="68">
        <v>4068</v>
      </c>
      <c r="I36" s="68">
        <v>4518</v>
      </c>
      <c r="J36" s="68">
        <v>5141</v>
      </c>
      <c r="K36" s="68">
        <v>5813.225</v>
      </c>
      <c r="L36" s="271">
        <f>(K36-J36)*100/J36</f>
        <v>13.075763470142002</v>
      </c>
      <c r="M36" s="280">
        <f>((K36-Y36)*100)/Y36</f>
        <v>381.2272350993378</v>
      </c>
      <c r="N36" s="15">
        <v>491</v>
      </c>
      <c r="O36" s="15">
        <v>547</v>
      </c>
      <c r="P36" s="28">
        <v>612</v>
      </c>
      <c r="Q36" s="28">
        <v>678</v>
      </c>
      <c r="R36" s="28">
        <v>755</v>
      </c>
      <c r="S36" s="28">
        <v>838</v>
      </c>
      <c r="T36" s="28">
        <v>925</v>
      </c>
      <c r="U36" s="28">
        <v>1031</v>
      </c>
      <c r="V36" s="28">
        <v>1137</v>
      </c>
      <c r="W36" s="29">
        <v>1179</v>
      </c>
      <c r="X36" s="15">
        <v>1194</v>
      </c>
      <c r="Y36" s="38">
        <v>1208</v>
      </c>
      <c r="Z36" s="28"/>
      <c r="AA36" s="136">
        <v>3750568</v>
      </c>
      <c r="AB36" s="1">
        <f>AA36/1000</f>
        <v>3750.568</v>
      </c>
      <c r="AD36" s="3">
        <v>4068200</v>
      </c>
      <c r="AE36" s="1">
        <f>AD36/1000</f>
        <v>4068.2</v>
      </c>
      <c r="AG36" s="3">
        <v>4517967</v>
      </c>
      <c r="AH36" s="1">
        <f>AG36/1000</f>
        <v>4517.967</v>
      </c>
      <c r="AJ36" s="3">
        <v>5141206.5</v>
      </c>
      <c r="AK36" s="1">
        <f>AJ36/1000</f>
        <v>5141.2065</v>
      </c>
      <c r="AM36" s="3">
        <v>5813225</v>
      </c>
      <c r="AN36" s="1">
        <f>AM36/1000</f>
        <v>5813.225</v>
      </c>
    </row>
    <row r="37" spans="1:40" ht="12.75">
      <c r="A37" s="1" t="s">
        <v>27</v>
      </c>
      <c r="B37" s="66">
        <v>2443</v>
      </c>
      <c r="C37" s="90">
        <v>2569</v>
      </c>
      <c r="D37" s="66">
        <v>2639</v>
      </c>
      <c r="E37" s="66">
        <v>2760.17</v>
      </c>
      <c r="F37" s="68">
        <v>2875</v>
      </c>
      <c r="G37" s="68">
        <v>6885</v>
      </c>
      <c r="H37" s="68">
        <v>7015</v>
      </c>
      <c r="I37" s="68">
        <v>7673</v>
      </c>
      <c r="J37" s="68">
        <v>7952</v>
      </c>
      <c r="K37" s="68">
        <v>8658.065</v>
      </c>
      <c r="L37" s="271">
        <f>(K37-J37)*100/J37</f>
        <v>8.879087022132804</v>
      </c>
      <c r="M37" s="280">
        <f>((K37-Y37)*100)/Y37</f>
        <v>274.80800865800865</v>
      </c>
      <c r="N37" s="15">
        <v>1074</v>
      </c>
      <c r="O37" s="15">
        <v>1130</v>
      </c>
      <c r="P37" s="28">
        <v>1202</v>
      </c>
      <c r="Q37" s="28">
        <v>1284</v>
      </c>
      <c r="R37" s="28">
        <v>1383</v>
      </c>
      <c r="S37" s="28">
        <v>1523</v>
      </c>
      <c r="T37" s="28">
        <v>1620</v>
      </c>
      <c r="U37" s="28">
        <v>1785</v>
      </c>
      <c r="V37" s="28">
        <v>1916</v>
      </c>
      <c r="W37" s="29">
        <v>2070</v>
      </c>
      <c r="X37" s="15">
        <v>2204</v>
      </c>
      <c r="Y37" s="38">
        <v>2310</v>
      </c>
      <c r="Z37" s="28"/>
      <c r="AA37" s="136">
        <v>6885247</v>
      </c>
      <c r="AB37" s="1">
        <f>AA37/1000</f>
        <v>6885.247</v>
      </c>
      <c r="AD37" s="3">
        <v>7015202</v>
      </c>
      <c r="AE37" s="1">
        <f>AD37/1000</f>
        <v>7015.202</v>
      </c>
      <c r="AG37" s="3">
        <v>7673262</v>
      </c>
      <c r="AH37" s="1">
        <f>AG37/1000</f>
        <v>7673.262</v>
      </c>
      <c r="AJ37" s="3">
        <v>7951849</v>
      </c>
      <c r="AK37" s="1">
        <f>AJ37/1000</f>
        <v>7951.849</v>
      </c>
      <c r="AM37" s="3">
        <v>8658065</v>
      </c>
      <c r="AN37" s="1">
        <f>AM37/1000</f>
        <v>8658.065</v>
      </c>
    </row>
    <row r="38" spans="1:40" ht="12.75">
      <c r="A38" s="1" t="s">
        <v>28</v>
      </c>
      <c r="B38" s="66">
        <v>1572</v>
      </c>
      <c r="C38" s="90">
        <v>1615</v>
      </c>
      <c r="D38" s="66">
        <v>1647</v>
      </c>
      <c r="E38" s="66">
        <v>1741.53</v>
      </c>
      <c r="F38" s="68">
        <v>1822</v>
      </c>
      <c r="G38" s="68">
        <v>3964</v>
      </c>
      <c r="H38" s="68">
        <v>4104</v>
      </c>
      <c r="I38" s="68">
        <v>4336</v>
      </c>
      <c r="J38" s="68">
        <v>4619</v>
      </c>
      <c r="K38" s="68">
        <v>4933.329</v>
      </c>
      <c r="L38" s="271">
        <f>(K38-J38)*100/J38</f>
        <v>6.805130980731754</v>
      </c>
      <c r="M38" s="280">
        <f>((K38-Y38)*100)/Y38</f>
        <v>235.8290673927842</v>
      </c>
      <c r="N38" s="15">
        <v>737</v>
      </c>
      <c r="O38" s="15">
        <v>776</v>
      </c>
      <c r="P38" s="28">
        <v>851</v>
      </c>
      <c r="Q38" s="28">
        <v>939</v>
      </c>
      <c r="R38" s="28">
        <v>1026</v>
      </c>
      <c r="S38" s="28">
        <v>1117</v>
      </c>
      <c r="T38" s="28">
        <v>1178</v>
      </c>
      <c r="U38" s="28">
        <v>1260</v>
      </c>
      <c r="V38" s="28">
        <v>1329</v>
      </c>
      <c r="W38" s="29">
        <v>1390</v>
      </c>
      <c r="X38" s="15">
        <v>1450</v>
      </c>
      <c r="Y38" s="15">
        <v>1469</v>
      </c>
      <c r="Z38" s="28"/>
      <c r="AA38" s="136">
        <v>3963974</v>
      </c>
      <c r="AB38" s="1">
        <f>AA38/1000</f>
        <v>3963.974</v>
      </c>
      <c r="AD38" s="3">
        <v>4104142</v>
      </c>
      <c r="AE38" s="1">
        <f>AD38/1000</f>
        <v>4104.142</v>
      </c>
      <c r="AG38" s="3">
        <v>4335777</v>
      </c>
      <c r="AH38" s="1">
        <f>AG38/1000</f>
        <v>4335.777</v>
      </c>
      <c r="AJ38" s="3">
        <v>4618506.5</v>
      </c>
      <c r="AK38" s="1">
        <f>AJ38/1000</f>
        <v>4618.5065</v>
      </c>
      <c r="AM38" s="3">
        <v>4933329</v>
      </c>
      <c r="AN38" s="1">
        <f>AM38/1000</f>
        <v>4933.329</v>
      </c>
    </row>
    <row r="39" spans="1:40" ht="12.75">
      <c r="A39" s="1" t="s">
        <v>29</v>
      </c>
      <c r="B39" s="66">
        <v>2375</v>
      </c>
      <c r="C39" s="90">
        <v>2420</v>
      </c>
      <c r="D39" s="66">
        <v>2487</v>
      </c>
      <c r="E39" s="66">
        <v>2585.89</v>
      </c>
      <c r="F39" s="68">
        <v>2677</v>
      </c>
      <c r="G39" s="68">
        <v>6701</v>
      </c>
      <c r="H39" s="68">
        <v>7239</v>
      </c>
      <c r="I39" s="68">
        <v>8401</v>
      </c>
      <c r="J39" s="68">
        <v>10007</v>
      </c>
      <c r="K39" s="68">
        <v>11563.922</v>
      </c>
      <c r="L39" s="271">
        <f>(K39-J39)*100/J39</f>
        <v>15.558329169581297</v>
      </c>
      <c r="M39" s="280">
        <f>((K39-Y39)*100)/Y39</f>
        <v>400.81948895625817</v>
      </c>
      <c r="N39" s="15">
        <v>1010</v>
      </c>
      <c r="O39" s="15">
        <v>1225</v>
      </c>
      <c r="P39" s="28">
        <v>1415</v>
      </c>
      <c r="Q39" s="28">
        <v>1605</v>
      </c>
      <c r="R39" s="28">
        <v>1744</v>
      </c>
      <c r="S39" s="28">
        <v>1881</v>
      </c>
      <c r="T39" s="28">
        <v>1962</v>
      </c>
      <c r="U39" s="28">
        <v>2048</v>
      </c>
      <c r="V39" s="28">
        <v>2111</v>
      </c>
      <c r="W39" s="29">
        <v>2248</v>
      </c>
      <c r="X39" s="15">
        <v>2291</v>
      </c>
      <c r="Y39" s="15">
        <v>2309</v>
      </c>
      <c r="Z39" s="28"/>
      <c r="AA39" s="137">
        <v>6700745</v>
      </c>
      <c r="AB39" s="1">
        <f>AA39/1000</f>
        <v>6700.745</v>
      </c>
      <c r="AD39" s="3">
        <v>7239037</v>
      </c>
      <c r="AE39" s="1">
        <f>AD39/1000</f>
        <v>7239.037</v>
      </c>
      <c r="AG39" s="3">
        <v>8400551</v>
      </c>
      <c r="AH39" s="1">
        <f>AG39/1000</f>
        <v>8400.551</v>
      </c>
      <c r="AJ39" s="3">
        <v>10006803</v>
      </c>
      <c r="AK39" s="1">
        <f>AJ39/1000</f>
        <v>10006.803</v>
      </c>
      <c r="AM39" s="3">
        <v>11563922</v>
      </c>
      <c r="AN39" s="1">
        <f>AM39/1000</f>
        <v>11563.922</v>
      </c>
    </row>
    <row r="40" spans="1:25" ht="12.75">
      <c r="A40" s="19"/>
      <c r="B40" s="19"/>
      <c r="C40" s="19"/>
      <c r="D40" s="19"/>
      <c r="E40" s="19"/>
      <c r="F40" s="69"/>
      <c r="G40" s="89"/>
      <c r="H40" s="89"/>
      <c r="I40" s="89"/>
      <c r="J40" s="89"/>
      <c r="K40" s="89"/>
      <c r="L40" s="89"/>
      <c r="M40" s="19"/>
      <c r="N40" s="19"/>
      <c r="O40" s="19"/>
      <c r="P40" s="19"/>
      <c r="Q40" s="19"/>
      <c r="Y40" s="19"/>
    </row>
    <row r="41" ht="12.75">
      <c r="A41" s="1" t="s">
        <v>256</v>
      </c>
    </row>
    <row r="42" spans="15:17" ht="12.75">
      <c r="O42" s="15"/>
      <c r="P42" s="15"/>
      <c r="Q42" s="15"/>
    </row>
    <row r="43" spans="15:17" ht="12.75">
      <c r="O43" s="15"/>
      <c r="P43" s="15"/>
      <c r="Q43" s="15"/>
    </row>
    <row r="44" spans="15:17" ht="12.75">
      <c r="O44" s="15"/>
      <c r="P44" s="15"/>
      <c r="Q44" s="15"/>
    </row>
    <row r="45" spans="15:17" ht="12.75">
      <c r="O45" s="15"/>
      <c r="P45" s="15"/>
      <c r="Q45" s="15"/>
    </row>
    <row r="46" spans="15:17" ht="12.75">
      <c r="O46" s="15"/>
      <c r="P46" s="15"/>
      <c r="Q46" s="15"/>
    </row>
  </sheetData>
  <sheetProtection password="CAF5" sheet="1" objects="1" scenarios="1"/>
  <mergeCells count="2">
    <mergeCell ref="J6:J8"/>
    <mergeCell ref="K6:K8"/>
  </mergeCells>
  <printOptions/>
  <pageMargins left="0.56" right="0.5" top="1" bottom="0.97" header="0.5" footer="0.5"/>
  <pageSetup fitToHeight="1" fitToWidth="1" orientation="landscape" scale="78" r:id="rId1"/>
  <headerFooter alignWithMargins="0">
    <oddFooter>&amp;L&amp;"Lucida Sans,Italic"&amp;10MSDE-DBS  12 / 2007
&amp;C- 17 -&amp;R&amp;"Lucida Sans,Italic"&amp;10Selected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workbookViewId="0" topLeftCell="W1">
      <selection activeCell="AE25" sqref="AE25"/>
    </sheetView>
  </sheetViews>
  <sheetFormatPr defaultColWidth="9.00390625" defaultRowHeight="15.75"/>
  <cols>
    <col min="1" max="1" width="12.875" style="1" customWidth="1"/>
    <col min="2" max="9" width="12.625" style="1" customWidth="1"/>
    <col min="10" max="10" width="12.125" style="1" customWidth="1"/>
    <col min="11" max="11" width="11.253906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26" width="10.125" style="1" customWidth="1"/>
    <col min="27" max="45" width="10.125" style="3" customWidth="1"/>
    <col min="46" max="16384" width="10.00390625" style="3" customWidth="1"/>
  </cols>
  <sheetData>
    <row r="1" spans="1:25" ht="15.75" customHeight="1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0"/>
      <c r="O1" s="2"/>
      <c r="P1" s="2"/>
      <c r="Q1" s="2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Y2" s="123"/>
    </row>
    <row r="3" spans="1:25" ht="12.75">
      <c r="A3" s="123" t="s">
        <v>257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0"/>
      <c r="O3" s="10"/>
      <c r="P3" s="10"/>
      <c r="Q3" s="10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10"/>
      <c r="P4" s="10"/>
      <c r="Q4" s="10"/>
      <c r="Y4" s="123"/>
    </row>
    <row r="5" ht="13.5" thickBot="1"/>
    <row r="6" spans="1:29" ht="13.5" thickTop="1">
      <c r="A6" s="5"/>
      <c r="B6" s="5"/>
      <c r="C6" s="5"/>
      <c r="D6" s="5"/>
      <c r="E6" s="5"/>
      <c r="F6" s="5"/>
      <c r="G6" s="5"/>
      <c r="H6" s="5"/>
      <c r="I6" s="5"/>
      <c r="J6" s="314"/>
      <c r="K6" s="241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 t="s">
        <v>123</v>
      </c>
      <c r="AB6" s="5" t="s">
        <v>123</v>
      </c>
      <c r="AC6" s="5" t="s">
        <v>123</v>
      </c>
    </row>
    <row r="7" spans="5:29" ht="15.75">
      <c r="E7" s="66"/>
      <c r="F7" s="66"/>
      <c r="J7" s="315"/>
      <c r="K7" s="242"/>
      <c r="L7" s="40" t="s">
        <v>34</v>
      </c>
      <c r="M7" s="40"/>
      <c r="AA7" s="1" t="s">
        <v>91</v>
      </c>
      <c r="AB7" s="1" t="s">
        <v>91</v>
      </c>
      <c r="AC7" s="1" t="s">
        <v>91</v>
      </c>
    </row>
    <row r="8" spans="1:29" ht="15.75">
      <c r="A8" s="7"/>
      <c r="B8" s="7"/>
      <c r="C8" s="7"/>
      <c r="D8" s="7"/>
      <c r="E8" s="67"/>
      <c r="F8" s="67"/>
      <c r="G8" s="7"/>
      <c r="H8" s="7"/>
      <c r="I8" s="7"/>
      <c r="J8" s="315"/>
      <c r="K8" s="242"/>
      <c r="L8" s="31" t="s">
        <v>87</v>
      </c>
      <c r="M8" s="31" t="s">
        <v>88</v>
      </c>
      <c r="O8" s="7"/>
      <c r="P8" s="7"/>
      <c r="Q8" s="7"/>
      <c r="U8" s="7"/>
      <c r="V8" s="7"/>
      <c r="W8" s="7"/>
      <c r="X8" s="7"/>
      <c r="Y8" s="7"/>
      <c r="Z8" s="7"/>
      <c r="AA8" s="7" t="s">
        <v>124</v>
      </c>
      <c r="AB8" s="7" t="s">
        <v>124</v>
      </c>
      <c r="AC8" s="7" t="s">
        <v>124</v>
      </c>
    </row>
    <row r="9" spans="1:29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42" t="s">
        <v>86</v>
      </c>
      <c r="M9" s="42" t="s">
        <v>86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6" t="s">
        <v>181</v>
      </c>
      <c r="X9" s="36" t="s">
        <v>182</v>
      </c>
      <c r="Y9" s="36" t="s">
        <v>183</v>
      </c>
      <c r="Z9" s="27"/>
      <c r="AA9" s="1" t="s">
        <v>196</v>
      </c>
      <c r="AB9" s="1" t="s">
        <v>212</v>
      </c>
      <c r="AC9" s="1" t="s">
        <v>230</v>
      </c>
    </row>
    <row r="10" spans="1:29" ht="13.5" thickTop="1">
      <c r="A10" s="7" t="s">
        <v>5</v>
      </c>
      <c r="B10" s="70">
        <v>162899</v>
      </c>
      <c r="C10" s="70">
        <v>164076</v>
      </c>
      <c r="D10" s="92">
        <v>166351</v>
      </c>
      <c r="E10" s="92">
        <v>171036</v>
      </c>
      <c r="F10" s="92">
        <v>175636</v>
      </c>
      <c r="G10" s="92">
        <v>408593</v>
      </c>
      <c r="H10" s="92">
        <v>423674</v>
      </c>
      <c r="I10" s="92">
        <v>453837</v>
      </c>
      <c r="J10" s="283">
        <v>498980</v>
      </c>
      <c r="K10" s="283">
        <v>557665.2959342154</v>
      </c>
      <c r="L10" s="271">
        <f>(K10-J10)*100/J10</f>
        <v>11.761051732377133</v>
      </c>
      <c r="M10" s="280">
        <f>((K10-Y10)*100)/Y10</f>
        <v>246.91464754850102</v>
      </c>
      <c r="N10" s="14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11"/>
      <c r="AA10" s="1">
        <v>453837</v>
      </c>
      <c r="AB10" s="3">
        <v>498980</v>
      </c>
      <c r="AC10" s="3">
        <v>557665.2959342154</v>
      </c>
    </row>
    <row r="11" spans="2:27" ht="12.75">
      <c r="B11" s="70"/>
      <c r="C11" s="70"/>
      <c r="L11" s="32"/>
      <c r="M11" s="97"/>
      <c r="O11" s="15"/>
      <c r="R11" s="15"/>
      <c r="S11" s="15"/>
      <c r="X11" s="15"/>
      <c r="Y11" s="15"/>
      <c r="AA11" s="1"/>
    </row>
    <row r="12" spans="1:29" ht="12.75">
      <c r="A12" s="1" t="s">
        <v>6</v>
      </c>
      <c r="B12" s="68">
        <v>108163</v>
      </c>
      <c r="C12" s="68">
        <v>107474</v>
      </c>
      <c r="D12" s="1">
        <v>121976</v>
      </c>
      <c r="E12" s="1">
        <v>147593</v>
      </c>
      <c r="F12" s="1">
        <v>146939</v>
      </c>
      <c r="G12" s="1">
        <v>259095</v>
      </c>
      <c r="H12" s="1">
        <v>257094</v>
      </c>
      <c r="I12" s="1">
        <v>268029</v>
      </c>
      <c r="J12" s="1">
        <v>279205</v>
      </c>
      <c r="K12" s="1">
        <v>292395.60346739023</v>
      </c>
      <c r="L12" s="271">
        <f>(K12-J12)*100/J12</f>
        <v>4.724343570992723</v>
      </c>
      <c r="M12" s="280">
        <f>((K12-Y12)*100)/Y12</f>
        <v>167.1523755058431</v>
      </c>
      <c r="N12" s="15">
        <v>62971</v>
      </c>
      <c r="O12" s="15">
        <v>69917</v>
      </c>
      <c r="P12" s="15">
        <v>76208</v>
      </c>
      <c r="Q12" s="28">
        <v>78074</v>
      </c>
      <c r="R12" s="28">
        <v>79328</v>
      </c>
      <c r="S12" s="28">
        <v>84581</v>
      </c>
      <c r="T12" s="28">
        <v>93221</v>
      </c>
      <c r="U12" s="28">
        <v>106085</v>
      </c>
      <c r="V12" s="28">
        <v>109391</v>
      </c>
      <c r="W12" s="29">
        <v>110998</v>
      </c>
      <c r="X12" s="15">
        <v>111727</v>
      </c>
      <c r="Y12" s="15">
        <v>109449</v>
      </c>
      <c r="Z12" s="28"/>
      <c r="AA12" s="1">
        <v>268029</v>
      </c>
      <c r="AB12" s="3">
        <v>279205</v>
      </c>
      <c r="AC12" s="3">
        <v>292395.60346739023</v>
      </c>
    </row>
    <row r="13" spans="1:29" ht="12.75">
      <c r="A13" s="1" t="s">
        <v>7</v>
      </c>
      <c r="B13" s="68">
        <v>194030</v>
      </c>
      <c r="C13" s="68">
        <v>195889</v>
      </c>
      <c r="D13" s="1">
        <v>200371</v>
      </c>
      <c r="E13" s="1">
        <v>205404</v>
      </c>
      <c r="F13" s="1">
        <v>210401</v>
      </c>
      <c r="G13" s="1">
        <v>500076</v>
      </c>
      <c r="H13" s="1">
        <v>533494</v>
      </c>
      <c r="I13" s="1">
        <v>577628</v>
      </c>
      <c r="J13" s="1">
        <v>644762</v>
      </c>
      <c r="K13" s="1">
        <v>724563.3429627348</v>
      </c>
      <c r="L13" s="271">
        <f>(K13-J13)*100/J13</f>
        <v>12.376868202954697</v>
      </c>
      <c r="M13" s="280">
        <f>((K13-Y13)*100)/Y13</f>
        <v>276.7938880807994</v>
      </c>
      <c r="N13" s="15">
        <v>79501</v>
      </c>
      <c r="O13" s="15">
        <v>92581</v>
      </c>
      <c r="P13" s="15">
        <v>100788</v>
      </c>
      <c r="Q13" s="28">
        <v>111466</v>
      </c>
      <c r="R13" s="28">
        <v>120712</v>
      </c>
      <c r="S13" s="28">
        <v>133211</v>
      </c>
      <c r="T13" s="28">
        <v>144478</v>
      </c>
      <c r="U13" s="28">
        <v>155534</v>
      </c>
      <c r="V13" s="28">
        <v>178437</v>
      </c>
      <c r="W13" s="29">
        <v>187653</v>
      </c>
      <c r="X13" s="15">
        <v>191604</v>
      </c>
      <c r="Y13" s="15">
        <v>192297</v>
      </c>
      <c r="Z13" s="28"/>
      <c r="AA13" s="1">
        <v>577628</v>
      </c>
      <c r="AB13" s="3">
        <v>644762</v>
      </c>
      <c r="AC13" s="3">
        <v>724563.3429627348</v>
      </c>
    </row>
    <row r="14" spans="1:29" ht="12.75">
      <c r="A14" s="1" t="s">
        <v>8</v>
      </c>
      <c r="B14" s="68">
        <v>81119</v>
      </c>
      <c r="C14" s="68">
        <v>81653</v>
      </c>
      <c r="D14" s="1">
        <v>84260</v>
      </c>
      <c r="E14" s="1">
        <v>88247</v>
      </c>
      <c r="F14" s="1">
        <v>90825</v>
      </c>
      <c r="G14" s="1">
        <v>203324</v>
      </c>
      <c r="H14" s="1">
        <v>210544</v>
      </c>
      <c r="I14" s="1">
        <v>224410</v>
      </c>
      <c r="J14" s="1">
        <v>248184</v>
      </c>
      <c r="K14" s="1">
        <v>270714.15875766834</v>
      </c>
      <c r="L14" s="271">
        <f>(K14-J14)*100/J14</f>
        <v>9.078006139665868</v>
      </c>
      <c r="M14" s="280">
        <f>((K14-Y14)*100)/Y14</f>
        <v>234.99252432518477</v>
      </c>
      <c r="N14" s="15">
        <v>46933</v>
      </c>
      <c r="O14" s="15">
        <v>51895</v>
      </c>
      <c r="P14" s="15">
        <v>56511</v>
      </c>
      <c r="Q14" s="28">
        <v>62233</v>
      </c>
      <c r="R14" s="28">
        <v>67323</v>
      </c>
      <c r="S14" s="28">
        <v>72915</v>
      </c>
      <c r="T14" s="28">
        <v>74722</v>
      </c>
      <c r="U14" s="28">
        <v>78316</v>
      </c>
      <c r="V14" s="28">
        <v>79103</v>
      </c>
      <c r="W14" s="29">
        <v>79313</v>
      </c>
      <c r="X14" s="15">
        <v>80438</v>
      </c>
      <c r="Y14" s="15">
        <v>80812</v>
      </c>
      <c r="Z14" s="28"/>
      <c r="AA14" s="1">
        <v>224410</v>
      </c>
      <c r="AB14" s="3">
        <v>248184</v>
      </c>
      <c r="AC14" s="3">
        <v>270714.15875766834</v>
      </c>
    </row>
    <row r="15" spans="1:29" ht="12.75">
      <c r="A15" s="1" t="s">
        <v>9</v>
      </c>
      <c r="B15" s="68">
        <v>170153</v>
      </c>
      <c r="C15" s="68">
        <v>172346</v>
      </c>
      <c r="D15" s="1">
        <v>174104</v>
      </c>
      <c r="E15" s="1">
        <v>178763</v>
      </c>
      <c r="F15" s="1">
        <v>182710</v>
      </c>
      <c r="G15" s="1">
        <v>425035</v>
      </c>
      <c r="H15" s="1">
        <v>436558</v>
      </c>
      <c r="I15" s="1">
        <v>453911</v>
      </c>
      <c r="J15" s="1">
        <v>481939</v>
      </c>
      <c r="K15" s="1">
        <v>528427.6860040633</v>
      </c>
      <c r="L15" s="271">
        <f>(K15-J15)*100/J15</f>
        <v>9.646176384161345</v>
      </c>
      <c r="M15" s="280">
        <f>((K15-Y15)*100)/Y15</f>
        <v>213.04030449575743</v>
      </c>
      <c r="N15" s="15">
        <v>102620</v>
      </c>
      <c r="O15" s="15">
        <v>112113</v>
      </c>
      <c r="P15" s="15">
        <v>123102</v>
      </c>
      <c r="Q15" s="28">
        <v>133842</v>
      </c>
      <c r="R15" s="28">
        <v>143501</v>
      </c>
      <c r="S15" s="28">
        <v>152494</v>
      </c>
      <c r="T15" s="28">
        <v>160663</v>
      </c>
      <c r="U15" s="28">
        <v>167541</v>
      </c>
      <c r="V15" s="28">
        <v>171207</v>
      </c>
      <c r="W15" s="29">
        <v>173251</v>
      </c>
      <c r="X15" s="15">
        <v>170822</v>
      </c>
      <c r="Y15" s="15">
        <v>168805</v>
      </c>
      <c r="Z15" s="28"/>
      <c r="AA15" s="1">
        <v>453911</v>
      </c>
      <c r="AB15" s="3">
        <v>481939</v>
      </c>
      <c r="AC15" s="3">
        <v>528427.6860040633</v>
      </c>
    </row>
    <row r="16" spans="1:29" ht="12.75">
      <c r="A16" s="1" t="s">
        <v>10</v>
      </c>
      <c r="B16" s="68">
        <v>199769</v>
      </c>
      <c r="C16" s="68">
        <v>199751</v>
      </c>
      <c r="D16" s="1">
        <v>198906</v>
      </c>
      <c r="E16" s="1">
        <v>198865</v>
      </c>
      <c r="F16" s="1">
        <v>188173</v>
      </c>
      <c r="G16" s="1">
        <v>381782</v>
      </c>
      <c r="H16" s="1">
        <v>394392</v>
      </c>
      <c r="I16" s="1">
        <v>417476</v>
      </c>
      <c r="J16" s="1">
        <v>456891</v>
      </c>
      <c r="K16" s="1">
        <v>490609.1493097819</v>
      </c>
      <c r="L16" s="271">
        <f>(K16-J16)*100/J16</f>
        <v>7.37991103124857</v>
      </c>
      <c r="M16" s="280">
        <f>((K16-Y16)*100)/Y16</f>
        <v>147.0251045077877</v>
      </c>
      <c r="N16" s="15">
        <v>159084</v>
      </c>
      <c r="O16" s="15">
        <v>161011</v>
      </c>
      <c r="P16" s="15">
        <v>161999</v>
      </c>
      <c r="Q16" s="28">
        <v>162178</v>
      </c>
      <c r="R16" s="28">
        <v>166779</v>
      </c>
      <c r="S16" s="28">
        <v>173242</v>
      </c>
      <c r="T16" s="28">
        <v>158855</v>
      </c>
      <c r="U16" s="28">
        <v>179907</v>
      </c>
      <c r="V16" s="28">
        <v>189369</v>
      </c>
      <c r="W16" s="29">
        <v>197378</v>
      </c>
      <c r="X16" s="15">
        <v>202480</v>
      </c>
      <c r="Y16" s="15">
        <v>198607</v>
      </c>
      <c r="Z16" s="28"/>
      <c r="AA16" s="1">
        <v>417476</v>
      </c>
      <c r="AB16" s="3">
        <v>456891</v>
      </c>
      <c r="AC16" s="3">
        <v>490609.1493097819</v>
      </c>
    </row>
    <row r="17" spans="2:27" ht="12.75">
      <c r="B17" s="68"/>
      <c r="C17" s="68"/>
      <c r="L17" s="271"/>
      <c r="M17" s="280"/>
      <c r="N17" s="15"/>
      <c r="P17" s="15"/>
      <c r="Q17" s="28"/>
      <c r="R17" s="28"/>
      <c r="S17" s="28"/>
      <c r="T17" s="28"/>
      <c r="U17" s="28"/>
      <c r="V17" s="28"/>
      <c r="W17" s="29"/>
      <c r="X17" s="15"/>
      <c r="Y17" s="15"/>
      <c r="Z17" s="28"/>
      <c r="AA17" s="1"/>
    </row>
    <row r="18" spans="1:29" ht="12.75">
      <c r="A18" s="1" t="s">
        <v>11</v>
      </c>
      <c r="B18" s="68">
        <v>85446</v>
      </c>
      <c r="C18" s="68">
        <v>92008</v>
      </c>
      <c r="D18" s="1">
        <v>91262</v>
      </c>
      <c r="E18" s="1">
        <v>96117</v>
      </c>
      <c r="F18" s="1">
        <v>102242</v>
      </c>
      <c r="G18" s="1">
        <v>242513</v>
      </c>
      <c r="H18" s="1">
        <v>255945</v>
      </c>
      <c r="I18" s="1">
        <v>274793</v>
      </c>
      <c r="J18" s="1">
        <v>301338</v>
      </c>
      <c r="K18" s="1">
        <v>319573.23542164447</v>
      </c>
      <c r="L18" s="271">
        <f>(K18-J18)*100/J18</f>
        <v>6.051422463029709</v>
      </c>
      <c r="M18" s="280">
        <f>((K18-Y18)*100)/Y18</f>
        <v>290.485380524981</v>
      </c>
      <c r="N18" s="15">
        <v>41826</v>
      </c>
      <c r="O18" s="15">
        <v>46847</v>
      </c>
      <c r="P18" s="15">
        <v>51461</v>
      </c>
      <c r="Q18" s="28">
        <v>55575</v>
      </c>
      <c r="R18" s="28">
        <v>59714</v>
      </c>
      <c r="S18" s="28">
        <v>66597</v>
      </c>
      <c r="T18" s="28">
        <v>67093</v>
      </c>
      <c r="U18" s="28">
        <v>72073</v>
      </c>
      <c r="V18" s="28">
        <v>76970</v>
      </c>
      <c r="W18" s="29">
        <v>81855</v>
      </c>
      <c r="X18" s="15">
        <v>82813</v>
      </c>
      <c r="Y18" s="15">
        <v>81840</v>
      </c>
      <c r="Z18" s="28"/>
      <c r="AA18" s="1">
        <v>274793</v>
      </c>
      <c r="AB18" s="3">
        <v>301338</v>
      </c>
      <c r="AC18" s="3">
        <v>319573.23542164447</v>
      </c>
    </row>
    <row r="19" spans="1:29" ht="12.75">
      <c r="A19" s="1" t="s">
        <v>12</v>
      </c>
      <c r="B19" s="68">
        <v>133362</v>
      </c>
      <c r="C19" s="68">
        <v>134041</v>
      </c>
      <c r="D19" s="1">
        <v>136943</v>
      </c>
      <c r="E19" s="1">
        <v>143689</v>
      </c>
      <c r="F19" s="1">
        <v>149217</v>
      </c>
      <c r="G19" s="1">
        <v>357624</v>
      </c>
      <c r="H19" s="1">
        <v>375543</v>
      </c>
      <c r="I19" s="1">
        <v>395405</v>
      </c>
      <c r="J19" s="1">
        <v>429087</v>
      </c>
      <c r="K19" s="1">
        <v>471534.06908474735</v>
      </c>
      <c r="L19" s="271">
        <f>(K19-J19)*100/J19</f>
        <v>9.892415543875098</v>
      </c>
      <c r="M19" s="280">
        <f>((K19-Y19)*100)/Y19</f>
        <v>257.6454515068925</v>
      </c>
      <c r="N19" s="15">
        <v>65503</v>
      </c>
      <c r="O19" s="15">
        <v>69778</v>
      </c>
      <c r="P19" s="15">
        <v>74589</v>
      </c>
      <c r="Q19" s="28">
        <v>79851</v>
      </c>
      <c r="R19" s="28">
        <v>85799</v>
      </c>
      <c r="S19" s="28">
        <v>95360</v>
      </c>
      <c r="T19" s="28">
        <v>102250</v>
      </c>
      <c r="U19" s="28">
        <v>109818</v>
      </c>
      <c r="V19" s="28">
        <v>118096</v>
      </c>
      <c r="W19" s="29">
        <v>126491</v>
      </c>
      <c r="X19" s="15">
        <v>131490</v>
      </c>
      <c r="Y19" s="15">
        <v>131844</v>
      </c>
      <c r="Z19" s="28"/>
      <c r="AA19" s="1">
        <v>395405</v>
      </c>
      <c r="AB19" s="3">
        <v>429087</v>
      </c>
      <c r="AC19" s="3">
        <v>471534.06908474735</v>
      </c>
    </row>
    <row r="20" spans="1:29" ht="12.75">
      <c r="A20" s="1" t="s">
        <v>13</v>
      </c>
      <c r="B20" s="68">
        <v>124799</v>
      </c>
      <c r="C20" s="68">
        <v>125130</v>
      </c>
      <c r="D20" s="1">
        <v>127526</v>
      </c>
      <c r="E20" s="1">
        <v>131709</v>
      </c>
      <c r="F20" s="1">
        <v>134431</v>
      </c>
      <c r="G20" s="1">
        <v>322445</v>
      </c>
      <c r="H20" s="1">
        <v>336900</v>
      </c>
      <c r="I20" s="1">
        <v>360178</v>
      </c>
      <c r="J20" s="1">
        <v>396607</v>
      </c>
      <c r="K20" s="1">
        <v>426204.1877479953</v>
      </c>
      <c r="L20" s="271">
        <f>(K20-J20)*100/J20</f>
        <v>7.4625984281657445</v>
      </c>
      <c r="M20" s="280">
        <f>((K20-Y20)*100)/Y20</f>
        <v>246.45395243661164</v>
      </c>
      <c r="N20" s="15">
        <v>51112</v>
      </c>
      <c r="O20" s="15">
        <v>55019</v>
      </c>
      <c r="P20" s="15">
        <v>60912</v>
      </c>
      <c r="Q20" s="28">
        <v>66553</v>
      </c>
      <c r="R20" s="28">
        <v>73393</v>
      </c>
      <c r="S20" s="28">
        <v>81723</v>
      </c>
      <c r="T20" s="28">
        <v>89459</v>
      </c>
      <c r="U20" s="28">
        <v>99126</v>
      </c>
      <c r="V20" s="28">
        <v>109950</v>
      </c>
      <c r="W20" s="29">
        <v>116789</v>
      </c>
      <c r="X20" s="15">
        <v>121651</v>
      </c>
      <c r="Y20" s="15">
        <v>123019</v>
      </c>
      <c r="Z20" s="28"/>
      <c r="AA20" s="1">
        <v>360178</v>
      </c>
      <c r="AB20" s="3">
        <v>396607</v>
      </c>
      <c r="AC20" s="3">
        <v>426204.1877479953</v>
      </c>
    </row>
    <row r="21" spans="1:29" ht="12.75">
      <c r="A21" s="1" t="s">
        <v>14</v>
      </c>
      <c r="B21" s="68">
        <v>153526</v>
      </c>
      <c r="C21" s="68">
        <v>148911</v>
      </c>
      <c r="D21" s="1">
        <v>149690</v>
      </c>
      <c r="E21" s="1">
        <v>152633</v>
      </c>
      <c r="F21" s="1">
        <v>150151</v>
      </c>
      <c r="G21" s="1">
        <v>354652</v>
      </c>
      <c r="H21" s="1">
        <v>364107</v>
      </c>
      <c r="I21" s="1">
        <v>376883</v>
      </c>
      <c r="J21" s="1">
        <v>401853</v>
      </c>
      <c r="K21" s="1">
        <v>432822.6534531202</v>
      </c>
      <c r="L21" s="271">
        <f>(K21-J21)*100/J21</f>
        <v>7.706712019848106</v>
      </c>
      <c r="M21" s="280">
        <f>((K21-Y21)*100)/Y21</f>
        <v>202.59700596571508</v>
      </c>
      <c r="N21" s="15">
        <v>69659</v>
      </c>
      <c r="O21" s="15">
        <v>77462</v>
      </c>
      <c r="P21" s="15">
        <v>84110</v>
      </c>
      <c r="Q21" s="28">
        <v>91737</v>
      </c>
      <c r="R21" s="28">
        <v>97060</v>
      </c>
      <c r="S21" s="28">
        <v>105428</v>
      </c>
      <c r="T21" s="28">
        <v>105428</v>
      </c>
      <c r="U21" s="28">
        <v>155512</v>
      </c>
      <c r="V21" s="28">
        <v>123662</v>
      </c>
      <c r="W21" s="29">
        <v>133687</v>
      </c>
      <c r="X21" s="15">
        <v>139734</v>
      </c>
      <c r="Y21" s="15">
        <v>143036</v>
      </c>
      <c r="Z21" s="28"/>
      <c r="AA21" s="1">
        <v>376883</v>
      </c>
      <c r="AB21" s="3">
        <v>401853</v>
      </c>
      <c r="AC21" s="3">
        <v>432822.6534531202</v>
      </c>
    </row>
    <row r="22" spans="1:29" ht="12.75">
      <c r="A22" s="1" t="s">
        <v>15</v>
      </c>
      <c r="B22" s="68">
        <v>132314</v>
      </c>
      <c r="C22" s="68">
        <v>135969</v>
      </c>
      <c r="D22" s="1">
        <v>139370</v>
      </c>
      <c r="E22" s="1">
        <v>142931</v>
      </c>
      <c r="F22" s="1">
        <v>149452</v>
      </c>
      <c r="G22" s="1">
        <v>338811</v>
      </c>
      <c r="H22" s="1">
        <v>361285</v>
      </c>
      <c r="I22" s="1">
        <v>397908</v>
      </c>
      <c r="J22" s="1">
        <v>420151</v>
      </c>
      <c r="K22" s="1">
        <v>500326.3937271944</v>
      </c>
      <c r="L22" s="271">
        <f>(K22-J22)*100/J22</f>
        <v>19.082518838987507</v>
      </c>
      <c r="M22" s="280">
        <f>((K22-Y22)*100)/Y22</f>
        <v>287.82286020912835</v>
      </c>
      <c r="N22" s="15">
        <v>63225</v>
      </c>
      <c r="O22" s="15">
        <v>70565</v>
      </c>
      <c r="P22" s="15">
        <v>77388</v>
      </c>
      <c r="Q22" s="28">
        <v>82289</v>
      </c>
      <c r="R22" s="28">
        <v>88009</v>
      </c>
      <c r="S22" s="28">
        <v>95378</v>
      </c>
      <c r="T22" s="28">
        <v>103250</v>
      </c>
      <c r="U22" s="28">
        <v>111347</v>
      </c>
      <c r="V22" s="28">
        <v>118404</v>
      </c>
      <c r="W22" s="29">
        <v>124186</v>
      </c>
      <c r="X22" s="15">
        <v>127055</v>
      </c>
      <c r="Y22" s="15">
        <v>129009</v>
      </c>
      <c r="Z22" s="28"/>
      <c r="AA22" s="1">
        <v>397908</v>
      </c>
      <c r="AB22" s="3">
        <v>420151</v>
      </c>
      <c r="AC22" s="3">
        <v>500326.3937271944</v>
      </c>
    </row>
    <row r="23" spans="2:27" ht="12.75">
      <c r="B23" s="68"/>
      <c r="C23" s="68"/>
      <c r="L23" s="271"/>
      <c r="M23" s="280"/>
      <c r="N23" s="15"/>
      <c r="P23" s="15"/>
      <c r="Q23" s="28"/>
      <c r="R23" s="28"/>
      <c r="S23" s="28"/>
      <c r="T23" s="28"/>
      <c r="U23" s="28"/>
      <c r="V23" s="28"/>
      <c r="W23" s="29"/>
      <c r="X23" s="15"/>
      <c r="Y23" s="15"/>
      <c r="Z23" s="28"/>
      <c r="AA23" s="1"/>
    </row>
    <row r="24" spans="1:29" ht="12.75">
      <c r="A24" s="1" t="s">
        <v>16</v>
      </c>
      <c r="B24" s="68">
        <v>136811</v>
      </c>
      <c r="C24" s="68">
        <v>137788</v>
      </c>
      <c r="D24" s="1">
        <v>140094</v>
      </c>
      <c r="E24" s="1">
        <v>145874</v>
      </c>
      <c r="F24" s="1">
        <v>147276</v>
      </c>
      <c r="G24" s="1">
        <v>359990</v>
      </c>
      <c r="H24" s="1">
        <v>380179</v>
      </c>
      <c r="I24" s="1">
        <v>400655</v>
      </c>
      <c r="J24" s="1">
        <v>427971</v>
      </c>
      <c r="K24" s="1">
        <v>477003.91635306197</v>
      </c>
      <c r="L24" s="271">
        <f>(K24-J24)*100/J24</f>
        <v>11.457065164009236</v>
      </c>
      <c r="M24" s="280">
        <f>((K24-Y24)*100)/Y24</f>
        <v>256.5025047294579</v>
      </c>
      <c r="N24" s="15">
        <v>64144</v>
      </c>
      <c r="O24" s="15">
        <v>63343</v>
      </c>
      <c r="P24" s="15">
        <v>73929</v>
      </c>
      <c r="Q24" s="28">
        <v>79206</v>
      </c>
      <c r="R24" s="28">
        <v>87683</v>
      </c>
      <c r="S24" s="28">
        <v>96798</v>
      </c>
      <c r="T24" s="28">
        <v>106704</v>
      </c>
      <c r="U24" s="28">
        <v>113098</v>
      </c>
      <c r="V24" s="28">
        <v>121659</v>
      </c>
      <c r="W24" s="29">
        <v>130388</v>
      </c>
      <c r="X24" s="15">
        <v>134000</v>
      </c>
      <c r="Y24" s="15">
        <v>133801</v>
      </c>
      <c r="Z24" s="28"/>
      <c r="AA24" s="1">
        <v>400655</v>
      </c>
      <c r="AB24" s="3">
        <v>427971</v>
      </c>
      <c r="AC24" s="3">
        <v>477003.91635306197</v>
      </c>
    </row>
    <row r="25" spans="1:29" ht="12.75">
      <c r="A25" s="1" t="s">
        <v>17</v>
      </c>
      <c r="B25" s="68">
        <v>145919</v>
      </c>
      <c r="C25" s="68">
        <v>150069</v>
      </c>
      <c r="D25" s="1">
        <v>154687</v>
      </c>
      <c r="E25" s="1">
        <v>162488</v>
      </c>
      <c r="F25" s="1">
        <v>175220</v>
      </c>
      <c r="G25" s="1">
        <v>404809</v>
      </c>
      <c r="H25" s="1">
        <v>448014</v>
      </c>
      <c r="I25" s="1">
        <v>484242</v>
      </c>
      <c r="J25" s="1">
        <v>531661</v>
      </c>
      <c r="K25" s="1">
        <v>603384.2086029365</v>
      </c>
      <c r="L25" s="271">
        <f>(K25-J25)*100/J25</f>
        <v>13.490402456252475</v>
      </c>
      <c r="M25" s="280">
        <f>((K25-Y25)*100)/Y25</f>
        <v>339.7235139470019</v>
      </c>
      <c r="N25" s="15">
        <v>56788</v>
      </c>
      <c r="O25" s="15">
        <v>67087</v>
      </c>
      <c r="P25" s="15">
        <v>73505</v>
      </c>
      <c r="Q25" s="28">
        <v>76864</v>
      </c>
      <c r="R25" s="28">
        <v>85894</v>
      </c>
      <c r="S25" s="28">
        <v>95345</v>
      </c>
      <c r="T25" s="28">
        <v>101601</v>
      </c>
      <c r="U25" s="28">
        <v>111272</v>
      </c>
      <c r="V25" s="28">
        <v>121823</v>
      </c>
      <c r="W25" s="29">
        <v>131345</v>
      </c>
      <c r="X25" s="15">
        <v>132120</v>
      </c>
      <c r="Y25" s="15">
        <v>137219</v>
      </c>
      <c r="Z25" s="28"/>
      <c r="AA25" s="1">
        <v>484242</v>
      </c>
      <c r="AB25" s="3">
        <v>531661</v>
      </c>
      <c r="AC25" s="3">
        <v>603384.2086029365</v>
      </c>
    </row>
    <row r="26" spans="1:29" ht="12.75">
      <c r="A26" s="1" t="s">
        <v>18</v>
      </c>
      <c r="B26" s="68">
        <v>127371</v>
      </c>
      <c r="C26" s="68">
        <v>132072</v>
      </c>
      <c r="D26" s="1">
        <v>135049</v>
      </c>
      <c r="E26" s="1">
        <v>140890</v>
      </c>
      <c r="F26" s="1">
        <v>145395</v>
      </c>
      <c r="G26" s="1">
        <v>339433</v>
      </c>
      <c r="H26" s="1">
        <v>339660</v>
      </c>
      <c r="I26" s="1">
        <v>360494</v>
      </c>
      <c r="J26" s="1">
        <v>401489</v>
      </c>
      <c r="K26" s="1">
        <v>431993.36209214036</v>
      </c>
      <c r="L26" s="271">
        <f>(K26-J26)*100/J26</f>
        <v>7.597807683931656</v>
      </c>
      <c r="M26" s="280">
        <f>((K26-Y26)*100)/Y26</f>
        <v>247.34251722036515</v>
      </c>
      <c r="N26" s="15">
        <v>59474</v>
      </c>
      <c r="O26" s="15">
        <v>63408</v>
      </c>
      <c r="P26" s="15">
        <v>67963</v>
      </c>
      <c r="Q26" s="28">
        <v>73694</v>
      </c>
      <c r="R26" s="28">
        <v>81044</v>
      </c>
      <c r="S26" s="28">
        <v>87462</v>
      </c>
      <c r="T26" s="28">
        <v>93603</v>
      </c>
      <c r="U26" s="28">
        <v>101153</v>
      </c>
      <c r="V26" s="28">
        <v>109309</v>
      </c>
      <c r="W26" s="29">
        <v>114947</v>
      </c>
      <c r="X26" s="15">
        <v>120357</v>
      </c>
      <c r="Y26" s="15">
        <v>124371</v>
      </c>
      <c r="Z26" s="28"/>
      <c r="AA26" s="1">
        <v>360494</v>
      </c>
      <c r="AB26" s="3">
        <v>401489</v>
      </c>
      <c r="AC26" s="3">
        <v>431993.36209214036</v>
      </c>
    </row>
    <row r="27" spans="1:29" ht="12.75">
      <c r="A27" s="1" t="s">
        <v>19</v>
      </c>
      <c r="B27" s="68">
        <v>189581</v>
      </c>
      <c r="C27" s="68">
        <v>191282</v>
      </c>
      <c r="D27" s="1">
        <v>192534</v>
      </c>
      <c r="E27" s="1">
        <v>196414</v>
      </c>
      <c r="F27" s="1">
        <v>199940</v>
      </c>
      <c r="G27" s="1">
        <v>490378</v>
      </c>
      <c r="H27" s="1">
        <v>476835</v>
      </c>
      <c r="I27" s="1">
        <v>525874</v>
      </c>
      <c r="J27" s="1">
        <v>578390</v>
      </c>
      <c r="K27" s="1">
        <v>639163.4841183258</v>
      </c>
      <c r="L27" s="271">
        <f>(K27-J27)*100/J27</f>
        <v>10.507353882039064</v>
      </c>
      <c r="M27" s="280">
        <f>((K27-Y27)*100)/Y27</f>
        <v>233.8452817206789</v>
      </c>
      <c r="N27" s="15">
        <v>100277</v>
      </c>
      <c r="O27" s="15">
        <v>109153</v>
      </c>
      <c r="P27" s="15">
        <v>121071</v>
      </c>
      <c r="Q27" s="28">
        <v>132231</v>
      </c>
      <c r="R27" s="28">
        <v>148938</v>
      </c>
      <c r="S27" s="28">
        <v>160867</v>
      </c>
      <c r="T27" s="28">
        <v>170106</v>
      </c>
      <c r="U27" s="28">
        <v>176262</v>
      </c>
      <c r="V27" s="28">
        <v>186416</v>
      </c>
      <c r="W27" s="29">
        <v>189529</v>
      </c>
      <c r="X27" s="15">
        <v>187446</v>
      </c>
      <c r="Y27" s="15">
        <v>191455</v>
      </c>
      <c r="Z27" s="28"/>
      <c r="AA27" s="1">
        <v>525874</v>
      </c>
      <c r="AB27" s="3">
        <v>578390</v>
      </c>
      <c r="AC27" s="3">
        <v>639163.4841183258</v>
      </c>
    </row>
    <row r="28" spans="1:29" ht="12.75">
      <c r="A28" s="1" t="s">
        <v>20</v>
      </c>
      <c r="B28" s="68">
        <v>190395</v>
      </c>
      <c r="C28" s="68">
        <v>196758</v>
      </c>
      <c r="D28" s="1">
        <v>201560</v>
      </c>
      <c r="E28" s="1">
        <v>202829</v>
      </c>
      <c r="F28" s="1">
        <v>216238</v>
      </c>
      <c r="G28" s="1">
        <v>533806</v>
      </c>
      <c r="H28" s="1">
        <v>573201</v>
      </c>
      <c r="I28" s="1">
        <v>629455</v>
      </c>
      <c r="J28" s="1">
        <v>699642</v>
      </c>
      <c r="K28" s="1">
        <v>783497.6204961697</v>
      </c>
      <c r="L28" s="271">
        <f>(K28-J28)*100/J28</f>
        <v>11.985504085828133</v>
      </c>
      <c r="M28" s="280">
        <f>((K28-Y28)*100)/Y28</f>
        <v>313.5228562435911</v>
      </c>
      <c r="N28" s="15">
        <v>85667</v>
      </c>
      <c r="O28" s="15">
        <v>94835</v>
      </c>
      <c r="P28" s="28">
        <v>103598</v>
      </c>
      <c r="Q28" s="28">
        <v>114817</v>
      </c>
      <c r="R28" s="28">
        <v>124403</v>
      </c>
      <c r="S28" s="28">
        <v>133857</v>
      </c>
      <c r="T28" s="28">
        <v>139365</v>
      </c>
      <c r="U28" s="28">
        <v>159711</v>
      </c>
      <c r="V28" s="28">
        <v>179413</v>
      </c>
      <c r="W28" s="29">
        <v>184405</v>
      </c>
      <c r="X28" s="15">
        <v>187385</v>
      </c>
      <c r="Y28" s="15">
        <v>189469</v>
      </c>
      <c r="Z28" s="28"/>
      <c r="AA28" s="1">
        <v>629455</v>
      </c>
      <c r="AB28" s="3">
        <v>699642</v>
      </c>
      <c r="AC28" s="3">
        <v>783497.6204961697</v>
      </c>
    </row>
    <row r="29" spans="2:27" ht="12.75">
      <c r="B29" s="68"/>
      <c r="C29" s="68"/>
      <c r="L29" s="271"/>
      <c r="M29" s="280"/>
      <c r="N29" s="15"/>
      <c r="O29" s="15"/>
      <c r="Q29" s="28"/>
      <c r="R29" s="28"/>
      <c r="S29" s="28"/>
      <c r="T29" s="28"/>
      <c r="U29" s="28"/>
      <c r="V29" s="28"/>
      <c r="W29" s="29"/>
      <c r="X29" s="15"/>
      <c r="Y29" s="15"/>
      <c r="Z29" s="28"/>
      <c r="AA29" s="1"/>
    </row>
    <row r="30" spans="1:29" ht="12.75">
      <c r="A30" s="1" t="s">
        <v>21</v>
      </c>
      <c r="B30" s="68">
        <v>259934</v>
      </c>
      <c r="C30" s="68">
        <v>260556</v>
      </c>
      <c r="D30" s="1">
        <v>258875</v>
      </c>
      <c r="E30" s="1">
        <v>259670</v>
      </c>
      <c r="F30" s="1">
        <v>261279</v>
      </c>
      <c r="G30" s="1">
        <v>619261</v>
      </c>
      <c r="H30" s="1">
        <v>644526</v>
      </c>
      <c r="I30" s="1">
        <v>703431</v>
      </c>
      <c r="J30" s="1">
        <v>782598</v>
      </c>
      <c r="K30" s="1">
        <v>911522.2796301213</v>
      </c>
      <c r="L30" s="271">
        <f>(K30-J30)*100/J30</f>
        <v>16.4738830958067</v>
      </c>
      <c r="M30" s="280">
        <f>((K30-Y30)*100)/Y30</f>
        <v>255.792376756034</v>
      </c>
      <c r="N30" s="15">
        <v>145555</v>
      </c>
      <c r="O30" s="15">
        <v>159133</v>
      </c>
      <c r="P30" s="28">
        <v>173969</v>
      </c>
      <c r="Q30" s="28">
        <v>190371</v>
      </c>
      <c r="R30" s="28">
        <v>207315</v>
      </c>
      <c r="S30" s="28">
        <v>223936</v>
      </c>
      <c r="T30" s="28">
        <v>238728</v>
      </c>
      <c r="U30" s="28">
        <v>250872</v>
      </c>
      <c r="V30" s="28">
        <v>271433</v>
      </c>
      <c r="W30" s="29">
        <v>272435</v>
      </c>
      <c r="X30" s="15">
        <v>264622</v>
      </c>
      <c r="Y30" s="15">
        <v>256195</v>
      </c>
      <c r="Z30" s="28"/>
      <c r="AA30" s="1">
        <v>703431</v>
      </c>
      <c r="AB30" s="3">
        <v>782598</v>
      </c>
      <c r="AC30" s="3">
        <v>911522.2796301213</v>
      </c>
    </row>
    <row r="31" spans="1:29" ht="12.75">
      <c r="A31" s="1" t="s">
        <v>22</v>
      </c>
      <c r="B31" s="68">
        <v>140110</v>
      </c>
      <c r="C31" s="68">
        <v>138011</v>
      </c>
      <c r="D31" s="1">
        <v>138644</v>
      </c>
      <c r="E31" s="1">
        <v>139939</v>
      </c>
      <c r="F31" s="1">
        <v>136457</v>
      </c>
      <c r="G31" s="1">
        <v>315294</v>
      </c>
      <c r="H31" s="1">
        <v>325339</v>
      </c>
      <c r="I31" s="1">
        <v>339467</v>
      </c>
      <c r="J31" s="1">
        <v>369784</v>
      </c>
      <c r="K31" s="1">
        <v>406235.49554931663</v>
      </c>
      <c r="L31" s="271">
        <f>(K31-J31)*100/J31</f>
        <v>9.857510208477553</v>
      </c>
      <c r="M31" s="280">
        <f>((K31-Y31)*100)/Y31</f>
        <v>186.69105813019002</v>
      </c>
      <c r="N31" s="15">
        <v>75189</v>
      </c>
      <c r="O31" s="15">
        <v>83495</v>
      </c>
      <c r="P31" s="28">
        <v>91759</v>
      </c>
      <c r="Q31" s="28">
        <v>99523</v>
      </c>
      <c r="R31" s="28">
        <v>107585</v>
      </c>
      <c r="S31" s="28">
        <v>115499</v>
      </c>
      <c r="T31" s="28">
        <v>123236</v>
      </c>
      <c r="U31" s="28">
        <v>129483</v>
      </c>
      <c r="V31" s="28">
        <v>138622</v>
      </c>
      <c r="W31" s="29">
        <v>141404</v>
      </c>
      <c r="X31" s="15">
        <v>143195</v>
      </c>
      <c r="Y31" s="15">
        <v>141698</v>
      </c>
      <c r="Z31" s="28"/>
      <c r="AA31" s="1">
        <v>339467</v>
      </c>
      <c r="AB31" s="3">
        <v>369784</v>
      </c>
      <c r="AC31" s="3">
        <v>406235.49554931663</v>
      </c>
    </row>
    <row r="32" spans="1:29" ht="12.75">
      <c r="A32" s="1" t="s">
        <v>23</v>
      </c>
      <c r="B32" s="68">
        <v>179416</v>
      </c>
      <c r="C32" s="68">
        <v>180077</v>
      </c>
      <c r="D32" s="1">
        <v>179879</v>
      </c>
      <c r="E32" s="1">
        <v>183329</v>
      </c>
      <c r="F32" s="1">
        <v>189019</v>
      </c>
      <c r="G32" s="1">
        <v>484181</v>
      </c>
      <c r="H32" s="1">
        <v>506407</v>
      </c>
      <c r="I32" s="1">
        <v>560062</v>
      </c>
      <c r="J32" s="1">
        <v>623249</v>
      </c>
      <c r="K32" s="1">
        <v>685675.5157787444</v>
      </c>
      <c r="L32" s="271">
        <f>(K32-J32)*100/J32</f>
        <v>10.01630420245269</v>
      </c>
      <c r="M32" s="280">
        <f>((K32-Y32)*100)/Y32</f>
        <v>292.7032117126437</v>
      </c>
      <c r="N32" s="15">
        <v>83166</v>
      </c>
      <c r="O32" s="15">
        <v>92188</v>
      </c>
      <c r="P32" s="28">
        <v>99814</v>
      </c>
      <c r="Q32" s="28">
        <v>107027</v>
      </c>
      <c r="R32" s="28">
        <v>118579</v>
      </c>
      <c r="S32" s="28">
        <v>131855</v>
      </c>
      <c r="T32" s="28">
        <v>137774</v>
      </c>
      <c r="U32" s="28">
        <v>150570</v>
      </c>
      <c r="V32" s="28">
        <v>161983</v>
      </c>
      <c r="W32" s="29">
        <v>174238</v>
      </c>
      <c r="X32" s="15">
        <v>175514</v>
      </c>
      <c r="Y32" s="15">
        <v>174604</v>
      </c>
      <c r="Z32" s="28"/>
      <c r="AA32" s="1">
        <v>560062</v>
      </c>
      <c r="AB32" s="3">
        <v>623249</v>
      </c>
      <c r="AC32" s="3">
        <v>685675.5157787444</v>
      </c>
    </row>
    <row r="33" spans="1:29" ht="12.75">
      <c r="A33" s="1" t="s">
        <v>24</v>
      </c>
      <c r="B33" s="68">
        <v>134730</v>
      </c>
      <c r="C33" s="68">
        <v>134037</v>
      </c>
      <c r="D33" s="1">
        <v>140350</v>
      </c>
      <c r="E33" s="1">
        <v>145769</v>
      </c>
      <c r="F33" s="1">
        <v>150149</v>
      </c>
      <c r="G33" s="1">
        <v>360044</v>
      </c>
      <c r="H33" s="1">
        <v>364507</v>
      </c>
      <c r="I33" s="1">
        <v>375645</v>
      </c>
      <c r="J33" s="1">
        <v>405889</v>
      </c>
      <c r="K33" s="1">
        <v>426276.4872925976</v>
      </c>
      <c r="L33" s="271">
        <f>(K33-J33)*100/J33</f>
        <v>5.022921856122633</v>
      </c>
      <c r="M33" s="280">
        <f>((K33-Y33)*100)/Y33</f>
        <v>225.77990285873503</v>
      </c>
      <c r="N33" s="15">
        <v>54885</v>
      </c>
      <c r="O33" s="15">
        <v>64815</v>
      </c>
      <c r="P33" s="28">
        <v>70481</v>
      </c>
      <c r="Q33" s="28">
        <v>75168</v>
      </c>
      <c r="R33" s="28">
        <v>81417</v>
      </c>
      <c r="S33" s="28">
        <v>90709</v>
      </c>
      <c r="T33" s="28">
        <v>94664</v>
      </c>
      <c r="U33" s="28">
        <v>103746</v>
      </c>
      <c r="V33" s="28">
        <v>115699</v>
      </c>
      <c r="W33" s="29">
        <v>127032</v>
      </c>
      <c r="X33" s="15">
        <v>129349</v>
      </c>
      <c r="Y33" s="15">
        <v>130848</v>
      </c>
      <c r="Z33" s="28"/>
      <c r="AA33" s="1">
        <v>375645</v>
      </c>
      <c r="AB33" s="3">
        <v>405889</v>
      </c>
      <c r="AC33" s="3">
        <v>426276.4872925976</v>
      </c>
    </row>
    <row r="34" spans="1:29" ht="12.75">
      <c r="A34" s="1" t="s">
        <v>25</v>
      </c>
      <c r="B34" s="68">
        <v>97786</v>
      </c>
      <c r="C34" s="68">
        <v>104192</v>
      </c>
      <c r="D34" s="1">
        <v>106313</v>
      </c>
      <c r="E34" s="1">
        <v>109626</v>
      </c>
      <c r="F34" s="1">
        <v>113745</v>
      </c>
      <c r="G34" s="1">
        <v>256979</v>
      </c>
      <c r="H34" s="1">
        <v>269371</v>
      </c>
      <c r="I34" s="1">
        <v>283889</v>
      </c>
      <c r="J34" s="1">
        <v>299364</v>
      </c>
      <c r="K34" s="1">
        <v>344282.1023185755</v>
      </c>
      <c r="L34" s="271">
        <f>(K34-J34)*100/J34</f>
        <v>15.004510334768206</v>
      </c>
      <c r="M34" s="280">
        <f>((K34-Y34)*100)/Y34</f>
        <v>269.34591619131834</v>
      </c>
      <c r="N34" s="15">
        <v>49962</v>
      </c>
      <c r="O34" s="15">
        <v>54545</v>
      </c>
      <c r="P34" s="28">
        <v>57503</v>
      </c>
      <c r="Q34" s="28">
        <v>61869</v>
      </c>
      <c r="R34" s="28">
        <v>67568</v>
      </c>
      <c r="S34" s="28">
        <v>70370</v>
      </c>
      <c r="T34" s="28">
        <v>72537</v>
      </c>
      <c r="U34" s="28">
        <v>72582</v>
      </c>
      <c r="V34" s="28">
        <v>76469</v>
      </c>
      <c r="W34" s="29">
        <v>80525</v>
      </c>
      <c r="X34" s="15">
        <v>83909</v>
      </c>
      <c r="Y34" s="15">
        <v>93214</v>
      </c>
      <c r="Z34" s="28"/>
      <c r="AA34" s="1">
        <v>283889</v>
      </c>
      <c r="AB34" s="3">
        <v>299364</v>
      </c>
      <c r="AC34" s="3">
        <v>344282.1023185755</v>
      </c>
    </row>
    <row r="35" spans="2:27" ht="12.75">
      <c r="B35" s="68"/>
      <c r="C35" s="68"/>
      <c r="L35" s="271"/>
      <c r="M35" s="280"/>
      <c r="O35" s="15"/>
      <c r="P35" s="28"/>
      <c r="Q35" s="28"/>
      <c r="R35" s="28"/>
      <c r="S35" s="28"/>
      <c r="T35" s="28"/>
      <c r="U35" s="28"/>
      <c r="V35" s="28"/>
      <c r="W35" s="29"/>
      <c r="X35" s="15"/>
      <c r="Y35" s="38"/>
      <c r="Z35" s="28"/>
      <c r="AA35" s="1"/>
    </row>
    <row r="36" spans="1:29" ht="12.75">
      <c r="A36" s="1" t="s">
        <v>26</v>
      </c>
      <c r="B36" s="68">
        <v>294436</v>
      </c>
      <c r="C36" s="68">
        <v>295389</v>
      </c>
      <c r="D36" s="1">
        <v>304753</v>
      </c>
      <c r="E36" s="1">
        <v>314239</v>
      </c>
      <c r="F36" s="1">
        <v>314828</v>
      </c>
      <c r="G36" s="1">
        <v>853684</v>
      </c>
      <c r="H36" s="1">
        <v>928611</v>
      </c>
      <c r="I36" s="1">
        <v>1036326</v>
      </c>
      <c r="J36" s="1">
        <v>1167859</v>
      </c>
      <c r="K36" s="1">
        <v>1337203.551629747</v>
      </c>
      <c r="L36" s="271">
        <f>(K36-J36)*100/J36</f>
        <v>14.500427845291858</v>
      </c>
      <c r="M36" s="280">
        <f>((K36-Y36)*100)/Y36</f>
        <v>359.25656122766213</v>
      </c>
      <c r="N36" s="15">
        <v>140292</v>
      </c>
      <c r="O36" s="15">
        <v>156972</v>
      </c>
      <c r="P36" s="28">
        <v>170804</v>
      </c>
      <c r="Q36" s="28">
        <v>188025</v>
      </c>
      <c r="R36" s="28">
        <v>208515</v>
      </c>
      <c r="S36" s="28">
        <v>226115</v>
      </c>
      <c r="T36" s="28">
        <v>238038</v>
      </c>
      <c r="U36" s="28">
        <v>260910</v>
      </c>
      <c r="V36" s="28">
        <v>285487</v>
      </c>
      <c r="W36" s="29">
        <v>292527</v>
      </c>
      <c r="X36" s="15">
        <v>290991</v>
      </c>
      <c r="Y36" s="38">
        <v>291167</v>
      </c>
      <c r="Z36" s="28"/>
      <c r="AA36" s="1">
        <v>1036326</v>
      </c>
      <c r="AB36" s="3">
        <v>1167859</v>
      </c>
      <c r="AC36" s="3">
        <v>1337203.551629747</v>
      </c>
    </row>
    <row r="37" spans="1:29" ht="12.75">
      <c r="A37" s="1" t="s">
        <v>27</v>
      </c>
      <c r="B37" s="68">
        <v>130276</v>
      </c>
      <c r="C37" s="68">
        <v>136022</v>
      </c>
      <c r="D37" s="1">
        <v>138932</v>
      </c>
      <c r="E37" s="1">
        <v>145213</v>
      </c>
      <c r="F37" s="1">
        <v>151955</v>
      </c>
      <c r="G37" s="1">
        <v>364627</v>
      </c>
      <c r="H37" s="1">
        <v>368084</v>
      </c>
      <c r="I37" s="1">
        <v>390812</v>
      </c>
      <c r="J37" s="1">
        <v>392641</v>
      </c>
      <c r="K37" s="1">
        <v>417720.4834879146</v>
      </c>
      <c r="L37" s="271">
        <f>(K37-J37)*100/J37</f>
        <v>6.38738274604909</v>
      </c>
      <c r="M37" s="280">
        <f>((K37-Y37)*100)/Y37</f>
        <v>237.1759036290154</v>
      </c>
      <c r="N37" s="15">
        <v>63092</v>
      </c>
      <c r="O37" s="15">
        <v>67275</v>
      </c>
      <c r="P37" s="28">
        <v>72375</v>
      </c>
      <c r="Q37" s="28">
        <v>77529</v>
      </c>
      <c r="R37" s="28">
        <v>84072</v>
      </c>
      <c r="S37" s="28">
        <v>91395</v>
      </c>
      <c r="T37" s="28">
        <v>95492</v>
      </c>
      <c r="U37" s="28">
        <v>104043</v>
      </c>
      <c r="V37" s="28">
        <v>108375</v>
      </c>
      <c r="W37" s="29">
        <v>114170</v>
      </c>
      <c r="X37" s="15">
        <v>119293</v>
      </c>
      <c r="Y37" s="38">
        <v>123888</v>
      </c>
      <c r="Z37" s="28"/>
      <c r="AA37" s="1">
        <v>390812</v>
      </c>
      <c r="AB37" s="3">
        <v>392641</v>
      </c>
      <c r="AC37" s="3">
        <v>417720.4834879146</v>
      </c>
    </row>
    <row r="38" spans="1:29" ht="12.75">
      <c r="A38" s="1" t="s">
        <v>28</v>
      </c>
      <c r="B38" s="68">
        <v>119586</v>
      </c>
      <c r="C38" s="68">
        <v>120400</v>
      </c>
      <c r="D38" s="1">
        <v>121960</v>
      </c>
      <c r="E38" s="1">
        <v>127719</v>
      </c>
      <c r="F38" s="1">
        <v>136170</v>
      </c>
      <c r="G38" s="1">
        <v>295866</v>
      </c>
      <c r="H38" s="1">
        <v>302349</v>
      </c>
      <c r="I38" s="1">
        <v>309102</v>
      </c>
      <c r="J38" s="1">
        <v>326836</v>
      </c>
      <c r="K38" s="1">
        <v>346966.27866774367</v>
      </c>
      <c r="L38" s="271">
        <f>(K38-J38)*100/J38</f>
        <v>6.159137508641541</v>
      </c>
      <c r="M38" s="280">
        <f>((K38-Y38)*100)/Y38</f>
        <v>209.26115825347944</v>
      </c>
      <c r="N38" s="15">
        <v>97937</v>
      </c>
      <c r="O38" s="15">
        <v>70852</v>
      </c>
      <c r="P38" s="28">
        <v>76722</v>
      </c>
      <c r="Q38" s="28">
        <v>82364</v>
      </c>
      <c r="R38" s="28">
        <v>88249</v>
      </c>
      <c r="S38" s="28">
        <v>94278</v>
      </c>
      <c r="T38" s="28">
        <v>96956</v>
      </c>
      <c r="U38" s="28">
        <v>101506</v>
      </c>
      <c r="V38" s="28">
        <v>105468</v>
      </c>
      <c r="W38" s="29">
        <v>108808</v>
      </c>
      <c r="X38" s="15">
        <v>112491</v>
      </c>
      <c r="Y38" s="38">
        <v>112192</v>
      </c>
      <c r="Z38" s="28"/>
      <c r="AA38" s="1">
        <v>309102</v>
      </c>
      <c r="AB38" s="3">
        <v>326836</v>
      </c>
      <c r="AC38" s="3">
        <v>346966.27866774367</v>
      </c>
    </row>
    <row r="39" spans="1:29" ht="12.75">
      <c r="A39" s="18" t="s">
        <v>29</v>
      </c>
      <c r="B39" s="68">
        <v>369990</v>
      </c>
      <c r="C39" s="68">
        <v>374542</v>
      </c>
      <c r="D39" s="1">
        <v>379703</v>
      </c>
      <c r="E39" s="1">
        <v>395871</v>
      </c>
      <c r="F39" s="1">
        <v>414852</v>
      </c>
      <c r="G39" s="1">
        <v>1052418</v>
      </c>
      <c r="H39" s="1">
        <v>1189225</v>
      </c>
      <c r="I39" s="1">
        <v>1296568</v>
      </c>
      <c r="J39" s="1">
        <v>1513237</v>
      </c>
      <c r="K39" s="1">
        <v>1755047.7693714476</v>
      </c>
      <c r="L39" s="271">
        <f>(K39-J39)*100/J39</f>
        <v>15.979702410887894</v>
      </c>
      <c r="M39" s="280">
        <f>((K39-Y39)*100)/Y39</f>
        <v>374.7516803510761</v>
      </c>
      <c r="N39" s="15">
        <v>210562</v>
      </c>
      <c r="O39" s="15">
        <v>249551</v>
      </c>
      <c r="P39" s="28">
        <v>286218</v>
      </c>
      <c r="Q39" s="28">
        <v>321390</v>
      </c>
      <c r="R39" s="28">
        <v>342311</v>
      </c>
      <c r="S39" s="28">
        <v>359743</v>
      </c>
      <c r="T39" s="28">
        <v>360335</v>
      </c>
      <c r="U39" s="28">
        <v>368306</v>
      </c>
      <c r="V39" s="28">
        <v>371050</v>
      </c>
      <c r="W39" s="29">
        <v>387017</v>
      </c>
      <c r="X39" s="25">
        <v>376756</v>
      </c>
      <c r="Y39" s="15">
        <v>369677</v>
      </c>
      <c r="Z39" s="28"/>
      <c r="AA39" s="1">
        <v>1296568</v>
      </c>
      <c r="AB39" s="3">
        <v>1513237</v>
      </c>
      <c r="AC39" s="3">
        <v>1755047.7693714476</v>
      </c>
    </row>
    <row r="40" spans="1:25" ht="12.75">
      <c r="A40" s="1" t="s">
        <v>81</v>
      </c>
      <c r="B40" s="19"/>
      <c r="C40" s="19"/>
      <c r="D40" s="19"/>
      <c r="E40" s="19"/>
      <c r="F40" s="69"/>
      <c r="G40" s="69"/>
      <c r="H40" s="69"/>
      <c r="I40" s="69"/>
      <c r="J40" s="69"/>
      <c r="K40" s="69"/>
      <c r="L40" s="69"/>
      <c r="M40" s="19"/>
      <c r="N40" s="19"/>
      <c r="O40" s="19"/>
      <c r="P40" s="19"/>
      <c r="Q40" s="19"/>
      <c r="Y40" s="19"/>
    </row>
    <row r="41" spans="1:17" ht="12.75">
      <c r="A41" s="1" t="s">
        <v>258</v>
      </c>
      <c r="F41" s="64"/>
      <c r="G41" s="64"/>
      <c r="H41" s="64"/>
      <c r="I41" s="64"/>
      <c r="J41" s="64"/>
      <c r="K41" s="64"/>
      <c r="L41" s="64"/>
      <c r="O41" s="15"/>
      <c r="P41" s="15"/>
      <c r="Q41" s="15"/>
    </row>
    <row r="42" spans="6:17" ht="12.75">
      <c r="F42" s="64"/>
      <c r="G42" s="64"/>
      <c r="H42" s="64"/>
      <c r="I42" s="64"/>
      <c r="J42" s="64"/>
      <c r="K42" s="64"/>
      <c r="L42" s="64"/>
      <c r="O42" s="15"/>
      <c r="P42" s="15"/>
      <c r="Q42" s="15"/>
    </row>
    <row r="43" spans="1:17" ht="12.75">
      <c r="A43" s="7"/>
      <c r="F43" s="64"/>
      <c r="G43" s="64"/>
      <c r="H43" s="64"/>
      <c r="I43" s="64"/>
      <c r="J43" s="64"/>
      <c r="K43" s="64"/>
      <c r="L43" s="64"/>
      <c r="O43" s="15"/>
      <c r="P43" s="15"/>
      <c r="Q43" s="15"/>
    </row>
    <row r="44" spans="6:17" ht="12.75">
      <c r="F44" s="64"/>
      <c r="G44" s="64"/>
      <c r="H44" s="64"/>
      <c r="I44" s="64"/>
      <c r="J44" s="64"/>
      <c r="K44" s="64"/>
      <c r="L44" s="64"/>
      <c r="O44" s="15"/>
      <c r="P44" s="15"/>
      <c r="Q44" s="15"/>
    </row>
    <row r="45" spans="6:17" ht="12.75">
      <c r="F45" s="64"/>
      <c r="G45" s="64"/>
      <c r="H45" s="64"/>
      <c r="I45" s="64"/>
      <c r="J45" s="64"/>
      <c r="K45" s="64"/>
      <c r="L45" s="64"/>
      <c r="O45" s="15"/>
      <c r="P45" s="15"/>
      <c r="Q45" s="15"/>
    </row>
    <row r="46" spans="6:17" ht="12.75">
      <c r="F46" s="64"/>
      <c r="G46" s="64"/>
      <c r="H46" s="64"/>
      <c r="I46" s="64"/>
      <c r="J46" s="64"/>
      <c r="K46" s="64"/>
      <c r="L46" s="64"/>
      <c r="O46" s="15"/>
      <c r="P46" s="15"/>
      <c r="Q46" s="15"/>
    </row>
    <row r="47" spans="6:12" ht="12.75">
      <c r="F47" s="64"/>
      <c r="G47" s="64"/>
      <c r="H47" s="64"/>
      <c r="I47" s="64"/>
      <c r="J47" s="64"/>
      <c r="K47" s="64"/>
      <c r="L47" s="64"/>
    </row>
    <row r="48" spans="6:12" ht="12.75">
      <c r="F48" s="64"/>
      <c r="G48" s="64"/>
      <c r="H48" s="64"/>
      <c r="I48" s="64"/>
      <c r="J48" s="64"/>
      <c r="K48" s="64"/>
      <c r="L48" s="64"/>
    </row>
    <row r="49" spans="6:12" ht="12.75">
      <c r="F49" s="64"/>
      <c r="G49" s="64"/>
      <c r="H49" s="64"/>
      <c r="I49" s="64"/>
      <c r="J49" s="64"/>
      <c r="K49" s="64"/>
      <c r="L49" s="64"/>
    </row>
    <row r="50" spans="6:12" ht="12.75">
      <c r="F50" s="64"/>
      <c r="G50" s="64"/>
      <c r="H50" s="64"/>
      <c r="I50" s="64"/>
      <c r="J50" s="64"/>
      <c r="K50" s="64"/>
      <c r="L50" s="64"/>
    </row>
    <row r="51" spans="6:12" ht="12.75">
      <c r="F51" s="64"/>
      <c r="G51" s="64"/>
      <c r="H51" s="64"/>
      <c r="I51" s="64"/>
      <c r="J51" s="64"/>
      <c r="K51" s="64"/>
      <c r="L51" s="64"/>
    </row>
    <row r="52" spans="6:12" ht="12.75">
      <c r="F52" s="64"/>
      <c r="G52" s="64"/>
      <c r="H52" s="64"/>
      <c r="I52" s="64"/>
      <c r="J52" s="64"/>
      <c r="K52" s="64"/>
      <c r="L52" s="64"/>
    </row>
    <row r="53" spans="6:12" ht="12.75">
      <c r="F53" s="64"/>
      <c r="G53" s="64"/>
      <c r="H53" s="64"/>
      <c r="I53" s="64"/>
      <c r="J53" s="64"/>
      <c r="K53" s="64"/>
      <c r="L53" s="64"/>
    </row>
    <row r="54" spans="6:12" ht="12.75">
      <c r="F54" s="64"/>
      <c r="G54" s="64"/>
      <c r="H54" s="64"/>
      <c r="I54" s="64"/>
      <c r="J54" s="64"/>
      <c r="K54" s="64"/>
      <c r="L54" s="64"/>
    </row>
    <row r="55" spans="6:12" ht="12.75">
      <c r="F55" s="64"/>
      <c r="G55" s="64"/>
      <c r="H55" s="64"/>
      <c r="I55" s="64"/>
      <c r="J55" s="64"/>
      <c r="K55" s="64"/>
      <c r="L55" s="64"/>
    </row>
    <row r="56" spans="6:12" ht="12.75">
      <c r="F56" s="64"/>
      <c r="G56" s="64"/>
      <c r="H56" s="64"/>
      <c r="I56" s="64"/>
      <c r="J56" s="64"/>
      <c r="K56" s="64"/>
      <c r="L56" s="64"/>
    </row>
    <row r="57" spans="6:12" ht="12.75">
      <c r="F57" s="64"/>
      <c r="G57" s="64"/>
      <c r="H57" s="64"/>
      <c r="I57" s="64"/>
      <c r="J57" s="64"/>
      <c r="K57" s="64"/>
      <c r="L57" s="64"/>
    </row>
    <row r="58" spans="6:12" ht="12.75">
      <c r="F58" s="64"/>
      <c r="G58" s="64"/>
      <c r="H58" s="64"/>
      <c r="I58" s="64"/>
      <c r="J58" s="64"/>
      <c r="K58" s="64"/>
      <c r="L58" s="64"/>
    </row>
    <row r="59" spans="6:12" ht="12.75">
      <c r="F59" s="64"/>
      <c r="G59" s="64"/>
      <c r="H59" s="64"/>
      <c r="I59" s="64"/>
      <c r="J59" s="64"/>
      <c r="K59" s="64"/>
      <c r="L59" s="64"/>
    </row>
    <row r="60" spans="6:12" ht="12.75">
      <c r="F60" s="64"/>
      <c r="G60" s="64"/>
      <c r="H60" s="64"/>
      <c r="I60" s="64"/>
      <c r="J60" s="64"/>
      <c r="K60" s="64"/>
      <c r="L60" s="64"/>
    </row>
    <row r="61" spans="6:12" ht="12.75">
      <c r="F61" s="64"/>
      <c r="G61" s="64"/>
      <c r="H61" s="64"/>
      <c r="I61" s="64"/>
      <c r="J61" s="64"/>
      <c r="K61" s="64"/>
      <c r="L61" s="64"/>
    </row>
    <row r="62" spans="6:12" ht="12.75">
      <c r="F62" s="64"/>
      <c r="G62" s="64"/>
      <c r="H62" s="64"/>
      <c r="I62" s="64"/>
      <c r="J62" s="64"/>
      <c r="K62" s="64"/>
      <c r="L62" s="64"/>
    </row>
    <row r="63" spans="6:12" ht="12.75">
      <c r="F63" s="64"/>
      <c r="G63" s="64"/>
      <c r="H63" s="64"/>
      <c r="I63" s="64"/>
      <c r="J63" s="64"/>
      <c r="K63" s="64"/>
      <c r="L63" s="64"/>
    </row>
    <row r="64" spans="6:12" ht="12.75">
      <c r="F64" s="64"/>
      <c r="G64" s="64"/>
      <c r="H64" s="64"/>
      <c r="I64" s="64"/>
      <c r="J64" s="64"/>
      <c r="K64" s="64"/>
      <c r="L64" s="64"/>
    </row>
    <row r="65" spans="6:12" ht="12.75">
      <c r="F65" s="64"/>
      <c r="G65" s="64"/>
      <c r="H65" s="64"/>
      <c r="I65" s="64"/>
      <c r="J65" s="64"/>
      <c r="K65" s="64"/>
      <c r="L65" s="64"/>
    </row>
    <row r="66" spans="6:12" ht="12.75">
      <c r="F66" s="64"/>
      <c r="G66" s="64"/>
      <c r="H66" s="64"/>
      <c r="I66" s="64"/>
      <c r="J66" s="64"/>
      <c r="K66" s="64"/>
      <c r="L66" s="64"/>
    </row>
    <row r="67" spans="6:12" ht="12.75">
      <c r="F67" s="64"/>
      <c r="G67" s="64"/>
      <c r="H67" s="64"/>
      <c r="I67" s="64"/>
      <c r="J67" s="64"/>
      <c r="K67" s="64"/>
      <c r="L67" s="64"/>
    </row>
  </sheetData>
  <sheetProtection password="CAF5" sheet="1" objects="1" scenarios="1"/>
  <mergeCells count="1">
    <mergeCell ref="J6:J8"/>
  </mergeCells>
  <printOptions/>
  <pageMargins left="0.59" right="0.52" top="1" bottom="0.95" header="0.5" footer="0.5"/>
  <pageSetup fitToHeight="1" fitToWidth="1" orientation="landscape" scale="77" r:id="rId1"/>
  <headerFooter alignWithMargins="0">
    <oddFooter>&amp;L&amp;"Lucida Sans,Italic"&amp;10MSDE-DBS  12 / 2007&amp;C- 18 -&amp;R&amp;"Lucida Sans,Italic"&amp;10Selected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tabSelected="1" workbookViewId="0" topLeftCell="S1">
      <selection activeCell="AE16" sqref="AE16"/>
    </sheetView>
  </sheetViews>
  <sheetFormatPr defaultColWidth="9.00390625" defaultRowHeight="15.75"/>
  <cols>
    <col min="1" max="1" width="12.50390625" style="142" bestFit="1" customWidth="1"/>
    <col min="2" max="11" width="12.625" style="142" customWidth="1"/>
    <col min="12" max="13" width="6.625" style="142" customWidth="1"/>
    <col min="14" max="14" width="10.125" style="141" customWidth="1"/>
    <col min="15" max="15" width="10.125" style="142" customWidth="1"/>
    <col min="16" max="16" width="10.875" style="217" bestFit="1" customWidth="1"/>
    <col min="17" max="17" width="10.875" style="217" customWidth="1"/>
    <col min="18" max="18" width="12.625" style="142" customWidth="1"/>
    <col min="19" max="19" width="10.875" style="217" customWidth="1"/>
    <col min="20" max="20" width="10.125" style="142" bestFit="1" customWidth="1"/>
    <col min="21" max="21" width="4.00390625" style="142" customWidth="1"/>
    <col min="22" max="22" width="11.00390625" style="142" customWidth="1"/>
    <col min="23" max="23" width="2.75390625" style="142" customWidth="1"/>
    <col min="24" max="25" width="8.00390625" style="142" customWidth="1"/>
    <col min="26" max="26" width="10.00390625" style="142" customWidth="1"/>
    <col min="27" max="27" width="8.00390625" style="142" customWidth="1"/>
    <col min="28" max="28" width="9.75390625" style="142" customWidth="1"/>
    <col min="29" max="16384" width="8.00390625" style="142" customWidth="1"/>
  </cols>
  <sheetData>
    <row r="1" spans="1:18" ht="12.75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O1" s="140"/>
      <c r="R1" s="140"/>
    </row>
    <row r="2" spans="1:18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O2" s="140"/>
      <c r="R2" s="140"/>
    </row>
    <row r="3" spans="1:18" ht="12.75">
      <c r="A3" s="269" t="s">
        <v>259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O3" s="141"/>
      <c r="R3" s="240"/>
    </row>
    <row r="4" spans="1:18" ht="12.75">
      <c r="A4" s="140" t="s">
        <v>215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267"/>
      <c r="O4" s="266"/>
      <c r="P4" s="268"/>
      <c r="R4" s="266"/>
    </row>
    <row r="5" spans="1:18" ht="13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O5" s="140"/>
      <c r="R5" s="140"/>
    </row>
    <row r="6" spans="1:28" ht="13.5" thickTop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41" t="s">
        <v>169</v>
      </c>
      <c r="V6" s="142" t="s">
        <v>169</v>
      </c>
      <c r="X6" s="142" t="s">
        <v>169</v>
      </c>
      <c r="Z6" s="142" t="s">
        <v>169</v>
      </c>
      <c r="AB6" s="142" t="s">
        <v>169</v>
      </c>
    </row>
    <row r="7" spans="1:28" ht="12.75">
      <c r="A7" s="144"/>
      <c r="B7" s="144"/>
      <c r="C7" s="144"/>
      <c r="D7" s="141"/>
      <c r="E7" s="145"/>
      <c r="F7" s="145"/>
      <c r="G7" s="141"/>
      <c r="H7" s="141"/>
      <c r="I7" s="141"/>
      <c r="J7" s="141"/>
      <c r="K7" s="141"/>
      <c r="L7" s="146" t="s">
        <v>34</v>
      </c>
      <c r="M7" s="146"/>
      <c r="N7" s="144"/>
      <c r="O7" s="144"/>
      <c r="P7" s="144"/>
      <c r="Q7" s="144"/>
      <c r="R7" s="144"/>
      <c r="S7" s="144"/>
      <c r="T7" s="187" t="s">
        <v>91</v>
      </c>
      <c r="V7" s="142" t="s">
        <v>91</v>
      </c>
      <c r="X7" s="142" t="s">
        <v>91</v>
      </c>
      <c r="Z7" s="142" t="s">
        <v>91</v>
      </c>
      <c r="AB7" s="142" t="s">
        <v>91</v>
      </c>
    </row>
    <row r="8" spans="1:28" ht="12.75">
      <c r="A8" s="144"/>
      <c r="B8" s="144"/>
      <c r="C8" s="144"/>
      <c r="D8" s="144"/>
      <c r="E8" s="147"/>
      <c r="F8" s="147"/>
      <c r="G8" s="144"/>
      <c r="H8" s="144"/>
      <c r="I8" s="144"/>
      <c r="J8" s="144"/>
      <c r="K8" s="144"/>
      <c r="L8" s="148" t="s">
        <v>87</v>
      </c>
      <c r="M8" s="148" t="s">
        <v>88</v>
      </c>
      <c r="N8" s="144"/>
      <c r="O8" s="144"/>
      <c r="P8" s="144"/>
      <c r="Q8" s="144"/>
      <c r="R8" s="144"/>
      <c r="S8" s="144"/>
      <c r="T8" s="187" t="s">
        <v>167</v>
      </c>
      <c r="V8" s="142" t="s">
        <v>167</v>
      </c>
      <c r="X8" s="142" t="s">
        <v>167</v>
      </c>
      <c r="Z8" s="142" t="s">
        <v>167</v>
      </c>
      <c r="AB8" s="142" t="s">
        <v>167</v>
      </c>
    </row>
    <row r="9" spans="1:28" ht="13.5" thickBot="1">
      <c r="A9" s="149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151" t="s">
        <v>86</v>
      </c>
      <c r="M9" s="151" t="s">
        <v>86</v>
      </c>
      <c r="N9" s="150" t="s">
        <v>4</v>
      </c>
      <c r="O9" s="150" t="s">
        <v>41</v>
      </c>
      <c r="P9" s="36" t="s">
        <v>181</v>
      </c>
      <c r="Q9" s="36" t="s">
        <v>182</v>
      </c>
      <c r="R9" s="36" t="s">
        <v>183</v>
      </c>
      <c r="S9" s="36"/>
      <c r="T9" s="150" t="s">
        <v>168</v>
      </c>
      <c r="V9" s="141" t="s">
        <v>180</v>
      </c>
      <c r="X9" s="141" t="s">
        <v>194</v>
      </c>
      <c r="Z9" s="141" t="s">
        <v>212</v>
      </c>
      <c r="AB9" s="141" t="s">
        <v>230</v>
      </c>
    </row>
    <row r="10" spans="1:28" ht="15.75">
      <c r="A10" s="144" t="s">
        <v>5</v>
      </c>
      <c r="B10" s="152">
        <f aca="true" t="shared" si="0" ref="B10:H10">SUM(B12:B39)</f>
        <v>781870.7999999999</v>
      </c>
      <c r="C10" s="152">
        <f t="shared" si="0"/>
        <v>795028.6</v>
      </c>
      <c r="D10" s="152">
        <f t="shared" si="0"/>
        <v>806171.6000000001</v>
      </c>
      <c r="E10" s="152">
        <f t="shared" si="0"/>
        <v>812492.1999999997</v>
      </c>
      <c r="F10" s="152">
        <f t="shared" si="0"/>
        <v>822816.8000000002</v>
      </c>
      <c r="G10" s="198">
        <v>831248.9</v>
      </c>
      <c r="H10" s="152">
        <f t="shared" si="0"/>
        <v>842556.7999999999</v>
      </c>
      <c r="I10" s="152">
        <v>841945.078460177</v>
      </c>
      <c r="J10" s="152">
        <v>838631.516513867</v>
      </c>
      <c r="K10" s="152">
        <v>841180.188941391</v>
      </c>
      <c r="L10" s="284">
        <f>(K10-J10)*100/J10</f>
        <v>0.3039084958455475</v>
      </c>
      <c r="M10" s="284">
        <f>(K10-R10)*100/R10</f>
        <v>9.50544330393863</v>
      </c>
      <c r="N10" s="152">
        <f>SUM(N12:N39)</f>
        <v>702042.2000000001</v>
      </c>
      <c r="O10" s="152">
        <f>SUM(O12:O39)</f>
        <v>715887.7999999999</v>
      </c>
      <c r="P10" s="152">
        <f>SUM(P12:P39)</f>
        <v>733363.2999999998</v>
      </c>
      <c r="Q10" s="152">
        <f>SUM(Q12:Q39)</f>
        <v>750480.4000000001</v>
      </c>
      <c r="R10" s="152">
        <f>SUM(R12:R39)</f>
        <v>768162.9000000001</v>
      </c>
      <c r="S10" s="152"/>
      <c r="T10" s="182">
        <v>831248.9</v>
      </c>
      <c r="V10" s="192">
        <v>842556.5</v>
      </c>
      <c r="X10" s="142">
        <v>841945.078460177</v>
      </c>
      <c r="Z10" s="142">
        <v>838631.516513867</v>
      </c>
      <c r="AB10" s="142">
        <v>841180.188941391</v>
      </c>
    </row>
    <row r="11" spans="1:22" ht="15.75">
      <c r="A11" s="141"/>
      <c r="B11" s="145"/>
      <c r="C11" s="145"/>
      <c r="D11" s="145"/>
      <c r="E11" s="145"/>
      <c r="F11" s="145"/>
      <c r="G11" s="183"/>
      <c r="H11" s="183"/>
      <c r="I11" s="183"/>
      <c r="J11" s="183"/>
      <c r="K11" s="183"/>
      <c r="L11" s="145"/>
      <c r="M11" s="153"/>
      <c r="N11" s="145"/>
      <c r="O11" s="145"/>
      <c r="P11" s="145"/>
      <c r="Q11" s="145"/>
      <c r="R11" s="153"/>
      <c r="S11" s="145"/>
      <c r="T11" s="183"/>
      <c r="V11" s="192"/>
    </row>
    <row r="12" spans="1:28" ht="12.75">
      <c r="A12" s="141" t="s">
        <v>6</v>
      </c>
      <c r="B12" s="152">
        <v>10862.2</v>
      </c>
      <c r="C12" s="152">
        <v>10953.9</v>
      </c>
      <c r="D12" s="157">
        <v>10824.2</v>
      </c>
      <c r="E12" s="157">
        <v>10544.9</v>
      </c>
      <c r="F12" s="158">
        <v>10273.6</v>
      </c>
      <c r="G12" s="184">
        <v>10052.6</v>
      </c>
      <c r="H12" s="184">
        <v>9977.7</v>
      </c>
      <c r="I12" s="184">
        <v>9716.57001630216</v>
      </c>
      <c r="J12" s="184">
        <v>9596.45</v>
      </c>
      <c r="K12" s="184">
        <v>9471.1</v>
      </c>
      <c r="L12" s="284">
        <f>(K12-J12)*100/J12</f>
        <v>-1.3062121930505588</v>
      </c>
      <c r="M12" s="284">
        <f>(K12-R12)*100/R12</f>
        <v>-12.435166094988027</v>
      </c>
      <c r="N12" s="154">
        <v>10663.2</v>
      </c>
      <c r="O12" s="154">
        <v>10675.1</v>
      </c>
      <c r="P12" s="155">
        <v>10709.7</v>
      </c>
      <c r="Q12" s="156">
        <v>10774.7</v>
      </c>
      <c r="R12" s="157">
        <v>10816.1</v>
      </c>
      <c r="S12" s="155"/>
      <c r="T12" s="184">
        <v>10052.6</v>
      </c>
      <c r="V12" s="192">
        <v>9977.7</v>
      </c>
      <c r="X12" s="142">
        <v>9716.57001630216</v>
      </c>
      <c r="Z12" s="142">
        <v>9596.45</v>
      </c>
      <c r="AB12" s="142">
        <v>9471.1</v>
      </c>
    </row>
    <row r="13" spans="1:28" ht="12.75">
      <c r="A13" s="141" t="s">
        <v>7</v>
      </c>
      <c r="B13" s="152">
        <v>68691.1</v>
      </c>
      <c r="C13" s="152">
        <v>69714.1</v>
      </c>
      <c r="D13" s="157">
        <v>70275</v>
      </c>
      <c r="E13" s="157">
        <v>71026.6</v>
      </c>
      <c r="F13" s="160">
        <v>71004</v>
      </c>
      <c r="G13" s="185">
        <v>71606.1</v>
      </c>
      <c r="H13" s="185">
        <v>71451.5</v>
      </c>
      <c r="I13" s="185">
        <v>71495.843019129</v>
      </c>
      <c r="J13" s="185">
        <v>71452.6194128582</v>
      </c>
      <c r="K13" s="185">
        <v>72118.8568363547</v>
      </c>
      <c r="L13" s="284">
        <f>(K13-J13)*100/J13</f>
        <v>0.9324184739077644</v>
      </c>
      <c r="M13" s="284">
        <f>(K13-R13)*100/R13</f>
        <v>6.9389166796729675</v>
      </c>
      <c r="N13" s="154">
        <v>63850.2</v>
      </c>
      <c r="O13" s="154">
        <v>63586</v>
      </c>
      <c r="P13" s="155">
        <v>64803.7</v>
      </c>
      <c r="Q13" s="159">
        <v>65794.6</v>
      </c>
      <c r="R13" s="157">
        <v>67439.3</v>
      </c>
      <c r="S13" s="155"/>
      <c r="T13" s="185">
        <v>71606.1</v>
      </c>
      <c r="V13" s="192">
        <v>71451.5</v>
      </c>
      <c r="X13" s="142">
        <v>71495.843019129</v>
      </c>
      <c r="Z13" s="142">
        <v>71452.6194128582</v>
      </c>
      <c r="AB13" s="142">
        <v>72118.8568363547</v>
      </c>
    </row>
    <row r="14" spans="1:28" ht="12.75">
      <c r="A14" s="141" t="s">
        <v>8</v>
      </c>
      <c r="B14" s="152">
        <v>103480.3</v>
      </c>
      <c r="C14" s="152">
        <v>102446.4</v>
      </c>
      <c r="D14" s="157">
        <v>101185.7</v>
      </c>
      <c r="E14" s="157">
        <v>97223.5</v>
      </c>
      <c r="F14" s="160">
        <v>96033</v>
      </c>
      <c r="G14" s="185">
        <v>94313.3</v>
      </c>
      <c r="H14" s="185">
        <v>93443.9</v>
      </c>
      <c r="I14" s="185">
        <v>90098.3946505677</v>
      </c>
      <c r="J14" s="185">
        <v>86942.1281734635</v>
      </c>
      <c r="K14" s="185">
        <v>83549.35</v>
      </c>
      <c r="L14" s="284">
        <f>(K14-J14)*100/J14</f>
        <v>-3.9023408383728024</v>
      </c>
      <c r="M14" s="284">
        <f>(K14-R14)*100/R14</f>
        <v>-20.032705011705648</v>
      </c>
      <c r="N14" s="154">
        <v>104927</v>
      </c>
      <c r="O14" s="154">
        <v>105051.8</v>
      </c>
      <c r="P14" s="155">
        <v>106611.1</v>
      </c>
      <c r="Q14" s="159">
        <v>105815.3</v>
      </c>
      <c r="R14" s="157">
        <v>104479.4</v>
      </c>
      <c r="S14" s="155"/>
      <c r="T14" s="185">
        <v>94313.3</v>
      </c>
      <c r="V14" s="192">
        <v>93443.9</v>
      </c>
      <c r="X14" s="142">
        <v>90098.3946505677</v>
      </c>
      <c r="Z14" s="142">
        <v>86942.1281734635</v>
      </c>
      <c r="AB14" s="142">
        <v>83549.35</v>
      </c>
    </row>
    <row r="15" spans="1:28" ht="12.75">
      <c r="A15" s="141" t="s">
        <v>9</v>
      </c>
      <c r="B15" s="152">
        <v>99833.5</v>
      </c>
      <c r="C15" s="152">
        <v>100698.3</v>
      </c>
      <c r="D15" s="157">
        <v>102424.7</v>
      </c>
      <c r="E15" s="157">
        <v>103213.9</v>
      </c>
      <c r="F15" s="158">
        <v>103834.1</v>
      </c>
      <c r="G15" s="184">
        <v>104614.2</v>
      </c>
      <c r="H15" s="184">
        <v>105422.7</v>
      </c>
      <c r="I15" s="184">
        <v>105442.265812449</v>
      </c>
      <c r="J15" s="184">
        <v>104854.783740291</v>
      </c>
      <c r="K15" s="184">
        <v>104575.010855081</v>
      </c>
      <c r="L15" s="284">
        <f>(K15-J15)*100/J15</f>
        <v>-0.26681938127205634</v>
      </c>
      <c r="M15" s="284">
        <f>(K15-R15)*100/R15</f>
        <v>6.759524240081541</v>
      </c>
      <c r="N15" s="154">
        <v>84341.3</v>
      </c>
      <c r="O15" s="154">
        <v>88822.8</v>
      </c>
      <c r="P15" s="155">
        <v>90715</v>
      </c>
      <c r="Q15" s="159">
        <v>94952.3</v>
      </c>
      <c r="R15" s="157">
        <v>97953.8</v>
      </c>
      <c r="S15" s="155"/>
      <c r="T15" s="184">
        <v>104614.2</v>
      </c>
      <c r="V15" s="192">
        <v>105422.7</v>
      </c>
      <c r="X15" s="142">
        <v>105442.265812449</v>
      </c>
      <c r="Z15" s="142">
        <v>104854.783740291</v>
      </c>
      <c r="AB15" s="142">
        <v>104575.010855081</v>
      </c>
    </row>
    <row r="16" spans="1:28" ht="12.75">
      <c r="A16" s="141" t="s">
        <v>10</v>
      </c>
      <c r="B16" s="152">
        <v>13582.3</v>
      </c>
      <c r="C16" s="152">
        <v>14112.4</v>
      </c>
      <c r="D16" s="157">
        <v>14604.8</v>
      </c>
      <c r="E16" s="157">
        <v>15151.8</v>
      </c>
      <c r="F16" s="158">
        <v>15585.8</v>
      </c>
      <c r="G16" s="184">
        <v>15698.7</v>
      </c>
      <c r="H16" s="184">
        <v>16067.7</v>
      </c>
      <c r="I16" s="184">
        <v>16335.1373104447</v>
      </c>
      <c r="J16" s="184">
        <v>16429.840469743</v>
      </c>
      <c r="K16" s="184">
        <v>16863.2811101043</v>
      </c>
      <c r="L16" s="284">
        <f>(K16-J16)*100/J16</f>
        <v>2.638130547642982</v>
      </c>
      <c r="M16" s="284">
        <f>(K16-R16)*100/R16</f>
        <v>32.35964922965583</v>
      </c>
      <c r="N16" s="154">
        <v>10462.7</v>
      </c>
      <c r="O16" s="154">
        <v>11256.8</v>
      </c>
      <c r="P16" s="155">
        <v>11592.3</v>
      </c>
      <c r="Q16" s="159">
        <v>12137.6</v>
      </c>
      <c r="R16" s="157">
        <v>12740.5</v>
      </c>
      <c r="S16" s="155"/>
      <c r="T16" s="184">
        <v>15698.7</v>
      </c>
      <c r="V16" s="192">
        <v>16067.7</v>
      </c>
      <c r="X16" s="142">
        <v>16335.1373104447</v>
      </c>
      <c r="Z16" s="142">
        <v>16429.840469743</v>
      </c>
      <c r="AB16" s="142">
        <v>16863.2811101043</v>
      </c>
    </row>
    <row r="17" spans="1:22" ht="12.75">
      <c r="A17" s="141"/>
      <c r="B17" s="152"/>
      <c r="C17" s="152"/>
      <c r="D17" s="157"/>
      <c r="E17" s="157"/>
      <c r="F17" s="158"/>
      <c r="G17" s="184"/>
      <c r="H17" s="184"/>
      <c r="I17" s="184"/>
      <c r="J17" s="184"/>
      <c r="K17" s="184"/>
      <c r="L17" s="284"/>
      <c r="M17" s="284"/>
      <c r="N17" s="154"/>
      <c r="O17" s="154"/>
      <c r="P17" s="161"/>
      <c r="Q17" s="159"/>
      <c r="R17" s="157"/>
      <c r="S17" s="161"/>
      <c r="T17" s="184"/>
      <c r="V17" s="192"/>
    </row>
    <row r="18" spans="1:28" ht="12.75">
      <c r="A18" s="141" t="s">
        <v>11</v>
      </c>
      <c r="B18" s="152">
        <v>5457.6</v>
      </c>
      <c r="C18" s="152">
        <v>5518.5</v>
      </c>
      <c r="D18" s="157">
        <v>5529.8</v>
      </c>
      <c r="E18" s="157">
        <v>5469.9</v>
      </c>
      <c r="F18" s="158">
        <v>5419.8</v>
      </c>
      <c r="G18" s="184">
        <v>5438.7</v>
      </c>
      <c r="H18" s="184">
        <v>5393</v>
      </c>
      <c r="I18" s="184">
        <v>5281.65</v>
      </c>
      <c r="J18" s="184">
        <v>5302.43900414938</v>
      </c>
      <c r="K18" s="184">
        <v>5419.85</v>
      </c>
      <c r="L18" s="284">
        <f>(K18-J18)*100/J18</f>
        <v>2.2142828188828116</v>
      </c>
      <c r="M18" s="284">
        <f>(K18-R18)*100/R18</f>
        <v>-0.815277066100565</v>
      </c>
      <c r="N18" s="154">
        <v>4866.5</v>
      </c>
      <c r="O18" s="154">
        <v>4967.4</v>
      </c>
      <c r="P18" s="155">
        <v>5105.8</v>
      </c>
      <c r="Q18" s="159">
        <v>5278.1</v>
      </c>
      <c r="R18" s="157">
        <v>5464.4</v>
      </c>
      <c r="S18" s="155"/>
      <c r="T18" s="184">
        <v>5438.7</v>
      </c>
      <c r="V18" s="192">
        <v>5393</v>
      </c>
      <c r="X18" s="142">
        <v>5281.65</v>
      </c>
      <c r="Z18" s="142">
        <v>5302.43900414938</v>
      </c>
      <c r="AB18" s="142">
        <v>5419.85</v>
      </c>
    </row>
    <row r="19" spans="1:28" ht="12.75">
      <c r="A19" s="141" t="s">
        <v>12</v>
      </c>
      <c r="B19" s="152">
        <v>25125.9</v>
      </c>
      <c r="C19" s="152">
        <v>25761.4</v>
      </c>
      <c r="D19" s="157">
        <v>26141</v>
      </c>
      <c r="E19" s="157">
        <v>26404</v>
      </c>
      <c r="F19" s="158">
        <v>26519.8</v>
      </c>
      <c r="G19" s="184">
        <v>27028.3</v>
      </c>
      <c r="H19" s="184">
        <v>27369.2</v>
      </c>
      <c r="I19" s="184">
        <v>27671.2132953958</v>
      </c>
      <c r="J19" s="184">
        <v>27710.2918611269</v>
      </c>
      <c r="K19" s="184">
        <v>28272.9199734748</v>
      </c>
      <c r="L19" s="284">
        <f>(K19-J19)*100/J19</f>
        <v>2.0303940325405794</v>
      </c>
      <c r="M19" s="284">
        <f>(K19-R19)*100/R19</f>
        <v>16.555235265034987</v>
      </c>
      <c r="N19" s="154">
        <v>21440.2</v>
      </c>
      <c r="O19" s="154">
        <v>22079.1</v>
      </c>
      <c r="P19" s="155">
        <v>22627.3</v>
      </c>
      <c r="Q19" s="159">
        <v>23355.3</v>
      </c>
      <c r="R19" s="157">
        <v>24257.1</v>
      </c>
      <c r="S19" s="155"/>
      <c r="T19" s="184">
        <v>27028.3</v>
      </c>
      <c r="V19" s="192">
        <v>27369.2</v>
      </c>
      <c r="X19" s="142">
        <v>27671.2132953958</v>
      </c>
      <c r="Z19" s="142">
        <v>27710.2918611269</v>
      </c>
      <c r="AB19" s="142">
        <v>28272.9199734748</v>
      </c>
    </row>
    <row r="20" spans="1:28" ht="12.75">
      <c r="A20" s="141" t="s">
        <v>13</v>
      </c>
      <c r="B20" s="152">
        <v>14049</v>
      </c>
      <c r="C20" s="152">
        <v>14429</v>
      </c>
      <c r="D20" s="157">
        <v>14628</v>
      </c>
      <c r="E20" s="157">
        <v>14824.7</v>
      </c>
      <c r="F20" s="158">
        <v>15060.6</v>
      </c>
      <c r="G20" s="184">
        <v>15271.1</v>
      </c>
      <c r="H20" s="184">
        <v>15502.2</v>
      </c>
      <c r="I20" s="184">
        <v>15605.45</v>
      </c>
      <c r="J20" s="184">
        <v>15799.9361256545</v>
      </c>
      <c r="K20" s="184">
        <v>15888.5088290216</v>
      </c>
      <c r="L20" s="284">
        <f>(K20-J20)*100/J20</f>
        <v>0.5605889964535026</v>
      </c>
      <c r="M20" s="284">
        <f>(K20-R20)*100/R20</f>
        <v>15.820653066886326</v>
      </c>
      <c r="N20" s="154">
        <v>12492</v>
      </c>
      <c r="O20" s="154">
        <v>12764.8</v>
      </c>
      <c r="P20" s="155">
        <v>13018.1</v>
      </c>
      <c r="Q20" s="159">
        <v>13427</v>
      </c>
      <c r="R20" s="157">
        <v>13718.2</v>
      </c>
      <c r="S20" s="155"/>
      <c r="T20" s="184">
        <v>15271.1</v>
      </c>
      <c r="V20" s="192">
        <v>15502.2</v>
      </c>
      <c r="X20" s="142">
        <v>15605.45</v>
      </c>
      <c r="Z20" s="142">
        <v>15799.9361256545</v>
      </c>
      <c r="AB20" s="142">
        <v>15888.5088290216</v>
      </c>
    </row>
    <row r="21" spans="1:28" ht="12.75">
      <c r="A21" s="141" t="s">
        <v>14</v>
      </c>
      <c r="B21" s="152">
        <v>19752.9</v>
      </c>
      <c r="C21" s="152">
        <v>20787</v>
      </c>
      <c r="D21" s="157">
        <v>21433.1</v>
      </c>
      <c r="E21" s="157">
        <v>21916.9</v>
      </c>
      <c r="F21" s="158">
        <v>22539.4</v>
      </c>
      <c r="G21" s="184">
        <v>23133.8</v>
      </c>
      <c r="H21" s="184">
        <v>23818.5</v>
      </c>
      <c r="I21" s="184">
        <v>24703.7755403458</v>
      </c>
      <c r="J21" s="184">
        <v>25126.1377769836</v>
      </c>
      <c r="K21" s="184">
        <v>25965.334555247</v>
      </c>
      <c r="L21" s="284">
        <f>(K21-J21)*100/J21</f>
        <v>3.3399354318280112</v>
      </c>
      <c r="M21" s="284">
        <f>(K21-R21)*100/R21</f>
        <v>30.339558940666517</v>
      </c>
      <c r="N21" s="154">
        <v>18271.3</v>
      </c>
      <c r="O21" s="154">
        <v>18678.4</v>
      </c>
      <c r="P21" s="155">
        <v>19315.2</v>
      </c>
      <c r="Q21" s="159">
        <v>19569.9</v>
      </c>
      <c r="R21" s="157">
        <v>19921.3</v>
      </c>
      <c r="S21" s="155"/>
      <c r="T21" s="184">
        <v>23133.8</v>
      </c>
      <c r="V21" s="192">
        <v>23818.5</v>
      </c>
      <c r="X21" s="142">
        <v>24703.7755403458</v>
      </c>
      <c r="Z21" s="142">
        <v>25126.1377769836</v>
      </c>
      <c r="AB21" s="142">
        <v>25965.334555247</v>
      </c>
    </row>
    <row r="22" spans="1:28" ht="12.75">
      <c r="A22" s="141" t="s">
        <v>15</v>
      </c>
      <c r="B22" s="152">
        <v>4889.4</v>
      </c>
      <c r="C22" s="152">
        <v>4882.6</v>
      </c>
      <c r="D22" s="157">
        <v>4864.4</v>
      </c>
      <c r="E22" s="157">
        <v>4795.3</v>
      </c>
      <c r="F22" s="158">
        <v>4664.9</v>
      </c>
      <c r="G22" s="184">
        <v>4610.4</v>
      </c>
      <c r="H22" s="184">
        <v>4564</v>
      </c>
      <c r="I22" s="184">
        <v>4567.71288461538</v>
      </c>
      <c r="J22" s="184">
        <v>4605.15</v>
      </c>
      <c r="K22" s="184">
        <v>4234.15</v>
      </c>
      <c r="L22" s="284">
        <f>(K22-J22)*100/J22</f>
        <v>-8.056197952292543</v>
      </c>
      <c r="M22" s="284">
        <f>(K22-R22)*100/R22</f>
        <v>-13.220404984423679</v>
      </c>
      <c r="N22" s="154">
        <v>4673.8</v>
      </c>
      <c r="O22" s="154">
        <v>4759.1</v>
      </c>
      <c r="P22" s="155">
        <v>4811.6</v>
      </c>
      <c r="Q22" s="159">
        <v>4820.9</v>
      </c>
      <c r="R22" s="157">
        <v>4879.2</v>
      </c>
      <c r="S22" s="155"/>
      <c r="T22" s="184">
        <v>4610.4</v>
      </c>
      <c r="V22" s="192">
        <v>4564</v>
      </c>
      <c r="X22" s="142">
        <v>4567.71288461538</v>
      </c>
      <c r="Z22" s="142">
        <v>4605.15</v>
      </c>
      <c r="AB22" s="142">
        <v>4234.15</v>
      </c>
    </row>
    <row r="23" spans="1:22" ht="12.75">
      <c r="A23" s="141"/>
      <c r="B23" s="152"/>
      <c r="C23" s="152"/>
      <c r="D23" s="157"/>
      <c r="E23" s="157"/>
      <c r="F23" s="158"/>
      <c r="G23" s="184"/>
      <c r="H23" s="184"/>
      <c r="I23" s="184"/>
      <c r="J23" s="184"/>
      <c r="K23" s="184"/>
      <c r="L23" s="284"/>
      <c r="M23" s="284"/>
      <c r="N23" s="154"/>
      <c r="O23" s="154"/>
      <c r="P23" s="161"/>
      <c r="Q23" s="159"/>
      <c r="R23" s="157"/>
      <c r="S23" s="161"/>
      <c r="T23" s="184"/>
      <c r="V23" s="192"/>
    </row>
    <row r="24" spans="1:28" ht="12.75">
      <c r="A24" s="141" t="s">
        <v>16</v>
      </c>
      <c r="B24" s="152">
        <v>32237.1</v>
      </c>
      <c r="C24" s="152">
        <v>33030.2</v>
      </c>
      <c r="D24" s="157">
        <v>33776.7</v>
      </c>
      <c r="E24" s="157">
        <v>34456.9</v>
      </c>
      <c r="F24" s="158">
        <v>35288.1</v>
      </c>
      <c r="G24" s="184">
        <v>36733.2</v>
      </c>
      <c r="H24" s="184">
        <v>36843.7</v>
      </c>
      <c r="I24" s="184">
        <v>37318</v>
      </c>
      <c r="J24" s="184">
        <v>38345.7197742312</v>
      </c>
      <c r="K24" s="184">
        <v>39061.6163960566</v>
      </c>
      <c r="L24" s="284">
        <f>(K24-J24)*100/J24</f>
        <v>1.8669531463756497</v>
      </c>
      <c r="M24" s="284">
        <f>(K24-R24)*100/R24</f>
        <v>25.180637209275023</v>
      </c>
      <c r="N24" s="154">
        <v>26689.1</v>
      </c>
      <c r="O24" s="154">
        <v>27901.5</v>
      </c>
      <c r="P24" s="155">
        <v>29027.7</v>
      </c>
      <c r="Q24" s="159">
        <v>30173</v>
      </c>
      <c r="R24" s="157">
        <v>31204.2</v>
      </c>
      <c r="S24" s="155"/>
      <c r="T24" s="184">
        <v>36733.2</v>
      </c>
      <c r="V24" s="192">
        <v>36843.7</v>
      </c>
      <c r="X24" s="142">
        <v>37318</v>
      </c>
      <c r="Z24" s="142">
        <v>38345.7197742312</v>
      </c>
      <c r="AB24" s="142">
        <v>39061.6163960566</v>
      </c>
    </row>
    <row r="25" spans="1:28" ht="12.75">
      <c r="A25" s="141" t="s">
        <v>17</v>
      </c>
      <c r="B25" s="152">
        <v>5090.8</v>
      </c>
      <c r="C25" s="152">
        <v>5056.9</v>
      </c>
      <c r="D25" s="157">
        <v>5104.7</v>
      </c>
      <c r="E25" s="157">
        <v>5065.6</v>
      </c>
      <c r="F25" s="158">
        <v>4973.5</v>
      </c>
      <c r="G25" s="184">
        <v>4897.8</v>
      </c>
      <c r="H25" s="184">
        <v>4752.2</v>
      </c>
      <c r="I25" s="184">
        <v>4781.7</v>
      </c>
      <c r="J25" s="184">
        <v>4727</v>
      </c>
      <c r="K25" s="184">
        <v>4651.9</v>
      </c>
      <c r="L25" s="284">
        <f>(K25-J25)*100/J25</f>
        <v>-1.588745504548347</v>
      </c>
      <c r="M25" s="284">
        <f>(K25-R25)*100/R25</f>
        <v>-8.918432078944278</v>
      </c>
      <c r="N25" s="154">
        <v>5060.9</v>
      </c>
      <c r="O25" s="154">
        <v>5047.8</v>
      </c>
      <c r="P25" s="155">
        <v>5070.8</v>
      </c>
      <c r="Q25" s="159">
        <v>5057.6</v>
      </c>
      <c r="R25" s="157">
        <v>5107.4</v>
      </c>
      <c r="S25" s="155"/>
      <c r="T25" s="184">
        <v>4897.8</v>
      </c>
      <c r="V25" s="192">
        <v>4752.2</v>
      </c>
      <c r="X25" s="142">
        <v>4781.7</v>
      </c>
      <c r="Z25" s="142">
        <v>4727</v>
      </c>
      <c r="AB25" s="142">
        <v>4651.9</v>
      </c>
    </row>
    <row r="26" spans="1:28" ht="12.75">
      <c r="A26" s="141" t="s">
        <v>18</v>
      </c>
      <c r="B26" s="152">
        <v>35747.5</v>
      </c>
      <c r="C26" s="152">
        <v>36291.9</v>
      </c>
      <c r="D26" s="157">
        <v>37033.4</v>
      </c>
      <c r="E26" s="157">
        <v>37346.3</v>
      </c>
      <c r="F26" s="158">
        <v>37573.3</v>
      </c>
      <c r="G26" s="184">
        <v>37997.75</v>
      </c>
      <c r="H26" s="184">
        <v>40159.8</v>
      </c>
      <c r="I26" s="184">
        <v>40023.6</v>
      </c>
      <c r="J26" s="184">
        <v>38908.5310993976</v>
      </c>
      <c r="K26" s="184">
        <v>39555.297602826</v>
      </c>
      <c r="L26" s="284">
        <f>(K26-J26)*100/J26</f>
        <v>1.662274275469663</v>
      </c>
      <c r="M26" s="284">
        <f>(K26-R26)*100/R26</f>
        <v>11.21379035796204</v>
      </c>
      <c r="N26" s="154">
        <v>30999.9</v>
      </c>
      <c r="O26" s="154">
        <v>31830.2</v>
      </c>
      <c r="P26" s="155">
        <v>32926.1</v>
      </c>
      <c r="Q26" s="159">
        <v>33858.3</v>
      </c>
      <c r="R26" s="157">
        <v>35566.9</v>
      </c>
      <c r="S26" s="155"/>
      <c r="T26" s="184">
        <v>37997.75</v>
      </c>
      <c r="V26" s="192">
        <v>40159.8</v>
      </c>
      <c r="X26" s="142">
        <v>40023.6</v>
      </c>
      <c r="Z26" s="142">
        <v>38908.5310993976</v>
      </c>
      <c r="AB26" s="142">
        <v>39555.297602826</v>
      </c>
    </row>
    <row r="27" spans="1:28" ht="12.75">
      <c r="A27" s="141" t="s">
        <v>19</v>
      </c>
      <c r="B27" s="152">
        <v>37461.5</v>
      </c>
      <c r="C27" s="152">
        <v>38788.7</v>
      </c>
      <c r="D27" s="157">
        <v>40212.1</v>
      </c>
      <c r="E27" s="157">
        <v>41980.1</v>
      </c>
      <c r="F27" s="158">
        <v>43335.7</v>
      </c>
      <c r="G27" s="184">
        <v>44438.25</v>
      </c>
      <c r="H27" s="184">
        <v>47278.1</v>
      </c>
      <c r="I27" s="184">
        <v>46203.8106882628</v>
      </c>
      <c r="J27" s="184">
        <v>46792.4290041651</v>
      </c>
      <c r="K27" s="184">
        <v>47642.3305721306</v>
      </c>
      <c r="L27" s="284">
        <f>(K27-J27)*100/J27</f>
        <v>1.816322824125788</v>
      </c>
      <c r="M27" s="284">
        <f>(K27-R27)*100/R27</f>
        <v>31.88480456904404</v>
      </c>
      <c r="N27" s="154">
        <v>30317.7</v>
      </c>
      <c r="O27" s="154">
        <v>31689.3</v>
      </c>
      <c r="P27" s="155">
        <v>33083.2</v>
      </c>
      <c r="Q27" s="159">
        <v>34776.3</v>
      </c>
      <c r="R27" s="157">
        <v>36124.2</v>
      </c>
      <c r="S27" s="155"/>
      <c r="T27" s="184">
        <v>44438.25</v>
      </c>
      <c r="V27" s="192">
        <v>47278.1</v>
      </c>
      <c r="X27" s="142">
        <v>46203.8106882628</v>
      </c>
      <c r="Z27" s="142">
        <v>46792.4290041651</v>
      </c>
      <c r="AB27" s="142">
        <v>47642.3305721306</v>
      </c>
    </row>
    <row r="28" spans="1:28" ht="12.75">
      <c r="A28" s="141" t="s">
        <v>20</v>
      </c>
      <c r="B28" s="152">
        <v>2717.7</v>
      </c>
      <c r="C28" s="152">
        <v>2693.9</v>
      </c>
      <c r="D28" s="157">
        <v>2670.3</v>
      </c>
      <c r="E28" s="157">
        <v>2703.1</v>
      </c>
      <c r="F28" s="158">
        <v>2588.6</v>
      </c>
      <c r="G28" s="184">
        <v>2603.6</v>
      </c>
      <c r="H28" s="184">
        <v>2536.8</v>
      </c>
      <c r="I28" s="184">
        <v>2471.74193548387</v>
      </c>
      <c r="J28" s="184">
        <v>2430.71727825426</v>
      </c>
      <c r="K28" s="184">
        <v>2383.33461538462</v>
      </c>
      <c r="L28" s="284">
        <f>(K28-J28)*100/J28</f>
        <v>-1.9493284263676245</v>
      </c>
      <c r="M28" s="284">
        <f>(K28-R28)*100/R28</f>
        <v>-10.110333582838502</v>
      </c>
      <c r="N28" s="154">
        <v>2438.3</v>
      </c>
      <c r="O28" s="154">
        <v>2461.3</v>
      </c>
      <c r="P28" s="155">
        <v>2534.8</v>
      </c>
      <c r="Q28" s="159">
        <v>2603.4</v>
      </c>
      <c r="R28" s="157">
        <v>2651.4</v>
      </c>
      <c r="S28" s="155"/>
      <c r="T28" s="184">
        <v>2603.6</v>
      </c>
      <c r="V28" s="192">
        <v>2536.8</v>
      </c>
      <c r="X28" s="142">
        <v>2471.74193548387</v>
      </c>
      <c r="Z28" s="142">
        <v>2430.71727825426</v>
      </c>
      <c r="AB28" s="142">
        <v>2383.33461538462</v>
      </c>
    </row>
    <row r="29" spans="1:22" ht="12.75">
      <c r="A29" s="141"/>
      <c r="B29" s="152"/>
      <c r="C29" s="152"/>
      <c r="D29" s="157"/>
      <c r="E29" s="157"/>
      <c r="F29" s="158"/>
      <c r="G29" s="184"/>
      <c r="H29" s="184"/>
      <c r="I29" s="184"/>
      <c r="J29" s="184"/>
      <c r="K29" s="184"/>
      <c r="L29" s="284"/>
      <c r="M29" s="284"/>
      <c r="N29" s="154"/>
      <c r="O29" s="154"/>
      <c r="P29" s="161"/>
      <c r="Q29" s="145"/>
      <c r="R29" s="157"/>
      <c r="S29" s="161"/>
      <c r="T29" s="184"/>
      <c r="V29" s="192"/>
    </row>
    <row r="30" spans="1:28" ht="12.75">
      <c r="A30" s="141" t="s">
        <v>21</v>
      </c>
      <c r="B30" s="152">
        <v>117250.6</v>
      </c>
      <c r="C30" s="152">
        <v>119843.4</v>
      </c>
      <c r="D30" s="157">
        <v>123025.6</v>
      </c>
      <c r="E30" s="157">
        <v>126002.2</v>
      </c>
      <c r="F30" s="158">
        <v>129156.8</v>
      </c>
      <c r="G30" s="184">
        <v>132649.7</v>
      </c>
      <c r="H30" s="184">
        <v>135283.3</v>
      </c>
      <c r="I30" s="184">
        <v>135460.440432925</v>
      </c>
      <c r="J30" s="184">
        <v>136302.781108993</v>
      </c>
      <c r="K30" s="184">
        <v>135707.546336877</v>
      </c>
      <c r="L30" s="284">
        <f>(K30-J30)*100/J30</f>
        <v>-0.4367003866487523</v>
      </c>
      <c r="M30" s="284">
        <f>(K30-R30)*100/R30</f>
        <v>18.570338214114603</v>
      </c>
      <c r="N30" s="154">
        <v>103486.9</v>
      </c>
      <c r="O30" s="154">
        <v>104754.2</v>
      </c>
      <c r="P30" s="155">
        <v>108223.2</v>
      </c>
      <c r="Q30" s="159">
        <v>111424.8</v>
      </c>
      <c r="R30" s="157">
        <v>114453.2</v>
      </c>
      <c r="S30" s="155"/>
      <c r="T30" s="184">
        <v>132649.7</v>
      </c>
      <c r="V30" s="192">
        <v>135283.3</v>
      </c>
      <c r="X30" s="142">
        <v>135460.440432925</v>
      </c>
      <c r="Z30" s="142">
        <v>136302.781108993</v>
      </c>
      <c r="AB30" s="142">
        <v>135707.546336877</v>
      </c>
    </row>
    <row r="31" spans="1:28" ht="12.75">
      <c r="A31" s="141" t="s">
        <v>22</v>
      </c>
      <c r="B31" s="152">
        <v>120682.3</v>
      </c>
      <c r="C31" s="152">
        <v>123994.2</v>
      </c>
      <c r="D31" s="157">
        <v>125693.9</v>
      </c>
      <c r="E31" s="157">
        <v>127133.7</v>
      </c>
      <c r="F31" s="158">
        <v>131775</v>
      </c>
      <c r="G31" s="184">
        <v>132820.6</v>
      </c>
      <c r="H31" s="184">
        <v>134444.7</v>
      </c>
      <c r="I31" s="184">
        <v>134731.186212206</v>
      </c>
      <c r="J31" s="184">
        <v>132379.765304317</v>
      </c>
      <c r="K31" s="184">
        <v>133631.712626672</v>
      </c>
      <c r="L31" s="284">
        <f>(K31-J31)*100/J31</f>
        <v>0.9457240836445072</v>
      </c>
      <c r="M31" s="284">
        <f>(K31-R31)*100/R31</f>
        <v>13.900598114669656</v>
      </c>
      <c r="N31" s="154">
        <v>107289.9</v>
      </c>
      <c r="O31" s="154">
        <v>108783.7</v>
      </c>
      <c r="P31" s="155">
        <v>111497.8</v>
      </c>
      <c r="Q31" s="159">
        <v>113702.3</v>
      </c>
      <c r="R31" s="157">
        <v>117323.1</v>
      </c>
      <c r="S31" s="155"/>
      <c r="T31" s="184">
        <v>132820.6</v>
      </c>
      <c r="V31" s="192">
        <v>134444.7</v>
      </c>
      <c r="X31" s="142">
        <v>134731.186212206</v>
      </c>
      <c r="Z31" s="142">
        <v>132379.765304317</v>
      </c>
      <c r="AB31" s="142">
        <v>133631.712626672</v>
      </c>
    </row>
    <row r="32" spans="1:28" ht="12.75">
      <c r="A32" s="141" t="s">
        <v>23</v>
      </c>
      <c r="B32" s="152">
        <v>6024.1</v>
      </c>
      <c r="C32" s="152">
        <v>6220.1</v>
      </c>
      <c r="D32" s="157">
        <v>6490.2</v>
      </c>
      <c r="E32" s="157">
        <v>6662.9</v>
      </c>
      <c r="F32" s="158">
        <v>6826.4</v>
      </c>
      <c r="G32" s="184">
        <v>6899.9</v>
      </c>
      <c r="H32" s="184">
        <v>7149.8</v>
      </c>
      <c r="I32" s="184">
        <v>7199.69307692308</v>
      </c>
      <c r="J32" s="184">
        <v>7343.62923228346</v>
      </c>
      <c r="K32" s="184">
        <v>7491.85858585859</v>
      </c>
      <c r="L32" s="284">
        <f>(K32-J32)*100/J32</f>
        <v>2.0184754552081254</v>
      </c>
      <c r="M32" s="284">
        <f>(K32-R32)*100/R32</f>
        <v>26.737918661861013</v>
      </c>
      <c r="N32" s="154">
        <v>5235.8</v>
      </c>
      <c r="O32" s="154">
        <v>5433.9</v>
      </c>
      <c r="P32" s="155">
        <v>5521.6</v>
      </c>
      <c r="Q32" s="159">
        <v>5673.5</v>
      </c>
      <c r="R32" s="157">
        <v>5911.3</v>
      </c>
      <c r="S32" s="155"/>
      <c r="T32" s="184">
        <v>6899.9</v>
      </c>
      <c r="V32" s="192">
        <v>7149.8</v>
      </c>
      <c r="X32" s="142">
        <v>7199.69307692308</v>
      </c>
      <c r="Z32" s="142">
        <v>7343.62923228346</v>
      </c>
      <c r="AB32" s="142">
        <v>7491.85858585859</v>
      </c>
    </row>
    <row r="33" spans="1:28" ht="12.75">
      <c r="A33" s="141" t="s">
        <v>24</v>
      </c>
      <c r="B33" s="152">
        <v>13343.1</v>
      </c>
      <c r="C33" s="152">
        <v>13784.5</v>
      </c>
      <c r="D33" s="157">
        <v>13947.4</v>
      </c>
      <c r="E33" s="157">
        <v>14088.5</v>
      </c>
      <c r="F33" s="158">
        <v>14319.2</v>
      </c>
      <c r="G33" s="184">
        <v>14544.1</v>
      </c>
      <c r="H33" s="184">
        <v>15180.8</v>
      </c>
      <c r="I33" s="184">
        <v>15522.6071428571</v>
      </c>
      <c r="J33" s="184">
        <v>15355.7982126058</v>
      </c>
      <c r="K33" s="184">
        <v>16026.2275862069</v>
      </c>
      <c r="L33" s="284">
        <f>(K33-J33)*100/J33</f>
        <v>4.365968895389204</v>
      </c>
      <c r="M33" s="284">
        <f>(K33-R33)*100/R33</f>
        <v>23.750830755860054</v>
      </c>
      <c r="N33" s="154">
        <v>12098.5</v>
      </c>
      <c r="O33" s="154">
        <v>12022.6</v>
      </c>
      <c r="P33" s="155">
        <v>12103</v>
      </c>
      <c r="Q33" s="159">
        <v>12460.3</v>
      </c>
      <c r="R33" s="157">
        <v>12950.4</v>
      </c>
      <c r="S33" s="155"/>
      <c r="T33" s="184">
        <v>14544.1</v>
      </c>
      <c r="V33" s="192">
        <v>15180.8</v>
      </c>
      <c r="X33" s="142">
        <v>15522.6071428571</v>
      </c>
      <c r="Z33" s="142">
        <v>15355.7982126058</v>
      </c>
      <c r="AB33" s="142">
        <v>16026.2275862069</v>
      </c>
    </row>
    <row r="34" spans="1:28" ht="12.75">
      <c r="A34" s="141" t="s">
        <v>25</v>
      </c>
      <c r="B34" s="152">
        <v>3070.8</v>
      </c>
      <c r="C34" s="152">
        <v>2950.6</v>
      </c>
      <c r="D34" s="157">
        <v>2936.8</v>
      </c>
      <c r="E34" s="157">
        <v>2934.2</v>
      </c>
      <c r="F34" s="158">
        <v>2903.4</v>
      </c>
      <c r="G34" s="184">
        <v>2855.4</v>
      </c>
      <c r="H34" s="184">
        <v>2816.1</v>
      </c>
      <c r="I34" s="184">
        <v>2814.49328358209</v>
      </c>
      <c r="J34" s="184">
        <v>2827.09857819905</v>
      </c>
      <c r="K34" s="184">
        <v>2788.35</v>
      </c>
      <c r="L34" s="284">
        <f>(K34-J34)*100/J34</f>
        <v>-1.3706129138140621</v>
      </c>
      <c r="M34" s="284">
        <f>(K34-R34)*100/R34</f>
        <v>-9.1742671009772</v>
      </c>
      <c r="N34" s="154">
        <v>3360</v>
      </c>
      <c r="O34" s="154">
        <v>3369</v>
      </c>
      <c r="P34" s="155">
        <v>3326.6</v>
      </c>
      <c r="Q34" s="159">
        <v>3275.3</v>
      </c>
      <c r="R34" s="157">
        <v>3070</v>
      </c>
      <c r="S34" s="155"/>
      <c r="T34" s="184">
        <v>2855.4</v>
      </c>
      <c r="V34" s="192">
        <v>2816.1</v>
      </c>
      <c r="X34" s="142">
        <v>2814.49328358209</v>
      </c>
      <c r="Z34" s="142">
        <v>2827.09857819905</v>
      </c>
      <c r="AB34" s="142">
        <v>2788.35</v>
      </c>
    </row>
    <row r="35" spans="1:22" ht="12.75">
      <c r="A35" s="141"/>
      <c r="B35" s="157"/>
      <c r="C35" s="152"/>
      <c r="D35" s="157"/>
      <c r="E35" s="157"/>
      <c r="F35" s="158"/>
      <c r="G35" s="184"/>
      <c r="H35" s="184"/>
      <c r="I35" s="184"/>
      <c r="J35" s="184"/>
      <c r="K35" s="184"/>
      <c r="L35" s="284"/>
      <c r="M35" s="284"/>
      <c r="N35" s="154"/>
      <c r="O35" s="154"/>
      <c r="P35" s="161"/>
      <c r="Q35" s="159"/>
      <c r="R35" s="157"/>
      <c r="S35" s="161"/>
      <c r="T35" s="184"/>
      <c r="V35" s="192"/>
    </row>
    <row r="36" spans="1:28" ht="12.75">
      <c r="A36" s="141" t="s">
        <v>26</v>
      </c>
      <c r="B36" s="152">
        <v>4201.2</v>
      </c>
      <c r="C36" s="152">
        <v>4308.2</v>
      </c>
      <c r="D36" s="157">
        <v>4327</v>
      </c>
      <c r="E36" s="157">
        <v>4371.6</v>
      </c>
      <c r="F36" s="158">
        <v>4387.3</v>
      </c>
      <c r="G36" s="184">
        <v>4393.4</v>
      </c>
      <c r="H36" s="184">
        <v>4381</v>
      </c>
      <c r="I36" s="184">
        <v>4359.6</v>
      </c>
      <c r="J36" s="184">
        <v>4402.25</v>
      </c>
      <c r="K36" s="184">
        <v>4347.3</v>
      </c>
      <c r="L36" s="284">
        <f>(K36-J36)*100/J36</f>
        <v>-1.2482253393151188</v>
      </c>
      <c r="M36" s="284">
        <f>(K36-R36)*100/R36</f>
        <v>4.744121048573645</v>
      </c>
      <c r="N36" s="154">
        <v>3951</v>
      </c>
      <c r="O36" s="154">
        <v>3984.3</v>
      </c>
      <c r="P36" s="155">
        <v>4030.2</v>
      </c>
      <c r="Q36" s="159">
        <v>4102.5</v>
      </c>
      <c r="R36" s="157">
        <v>4150.4</v>
      </c>
      <c r="S36" s="155"/>
      <c r="T36" s="184">
        <v>4393.4</v>
      </c>
      <c r="V36" s="192">
        <v>4381</v>
      </c>
      <c r="X36" s="142">
        <v>4359.6</v>
      </c>
      <c r="Z36" s="142">
        <v>4402.25</v>
      </c>
      <c r="AB36" s="142">
        <v>4347.3</v>
      </c>
    </row>
    <row r="37" spans="1:28" ht="12.75">
      <c r="A37" s="141" t="s">
        <v>27</v>
      </c>
      <c r="B37" s="152">
        <v>18751.2</v>
      </c>
      <c r="C37" s="152">
        <v>18885.9</v>
      </c>
      <c r="D37" s="157">
        <v>18991.4</v>
      </c>
      <c r="E37" s="157">
        <v>19007.7</v>
      </c>
      <c r="F37" s="158">
        <v>18920.8</v>
      </c>
      <c r="G37" s="184">
        <v>18883</v>
      </c>
      <c r="H37" s="184">
        <v>19058.7</v>
      </c>
      <c r="I37" s="184">
        <v>19634.1318796179</v>
      </c>
      <c r="J37" s="184">
        <v>20252.2004653313</v>
      </c>
      <c r="K37" s="184">
        <v>20726.9342592593</v>
      </c>
      <c r="L37" s="284">
        <f>(K37-J37)*100/J37</f>
        <v>2.3441096918859223</v>
      </c>
      <c r="M37" s="284">
        <f>(K37-R37)*100/R37</f>
        <v>11.167372453763512</v>
      </c>
      <c r="N37" s="154">
        <v>17158.2</v>
      </c>
      <c r="O37" s="154">
        <v>17679</v>
      </c>
      <c r="P37" s="155">
        <v>18128.1</v>
      </c>
      <c r="Q37" s="159">
        <v>18474.4</v>
      </c>
      <c r="R37" s="157">
        <v>18644.8</v>
      </c>
      <c r="S37" s="155"/>
      <c r="T37" s="184">
        <v>18883</v>
      </c>
      <c r="V37" s="192">
        <v>19058.7</v>
      </c>
      <c r="X37" s="142">
        <v>19634.1318796179</v>
      </c>
      <c r="Z37" s="142">
        <v>20252.2004653313</v>
      </c>
      <c r="AB37" s="142">
        <v>20726.9342592593</v>
      </c>
    </row>
    <row r="38" spans="1:28" ht="12.75">
      <c r="A38" s="141" t="s">
        <v>28</v>
      </c>
      <c r="B38" s="152">
        <v>13148.7</v>
      </c>
      <c r="C38" s="152">
        <v>13414.1</v>
      </c>
      <c r="D38" s="157">
        <v>13501.5</v>
      </c>
      <c r="E38" s="157">
        <v>13635.7</v>
      </c>
      <c r="F38" s="158">
        <v>13380.4</v>
      </c>
      <c r="G38" s="184">
        <v>13397.9</v>
      </c>
      <c r="H38" s="184">
        <v>13574.2</v>
      </c>
      <c r="I38" s="184">
        <v>14026.9938987166</v>
      </c>
      <c r="J38" s="184">
        <v>14130.9732251521</v>
      </c>
      <c r="K38" s="184">
        <v>14218.4682008368</v>
      </c>
      <c r="L38" s="284">
        <f>(K38-J38)*100/J38</f>
        <v>0.6191716189014165</v>
      </c>
      <c r="M38" s="284">
        <f>(K38-R38)*100/R38</f>
        <v>8.610885181165967</v>
      </c>
      <c r="N38" s="154">
        <v>12408.5</v>
      </c>
      <c r="O38" s="154">
        <v>12600.1</v>
      </c>
      <c r="P38" s="155">
        <v>12772.5</v>
      </c>
      <c r="Q38" s="159">
        <v>12891.9</v>
      </c>
      <c r="R38" s="157">
        <v>13091.2</v>
      </c>
      <c r="S38" s="155"/>
      <c r="T38" s="184">
        <v>13397.9</v>
      </c>
      <c r="V38" s="192">
        <v>13574.2</v>
      </c>
      <c r="X38" s="142">
        <v>14026.9938987166</v>
      </c>
      <c r="Z38" s="142">
        <v>14130.9732251521</v>
      </c>
      <c r="AB38" s="142">
        <v>14218.4682008368</v>
      </c>
    </row>
    <row r="39" spans="1:28" ht="12.75">
      <c r="A39" s="162" t="s">
        <v>29</v>
      </c>
      <c r="B39" s="167">
        <v>6420</v>
      </c>
      <c r="C39" s="167">
        <v>6462.4</v>
      </c>
      <c r="D39" s="166">
        <v>6549.9</v>
      </c>
      <c r="E39" s="166">
        <v>6532.2</v>
      </c>
      <c r="F39" s="168">
        <v>6453.3</v>
      </c>
      <c r="G39" s="186">
        <v>6367</v>
      </c>
      <c r="H39" s="186">
        <v>6087.2</v>
      </c>
      <c r="I39" s="186">
        <v>6479.06738035265</v>
      </c>
      <c r="J39" s="186">
        <v>6612.84666666667</v>
      </c>
      <c r="K39" s="186">
        <v>6588.95</v>
      </c>
      <c r="L39" s="285">
        <f>(K39-J39)*100/J39</f>
        <v>-0.3613673183611822</v>
      </c>
      <c r="M39" s="285">
        <f>(K39-R39)*100/R39</f>
        <v>5.505916638644687</v>
      </c>
      <c r="N39" s="163">
        <v>5559.3</v>
      </c>
      <c r="O39" s="163">
        <v>5689.6</v>
      </c>
      <c r="P39" s="164">
        <v>5807.9</v>
      </c>
      <c r="Q39" s="165">
        <v>6081.1</v>
      </c>
      <c r="R39" s="166">
        <v>6245.1</v>
      </c>
      <c r="S39" s="164"/>
      <c r="T39" s="186">
        <v>6367</v>
      </c>
      <c r="V39" s="192">
        <v>6087.2</v>
      </c>
      <c r="X39" s="142">
        <v>6479.06738035265</v>
      </c>
      <c r="Z39" s="142">
        <v>6612.84666666667</v>
      </c>
      <c r="AB39" s="142">
        <v>6588.95</v>
      </c>
    </row>
    <row r="40" spans="1:18" ht="12.75">
      <c r="A40" s="188" t="s">
        <v>170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R40" s="145"/>
    </row>
    <row r="41" spans="2:18" ht="12.7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R41" s="145"/>
    </row>
    <row r="42" spans="2:18" ht="12.75">
      <c r="B42" s="157"/>
      <c r="C42" s="157"/>
      <c r="D42" s="157"/>
      <c r="E42" s="157"/>
      <c r="F42" s="199"/>
      <c r="G42" s="161"/>
      <c r="H42" s="161"/>
      <c r="I42" s="161"/>
      <c r="J42" s="161"/>
      <c r="K42" s="161"/>
      <c r="L42" s="145"/>
      <c r="M42" s="145"/>
      <c r="N42" s="145"/>
      <c r="O42" s="145"/>
      <c r="R42" s="157"/>
    </row>
    <row r="43" spans="2:18" ht="12.7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R43" s="145"/>
    </row>
    <row r="44" spans="2:18" ht="12.7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R44" s="145"/>
    </row>
    <row r="45" spans="2:18" ht="12.7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R45" s="145"/>
    </row>
    <row r="46" spans="2:18" ht="12.7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R46" s="145"/>
    </row>
    <row r="47" spans="2:18" ht="12.7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R47" s="145"/>
    </row>
    <row r="48" spans="2:18" ht="12.7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R48" s="145"/>
    </row>
    <row r="49" spans="2:18" ht="12.7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R49" s="145"/>
    </row>
    <row r="50" spans="2:18" ht="12.7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R50" s="145"/>
    </row>
    <row r="51" spans="2:18" ht="12.7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R51" s="145"/>
    </row>
    <row r="52" spans="2:18" ht="12.7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R52" s="145"/>
    </row>
    <row r="53" spans="2:18" ht="12.7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R53" s="145"/>
    </row>
    <row r="54" spans="2:18" ht="12.7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R54" s="145"/>
    </row>
    <row r="55" spans="2:18" ht="12.7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R55" s="145"/>
    </row>
    <row r="56" spans="2:18" ht="12.7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R56" s="145"/>
    </row>
    <row r="57" spans="2:18" ht="12.7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R57" s="145"/>
    </row>
    <row r="58" spans="2:18" ht="12.7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R58" s="145"/>
    </row>
    <row r="59" spans="2:18" ht="12.75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R59" s="145"/>
    </row>
    <row r="60" spans="2:18" ht="12.75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R60" s="145"/>
    </row>
    <row r="61" spans="2:18" ht="12.7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R61" s="145"/>
    </row>
    <row r="62" spans="2:18" ht="12.7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R62" s="145"/>
    </row>
    <row r="63" spans="2:18" ht="12.7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R63" s="145"/>
    </row>
    <row r="64" spans="2:18" ht="12.7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R64" s="145"/>
    </row>
    <row r="65" spans="2:18" ht="12.7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R65" s="145"/>
    </row>
    <row r="66" spans="2:18" ht="12.7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R66" s="145"/>
    </row>
    <row r="67" spans="2:18" ht="12.7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R67" s="145"/>
    </row>
    <row r="68" spans="2:18" ht="12.75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R68" s="145"/>
    </row>
    <row r="69" spans="2:18" ht="12.75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R69" s="145"/>
    </row>
    <row r="70" spans="2:18" ht="12.75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R70" s="145"/>
    </row>
    <row r="71" spans="2:18" ht="12.75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R71" s="145"/>
    </row>
    <row r="72" spans="2:18" ht="12.75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R72" s="145"/>
    </row>
    <row r="73" spans="2:18" ht="12.75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R73" s="145"/>
    </row>
    <row r="74" spans="2:18" ht="12.75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R74" s="145"/>
    </row>
    <row r="75" spans="2:18" ht="12.7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R75" s="145"/>
    </row>
    <row r="76" spans="2:18" ht="12.75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R76" s="145"/>
    </row>
    <row r="77" spans="2:18" ht="12.75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R77" s="145"/>
    </row>
    <row r="78" spans="2:18" ht="12.75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R78" s="145"/>
    </row>
    <row r="79" spans="2:18" ht="12.75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R79" s="145"/>
    </row>
    <row r="80" spans="2:18" ht="12.75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R80" s="145"/>
    </row>
    <row r="81" spans="2:18" ht="12.75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R81" s="145"/>
    </row>
    <row r="82" spans="2:18" ht="12.75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R82" s="145"/>
    </row>
    <row r="83" spans="2:18" ht="12.75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R83" s="145"/>
    </row>
    <row r="84" spans="2:18" ht="12.75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R84" s="145"/>
    </row>
    <row r="85" spans="2:18" ht="12.75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R85" s="145"/>
    </row>
    <row r="86" spans="2:18" ht="12.75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R86" s="145"/>
    </row>
    <row r="87" spans="2:18" ht="12.75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R87" s="145"/>
    </row>
    <row r="88" spans="2:18" ht="12.75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R88" s="145"/>
    </row>
    <row r="89" spans="2:18" ht="12.75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R89" s="145"/>
    </row>
    <row r="90" spans="2:18" ht="12.75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R90" s="145"/>
    </row>
    <row r="91" spans="2:18" ht="12.75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R91" s="145"/>
    </row>
    <row r="92" spans="2:18" ht="12.75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R92" s="145"/>
    </row>
    <row r="93" spans="2:18" ht="12.75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R93" s="145"/>
    </row>
    <row r="94" spans="2:18" ht="12.75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R94" s="145"/>
    </row>
    <row r="95" spans="2:18" ht="12.75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R95" s="145"/>
    </row>
    <row r="96" spans="2:18" ht="12.75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R96" s="145"/>
    </row>
    <row r="97" spans="2:18" ht="12.75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R97" s="145"/>
    </row>
    <row r="98" spans="2:18" ht="12.75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R98" s="145"/>
    </row>
    <row r="99" spans="2:18" ht="12.75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R99" s="145"/>
    </row>
    <row r="100" spans="2:18" ht="12.75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R100" s="145"/>
    </row>
    <row r="101" spans="2:18" ht="12.75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R101" s="145"/>
    </row>
    <row r="102" spans="2:18" ht="12.75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R102" s="145"/>
    </row>
    <row r="103" spans="2:18" ht="12.75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R103" s="145"/>
    </row>
    <row r="104" spans="2:18" ht="12.75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R104" s="145"/>
    </row>
    <row r="105" spans="2:18" ht="12.75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R105" s="145"/>
    </row>
    <row r="106" spans="2:18" ht="12.75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R106" s="145"/>
    </row>
    <row r="107" spans="2:18" ht="12.75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R107" s="145"/>
    </row>
    <row r="108" spans="2:18" ht="12.75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R108" s="145"/>
    </row>
    <row r="109" spans="2:18" ht="12.75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R109" s="145"/>
    </row>
    <row r="110" spans="2:18" ht="12.75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R110" s="145"/>
    </row>
    <row r="111" spans="2:18" ht="12.75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R111" s="145"/>
    </row>
    <row r="112" spans="2:18" ht="12.75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R112" s="145"/>
    </row>
    <row r="113" spans="2:18" ht="12.75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R113" s="145"/>
    </row>
    <row r="114" spans="2:18" ht="12.75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R114" s="145"/>
    </row>
    <row r="115" spans="2:18" ht="12.75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R115" s="145"/>
    </row>
    <row r="116" spans="2:18" ht="12.75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R116" s="145"/>
    </row>
    <row r="117" spans="2:18" ht="12.75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R117" s="145"/>
    </row>
    <row r="118" spans="2:18" ht="12.75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R118" s="145"/>
    </row>
    <row r="119" spans="2:18" ht="12.75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R119" s="145"/>
    </row>
    <row r="120" spans="2:18" ht="12.75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R120" s="145"/>
    </row>
    <row r="121" spans="2:18" ht="12.75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R121" s="145"/>
    </row>
    <row r="122" spans="2:18" ht="12.75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R122" s="145"/>
    </row>
    <row r="123" spans="2:18" ht="12.75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R123" s="145"/>
    </row>
    <row r="124" spans="2:18" ht="12.75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R124" s="145"/>
    </row>
    <row r="125" spans="2:18" ht="12.75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R125" s="145"/>
    </row>
    <row r="126" spans="2:18" ht="12.75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R126" s="145"/>
    </row>
    <row r="127" spans="2:18" ht="12.75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R127" s="145"/>
    </row>
    <row r="128" spans="2:18" ht="12.75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R128" s="145"/>
    </row>
    <row r="129" spans="2:18" ht="12.75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R129" s="145"/>
    </row>
    <row r="130" spans="2:18" ht="12.75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R130" s="145"/>
    </row>
    <row r="131" spans="2:18" ht="12.75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R131" s="145"/>
    </row>
    <row r="132" spans="2:18" ht="12.75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R132" s="145"/>
    </row>
    <row r="133" spans="2:18" ht="12.75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R133" s="145"/>
    </row>
    <row r="134" spans="2:18" ht="12.75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R134" s="145"/>
    </row>
    <row r="135" spans="2:18" ht="12.75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R135" s="145"/>
    </row>
    <row r="136" spans="2:18" ht="12.75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R136" s="145"/>
    </row>
    <row r="137" spans="2:18" ht="12.75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R137" s="145"/>
    </row>
    <row r="138" spans="2:18" ht="12.75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R138" s="145"/>
    </row>
    <row r="139" spans="2:18" ht="12.75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R139" s="145"/>
    </row>
    <row r="140" spans="2:18" ht="12.75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R140" s="145"/>
    </row>
    <row r="141" spans="2:18" ht="12.75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R141" s="145"/>
    </row>
    <row r="142" spans="2:18" ht="12.75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R142" s="145"/>
    </row>
    <row r="143" spans="2:18" ht="12.75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R143" s="145"/>
    </row>
    <row r="144" spans="2:18" ht="12.75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R144" s="145"/>
    </row>
    <row r="145" spans="2:18" ht="12.75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R145" s="145"/>
    </row>
    <row r="146" spans="2:18" ht="12.75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R146" s="145"/>
    </row>
    <row r="147" spans="2:18" ht="12.75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R147" s="145"/>
    </row>
    <row r="148" spans="2:18" ht="12.75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R148" s="145"/>
    </row>
    <row r="149" spans="2:18" ht="12.75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R149" s="145"/>
    </row>
    <row r="150" spans="2:18" ht="12.75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R150" s="145"/>
    </row>
    <row r="151" spans="2:18" ht="12.75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R151" s="145"/>
    </row>
    <row r="152" spans="2:18" ht="12.75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R152" s="145"/>
    </row>
    <row r="153" spans="2:18" ht="12.75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R153" s="145"/>
    </row>
    <row r="154" spans="2:18" ht="12.75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R154" s="145"/>
    </row>
    <row r="155" spans="2:18" ht="12.75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R155" s="145"/>
    </row>
    <row r="156" spans="2:18" ht="12.75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R156" s="145"/>
    </row>
    <row r="157" spans="2:18" ht="12.75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R157" s="145"/>
    </row>
    <row r="158" spans="2:18" ht="12.75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R158" s="145"/>
    </row>
    <row r="159" spans="2:18" ht="12.75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R159" s="145"/>
    </row>
    <row r="160" spans="2:18" ht="12.75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R160" s="145"/>
    </row>
    <row r="161" spans="2:18" ht="12.75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R161" s="145"/>
    </row>
    <row r="162" spans="2:18" ht="12.75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R162" s="145"/>
    </row>
    <row r="163" spans="2:18" ht="12.75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R163" s="145"/>
    </row>
    <row r="164" spans="2:18" ht="12.75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R164" s="145"/>
    </row>
    <row r="165" spans="2:18" ht="12.75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R165" s="145"/>
    </row>
    <row r="166" spans="2:18" ht="12.75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R166" s="145"/>
    </row>
    <row r="167" spans="2:18" ht="12.75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R167" s="145"/>
    </row>
    <row r="168" spans="2:18" ht="12.75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R168" s="145"/>
    </row>
    <row r="169" spans="2:18" ht="12.75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R169" s="145"/>
    </row>
    <row r="170" spans="2:18" ht="12.75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R170" s="145"/>
    </row>
    <row r="171" spans="2:18" ht="12.75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R171" s="145"/>
    </row>
    <row r="172" spans="2:18" ht="12.75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R172" s="145"/>
    </row>
    <row r="173" spans="2:18" ht="12.75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R173" s="145"/>
    </row>
    <row r="174" spans="2:18" ht="12.75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R174" s="145"/>
    </row>
    <row r="175" spans="2:18" ht="12.75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R175" s="145"/>
    </row>
    <row r="176" spans="2:18" ht="12.75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R176" s="145"/>
    </row>
    <row r="177" spans="2:18" ht="12.75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R177" s="145"/>
    </row>
    <row r="178" spans="2:18" ht="12.75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R178" s="145"/>
    </row>
    <row r="179" spans="2:18" ht="12.75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R179" s="145"/>
    </row>
    <row r="180" spans="2:18" ht="12.75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R180" s="145"/>
    </row>
    <row r="181" spans="2:18" ht="12.75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R181" s="145"/>
    </row>
    <row r="182" spans="2:18" ht="12.75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R182" s="145"/>
    </row>
    <row r="183" spans="2:18" ht="12.75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R183" s="145"/>
    </row>
    <row r="184" spans="2:18" ht="12.75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R184" s="145"/>
    </row>
    <row r="185" spans="2:18" ht="12.75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R185" s="145"/>
    </row>
    <row r="186" spans="2:18" ht="12.75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R186" s="145"/>
    </row>
    <row r="187" spans="2:18" ht="12.75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R187" s="145"/>
    </row>
    <row r="188" spans="2:18" ht="12.75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R188" s="145"/>
    </row>
    <row r="189" spans="2:18" ht="12.75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R189" s="145"/>
    </row>
    <row r="190" spans="2:18" ht="12.75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R190" s="145"/>
    </row>
    <row r="191" spans="2:18" ht="12.75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R191" s="145"/>
    </row>
    <row r="192" spans="2:18" ht="12.75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R192" s="145"/>
    </row>
    <row r="193" spans="2:18" ht="12.75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R193" s="145"/>
    </row>
    <row r="194" spans="2:18" ht="12.75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R194" s="145"/>
    </row>
    <row r="195" spans="2:18" ht="12.75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R195" s="145"/>
    </row>
    <row r="196" spans="2:18" ht="12.75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R196" s="145"/>
    </row>
    <row r="197" spans="2:18" ht="12.75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R197" s="145"/>
    </row>
    <row r="198" spans="2:18" ht="12.75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R198" s="145"/>
    </row>
    <row r="199" spans="2:18" ht="12.75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R199" s="145"/>
    </row>
    <row r="200" spans="2:18" ht="12.75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R200" s="145"/>
    </row>
    <row r="201" spans="2:18" ht="12.75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R201" s="145"/>
    </row>
    <row r="202" spans="2:18" ht="12.75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R202" s="145"/>
    </row>
    <row r="203" spans="2:18" ht="12.75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R203" s="145"/>
    </row>
    <row r="204" spans="2:18" ht="12.75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R204" s="145"/>
    </row>
    <row r="205" spans="2:18" ht="12.75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R205" s="145"/>
    </row>
    <row r="206" spans="2:18" ht="12.75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R206" s="145"/>
    </row>
    <row r="207" spans="2:18" ht="12.75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R207" s="145"/>
    </row>
    <row r="208" spans="2:18" ht="12.75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R208" s="145"/>
    </row>
    <row r="209" spans="2:18" ht="12.75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R209" s="145"/>
    </row>
    <row r="210" spans="2:18" ht="12.75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R210" s="145"/>
    </row>
    <row r="211" spans="2:18" ht="12.75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R211" s="145"/>
    </row>
    <row r="212" spans="2:18" ht="12.75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R212" s="145"/>
    </row>
    <row r="213" spans="2:18" ht="12.75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R213" s="145"/>
    </row>
    <row r="214" spans="2:18" ht="12.75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R214" s="145"/>
    </row>
    <row r="215" spans="2:18" ht="12.75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R215" s="145"/>
    </row>
    <row r="216" spans="2:18" ht="12.75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R216" s="145"/>
    </row>
    <row r="217" spans="2:18" ht="12.75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R217" s="145"/>
    </row>
    <row r="218" spans="2:18" ht="12.75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R218" s="145"/>
    </row>
    <row r="219" spans="2:18" ht="12.75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R219" s="145"/>
    </row>
    <row r="220" spans="2:18" ht="12.75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R220" s="145"/>
    </row>
    <row r="221" spans="2:18" ht="12.75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R221" s="145"/>
    </row>
    <row r="222" spans="2:18" ht="12.75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R222" s="145"/>
    </row>
    <row r="223" spans="2:18" ht="12.75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R223" s="145"/>
    </row>
    <row r="224" spans="2:18" ht="12.75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R224" s="145"/>
    </row>
    <row r="225" spans="2:18" ht="12.75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R225" s="145"/>
    </row>
    <row r="226" spans="2:18" ht="12.75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R226" s="145"/>
    </row>
    <row r="227" spans="2:18" ht="12.75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R227" s="145"/>
    </row>
    <row r="228" spans="2:18" ht="12.75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R228" s="145"/>
    </row>
    <row r="229" spans="2:18" ht="12.75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R229" s="145"/>
    </row>
    <row r="230" spans="2:18" ht="12.75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R230" s="145"/>
    </row>
    <row r="231" spans="2:18" ht="12.75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R231" s="145"/>
    </row>
    <row r="232" spans="2:18" ht="12.75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R232" s="145"/>
    </row>
    <row r="233" spans="2:18" ht="12.75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R233" s="145"/>
    </row>
    <row r="234" spans="2:18" ht="12.75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R234" s="145"/>
    </row>
    <row r="235" spans="2:18" ht="12.75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R235" s="145"/>
    </row>
    <row r="236" spans="2:18" ht="12.75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R236" s="145"/>
    </row>
    <row r="237" spans="2:18" ht="12.75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R237" s="145"/>
    </row>
    <row r="238" spans="2:18" ht="12.75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R238" s="145"/>
    </row>
    <row r="239" spans="2:18" ht="12.75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R239" s="145"/>
    </row>
    <row r="240" spans="2:18" ht="12.75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R240" s="145"/>
    </row>
    <row r="241" spans="2:18" ht="12.75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R241" s="145"/>
    </row>
    <row r="242" spans="2:18" ht="12.75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R242" s="145"/>
    </row>
    <row r="243" spans="2:18" ht="12.75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R243" s="145"/>
    </row>
    <row r="244" spans="2:18" ht="12.75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R244" s="145"/>
    </row>
    <row r="245" spans="2:18" ht="12.75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R245" s="145"/>
    </row>
    <row r="246" spans="2:18" ht="12.75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R246" s="145"/>
    </row>
    <row r="247" spans="2:18" ht="12.75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R247" s="145"/>
    </row>
    <row r="248" spans="2:18" ht="12.75"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R248" s="145"/>
    </row>
    <row r="249" spans="2:18" ht="12.75"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R249" s="145"/>
    </row>
    <row r="250" spans="2:18" ht="12.75"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R250" s="145"/>
    </row>
    <row r="251" spans="2:18" ht="12.75"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R251" s="145"/>
    </row>
    <row r="252" spans="2:18" ht="12.75"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R252" s="145"/>
    </row>
    <row r="253" spans="2:18" ht="12.75"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R253" s="145"/>
    </row>
    <row r="254" spans="2:18" ht="12.75"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R254" s="145"/>
    </row>
    <row r="255" spans="2:18" ht="12.75"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R255" s="145"/>
    </row>
    <row r="256" spans="2:18" ht="12.75"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R256" s="145"/>
    </row>
    <row r="257" spans="2:18" ht="12.75"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R257" s="145"/>
    </row>
    <row r="258" spans="2:18" ht="12.75"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R258" s="145"/>
    </row>
    <row r="259" spans="2:18" ht="12.75"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R259" s="145"/>
    </row>
    <row r="260" spans="2:18" ht="12.75"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R260" s="145"/>
    </row>
    <row r="261" spans="2:18" ht="12.75"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R261" s="145"/>
    </row>
    <row r="262" spans="2:18" ht="12.75"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R262" s="145"/>
    </row>
    <row r="263" spans="2:18" ht="12.75"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R263" s="145"/>
    </row>
    <row r="264" spans="2:18" ht="12.75"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R264" s="145"/>
    </row>
    <row r="265" spans="2:18" ht="12.75"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R265" s="145"/>
    </row>
    <row r="266" spans="2:18" ht="12.75"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R266" s="145"/>
    </row>
    <row r="267" spans="2:18" ht="12.75"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R267" s="145"/>
    </row>
    <row r="268" spans="2:18" ht="12.75"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R268" s="145"/>
    </row>
    <row r="269" spans="2:18" ht="12.75"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R269" s="145"/>
    </row>
    <row r="270" spans="2:18" ht="12.75"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R270" s="145"/>
    </row>
    <row r="271" spans="2:18" ht="12.75"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R271" s="145"/>
    </row>
    <row r="272" spans="2:18" ht="12.75"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R272" s="145"/>
    </row>
    <row r="273" spans="2:18" ht="12.75"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R273" s="145"/>
    </row>
    <row r="274" spans="2:18" ht="12.75"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R274" s="145"/>
    </row>
    <row r="275" spans="2:18" ht="12.75"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R275" s="145"/>
    </row>
    <row r="276" spans="2:18" ht="12.75"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R276" s="145"/>
    </row>
    <row r="277" spans="2:18" ht="12.75"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R277" s="145"/>
    </row>
    <row r="278" spans="2:18" ht="12.75"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R278" s="145"/>
    </row>
    <row r="279" spans="2:18" ht="12.75"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R279" s="145"/>
    </row>
    <row r="280" spans="2:18" ht="12.75"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R280" s="145"/>
    </row>
    <row r="281" spans="2:18" ht="12.75"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R281" s="145"/>
    </row>
    <row r="282" spans="2:18" ht="12.75"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R282" s="145"/>
    </row>
    <row r="283" spans="2:18" ht="12.75"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R283" s="145"/>
    </row>
    <row r="284" spans="2:18" ht="12.75"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R284" s="145"/>
    </row>
    <row r="285" spans="2:18" ht="12.75"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R285" s="145"/>
    </row>
    <row r="286" spans="2:18" ht="12.75"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R286" s="145"/>
    </row>
    <row r="287" spans="2:18" ht="12.75"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R287" s="145"/>
    </row>
    <row r="288" spans="2:18" ht="12.75"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R288" s="145"/>
    </row>
    <row r="289" spans="2:18" ht="12.75"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R289" s="145"/>
    </row>
    <row r="290" spans="2:18" ht="12.75"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R290" s="145"/>
    </row>
    <row r="291" spans="2:18" ht="12.75"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R291" s="145"/>
    </row>
    <row r="292" spans="2:18" ht="12.75"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R292" s="145"/>
    </row>
    <row r="293" spans="2:18" ht="12.75"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R293" s="145"/>
    </row>
    <row r="294" spans="2:18" ht="12.75"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R294" s="145"/>
    </row>
    <row r="295" spans="2:18" ht="12.75"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R295" s="145"/>
    </row>
    <row r="296" spans="2:18" ht="12.75"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R296" s="145"/>
    </row>
    <row r="297" spans="2:18" ht="12.75"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R297" s="145"/>
    </row>
    <row r="298" spans="2:18" ht="12.75"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R298" s="145"/>
    </row>
    <row r="299" spans="2:18" ht="12.75"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R299" s="145"/>
    </row>
    <row r="300" spans="2:18" ht="12.75"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R300" s="145"/>
    </row>
    <row r="301" spans="2:18" ht="12.75"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R301" s="145"/>
    </row>
    <row r="302" spans="2:18" ht="12.75"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R302" s="145"/>
    </row>
    <row r="303" spans="2:18" ht="12.75"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R303" s="145"/>
    </row>
    <row r="304" spans="2:18" ht="12.75"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R304" s="145"/>
    </row>
    <row r="305" spans="2:18" ht="12.75"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R305" s="145"/>
    </row>
    <row r="306" spans="2:18" ht="12.75"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R306" s="145"/>
    </row>
    <row r="307" spans="2:18" ht="12.75"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R307" s="145"/>
    </row>
    <row r="308" spans="2:18" ht="12.75"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R308" s="145"/>
    </row>
    <row r="309" spans="2:18" ht="12.75"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R309" s="145"/>
    </row>
    <row r="310" spans="2:18" ht="12.75"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R310" s="145"/>
    </row>
    <row r="311" spans="2:18" ht="12.75"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R311" s="145"/>
    </row>
    <row r="312" spans="2:18" ht="12.75"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R312" s="145"/>
    </row>
    <row r="313" spans="2:18" ht="12.75"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R313" s="145"/>
    </row>
    <row r="314" spans="2:18" ht="12.75"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R314" s="145"/>
    </row>
    <row r="315" spans="2:18" ht="12.75"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R315" s="145"/>
    </row>
    <row r="316" spans="2:18" ht="12.75"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R316" s="145"/>
    </row>
    <row r="317" spans="2:18" ht="12.75"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R317" s="145"/>
    </row>
    <row r="318" spans="2:18" ht="12.75"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R318" s="145"/>
    </row>
    <row r="319" spans="2:18" ht="12.75"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R319" s="145"/>
    </row>
    <row r="320" spans="2:18" ht="12.75"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R320" s="145"/>
    </row>
    <row r="321" spans="2:18" ht="12.75"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R321" s="145"/>
    </row>
    <row r="322" spans="2:18" ht="12.75"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R322" s="145"/>
    </row>
    <row r="323" spans="2:18" ht="12.75"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R323" s="145"/>
    </row>
    <row r="324" spans="2:18" ht="12.75"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R324" s="145"/>
    </row>
    <row r="325" spans="2:18" ht="12.75"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R325" s="145"/>
    </row>
    <row r="326" spans="2:18" ht="12.75"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R326" s="145"/>
    </row>
    <row r="327" spans="2:18" ht="12.75"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R327" s="145"/>
    </row>
    <row r="328" spans="2:18" ht="12.75"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R328" s="145"/>
    </row>
    <row r="329" spans="2:18" ht="12.75"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R329" s="145"/>
    </row>
    <row r="330" spans="2:18" ht="12.75"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R330" s="145"/>
    </row>
    <row r="331" spans="2:18" ht="12.75"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R331" s="145"/>
    </row>
    <row r="332" spans="2:18" ht="12.75"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R332" s="145"/>
    </row>
    <row r="333" spans="2:18" ht="12.75"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R333" s="145"/>
    </row>
    <row r="334" spans="2:18" ht="12.75"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R334" s="145"/>
    </row>
    <row r="335" spans="2:18" ht="12.75"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R335" s="145"/>
    </row>
    <row r="336" spans="2:18" ht="12.75"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R336" s="145"/>
    </row>
  </sheetData>
  <sheetProtection password="CAF5" sheet="1" objects="1" scenarios="1"/>
  <printOptions/>
  <pageMargins left="0.36" right="0.21" top="0.86" bottom="0.61" header="0.37" footer="0.4"/>
  <pageSetup fitToHeight="1" fitToWidth="1" horizontalDpi="600" verticalDpi="600" orientation="landscape" scale="82" r:id="rId1"/>
  <headerFooter alignWithMargins="0">
    <oddFooter>&amp;L&amp;"Lucida Sans,Italic"&amp;10MSDE-DBS 10 / 2007
&amp;C- 19 -&amp;R&amp;"Lucida Sans,Italic"&amp;10Selected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workbookViewId="0" topLeftCell="AI1">
      <selection activeCell="C4" sqref="C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6.375" style="1" customWidth="1"/>
    <col min="13" max="13" width="6.625" style="1" customWidth="1"/>
    <col min="14" max="14" width="9.375" style="1" bestFit="1" customWidth="1"/>
    <col min="15" max="17" width="10.125" style="1" customWidth="1"/>
    <col min="18" max="22" width="10.125" style="3" customWidth="1"/>
    <col min="23" max="23" width="10.125" style="1" customWidth="1"/>
    <col min="24" max="25" width="10.875" style="3" bestFit="1" customWidth="1"/>
    <col min="26" max="26" width="6.75390625" style="3" customWidth="1"/>
    <col min="27" max="27" width="12.50390625" style="3" bestFit="1" customWidth="1"/>
    <col min="28" max="28" width="10.125" style="3" customWidth="1"/>
    <col min="29" max="29" width="5.625" style="3" customWidth="1"/>
    <col min="30" max="31" width="10.125" style="3" customWidth="1"/>
    <col min="32" max="32" width="7.00390625" style="3" customWidth="1"/>
    <col min="33" max="34" width="10.125" style="3" customWidth="1"/>
    <col min="35" max="35" width="3.875" style="3" customWidth="1"/>
    <col min="36" max="37" width="10.125" style="3" customWidth="1"/>
    <col min="38" max="38" width="2.625" style="3" customWidth="1"/>
    <col min="39" max="40" width="10.125" style="3" customWidth="1"/>
    <col min="41" max="41" width="3.75390625" style="3" customWidth="1"/>
    <col min="42" max="46" width="10.125" style="3" customWidth="1"/>
    <col min="47" max="16384" width="10.00390625" style="3" customWidth="1"/>
  </cols>
  <sheetData>
    <row r="1" spans="1:23" s="248" customFormat="1" ht="12.75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73"/>
      <c r="O1" s="73"/>
      <c r="P1" s="73"/>
      <c r="Q1" s="73"/>
      <c r="W1" s="73"/>
    </row>
    <row r="2" spans="1:23" s="248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73"/>
      <c r="O2" s="73"/>
      <c r="P2" s="73"/>
      <c r="Q2" s="73"/>
      <c r="W2" s="73"/>
    </row>
    <row r="3" spans="1:23" s="248" customFormat="1" ht="12.75">
      <c r="A3" s="123" t="s">
        <v>233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73"/>
      <c r="O3" s="73"/>
      <c r="P3" s="73"/>
      <c r="Q3" s="73"/>
      <c r="W3" s="73"/>
    </row>
    <row r="4" spans="1:23" s="248" customFormat="1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3"/>
      <c r="O4" s="73"/>
      <c r="P4" s="73"/>
      <c r="Q4" s="73"/>
      <c r="W4" s="73"/>
    </row>
    <row r="5" spans="1:23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02"/>
      <c r="W5" s="102"/>
    </row>
    <row r="6" spans="1:26" ht="13.5" thickTop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5"/>
      <c r="O6" s="5"/>
      <c r="P6" s="5"/>
      <c r="Q6" s="5"/>
      <c r="R6" s="5"/>
      <c r="T6" s="5"/>
      <c r="U6" s="5"/>
      <c r="V6" s="189"/>
      <c r="W6" s="189"/>
      <c r="X6" s="189"/>
      <c r="Y6" s="189"/>
      <c r="Z6" s="190"/>
    </row>
    <row r="7" spans="1:26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6" t="s">
        <v>34</v>
      </c>
      <c r="M7" s="6"/>
      <c r="R7" s="1"/>
      <c r="T7" s="1"/>
      <c r="U7" s="1"/>
      <c r="V7" s="102"/>
      <c r="W7" s="102"/>
      <c r="X7" s="102"/>
      <c r="Y7" s="102"/>
      <c r="Z7" s="102"/>
    </row>
    <row r="8" spans="1:43" ht="12.75">
      <c r="A8" s="102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0" t="s">
        <v>87</v>
      </c>
      <c r="M8" s="10" t="s">
        <v>88</v>
      </c>
      <c r="R8" s="1"/>
      <c r="T8" s="1"/>
      <c r="U8" s="1"/>
      <c r="V8" s="102"/>
      <c r="W8" s="102"/>
      <c r="X8" s="102"/>
      <c r="Y8" s="102"/>
      <c r="Z8" s="102"/>
      <c r="AE8" s="3" t="s">
        <v>214</v>
      </c>
      <c r="AH8" s="3" t="s">
        <v>214</v>
      </c>
      <c r="AK8" s="3" t="s">
        <v>214</v>
      </c>
      <c r="AN8" s="3" t="s">
        <v>214</v>
      </c>
      <c r="AQ8" s="3" t="s">
        <v>214</v>
      </c>
    </row>
    <row r="9" spans="1:43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36"/>
      <c r="AA9" s="9" t="s">
        <v>107</v>
      </c>
      <c r="AB9" s="9" t="s">
        <v>107</v>
      </c>
      <c r="AD9" s="122" t="s">
        <v>163</v>
      </c>
      <c r="AE9" s="122" t="s">
        <v>163</v>
      </c>
      <c r="AG9" s="122" t="s">
        <v>171</v>
      </c>
      <c r="AH9" s="122" t="s">
        <v>171</v>
      </c>
      <c r="AJ9" s="21" t="s">
        <v>187</v>
      </c>
      <c r="AK9" s="21" t="s">
        <v>187</v>
      </c>
      <c r="AM9" s="3" t="s">
        <v>197</v>
      </c>
      <c r="AN9" s="3" t="s">
        <v>197</v>
      </c>
      <c r="AP9" s="3" t="s">
        <v>213</v>
      </c>
      <c r="AQ9" s="3" t="s">
        <v>213</v>
      </c>
    </row>
    <row r="10" spans="1:43" ht="13.5" thickTop="1">
      <c r="A10" s="7" t="s">
        <v>5</v>
      </c>
      <c r="B10" s="11">
        <f aca="true" t="shared" si="0" ref="B10:K10">SUM(B12:B39)</f>
        <v>5453638</v>
      </c>
      <c r="C10" s="11">
        <f t="shared" si="0"/>
        <v>5780549</v>
      </c>
      <c r="D10" s="11">
        <f t="shared" si="0"/>
        <v>6108201</v>
      </c>
      <c r="E10" s="11">
        <f t="shared" si="0"/>
        <v>6418873</v>
      </c>
      <c r="F10" s="11">
        <f t="shared" si="0"/>
        <v>6943072</v>
      </c>
      <c r="G10" s="11">
        <f t="shared" si="0"/>
        <v>7325471</v>
      </c>
      <c r="H10" s="11">
        <f t="shared" si="0"/>
        <v>7726859</v>
      </c>
      <c r="I10" s="11">
        <f t="shared" si="0"/>
        <v>8112458</v>
      </c>
      <c r="J10" s="11">
        <f t="shared" si="0"/>
        <v>8480476</v>
      </c>
      <c r="K10" s="11">
        <f t="shared" si="0"/>
        <v>9327121</v>
      </c>
      <c r="L10" s="271">
        <f>(K10-J10)*100/J10</f>
        <v>9.98346083403809</v>
      </c>
      <c r="M10" s="271">
        <f>(K10-Y10)*100/Y10</f>
        <v>78.41746697158116</v>
      </c>
      <c r="N10" s="14">
        <f aca="true" t="shared" si="1" ref="N10:S10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aca="true" t="shared" si="2" ref="T10:Y10">SUM(T12:T39)</f>
        <v>4179737</v>
      </c>
      <c r="U10" s="11">
        <f t="shared" si="2"/>
        <v>4284556</v>
      </c>
      <c r="V10" s="11">
        <f t="shared" si="2"/>
        <v>4502334.729000001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/>
      <c r="AA10" s="11">
        <f>SUM(AA12:AA39)</f>
        <v>6943074714</v>
      </c>
      <c r="AB10" s="11">
        <f>SUM(AB12:AB39)</f>
        <v>6943074.714000001</v>
      </c>
      <c r="AD10" s="3">
        <f>SUM(AD12:AD39)</f>
        <v>7325471043</v>
      </c>
      <c r="AE10" s="3">
        <f>SUM(AE12:AE39)</f>
        <v>7325471.043000001</v>
      </c>
      <c r="AG10" s="3">
        <f>SUM(AG12:AG39)</f>
        <v>7726855425</v>
      </c>
      <c r="AH10" s="3">
        <f>SUM(AH12:AH39)</f>
        <v>7726855.425000001</v>
      </c>
      <c r="AJ10" s="3">
        <f>SUM(AJ12:AJ39)</f>
        <v>8112456886</v>
      </c>
      <c r="AK10" s="3">
        <f>SUM(AK12:AK39)</f>
        <v>8112456.886</v>
      </c>
      <c r="AM10" s="3">
        <v>8480476955</v>
      </c>
      <c r="AN10" s="3">
        <f>SUM(AN12:AN39)</f>
        <v>8480476.957</v>
      </c>
      <c r="AP10" s="3">
        <f>SUM(AP12:AP39)</f>
        <v>9327121265</v>
      </c>
      <c r="AQ10" s="3">
        <f>SUM(AQ12:AQ39)</f>
        <v>9327121.265</v>
      </c>
    </row>
    <row r="11" spans="2:26" ht="12.75">
      <c r="B11" s="15"/>
      <c r="C11" s="15"/>
      <c r="D11" s="15"/>
      <c r="E11" s="15"/>
      <c r="M11" s="15"/>
      <c r="R11" s="1"/>
      <c r="S11" s="1"/>
      <c r="T11" s="1"/>
      <c r="U11" s="1"/>
      <c r="V11" s="1"/>
      <c r="X11" s="1"/>
      <c r="Y11" s="15"/>
      <c r="Z11" s="1"/>
    </row>
    <row r="12" spans="1:43" ht="12.75">
      <c r="A12" s="1" t="s">
        <v>6</v>
      </c>
      <c r="B12" s="15">
        <v>69046</v>
      </c>
      <c r="C12" s="15">
        <v>71664</v>
      </c>
      <c r="D12" s="15">
        <v>75072</v>
      </c>
      <c r="E12" s="15">
        <v>76528</v>
      </c>
      <c r="F12" s="1">
        <v>80469</v>
      </c>
      <c r="G12" s="1">
        <v>85597</v>
      </c>
      <c r="H12" s="1">
        <v>89453</v>
      </c>
      <c r="I12" s="1">
        <v>91103</v>
      </c>
      <c r="J12" s="1">
        <v>95004</v>
      </c>
      <c r="K12" s="1">
        <v>104428</v>
      </c>
      <c r="L12" s="271">
        <f>(K12-J12)*100/J12</f>
        <v>9.919582333375438</v>
      </c>
      <c r="M12" s="271">
        <f>(K12-Y12)*100/Y12</f>
        <v>57.677150492986456</v>
      </c>
      <c r="N12" s="15">
        <v>37762</v>
      </c>
      <c r="O12" s="15">
        <v>39463</v>
      </c>
      <c r="P12" s="15">
        <v>41847</v>
      </c>
      <c r="Q12" s="15">
        <v>45105</v>
      </c>
      <c r="R12" s="15">
        <v>47782</v>
      </c>
      <c r="S12" s="15">
        <v>50521</v>
      </c>
      <c r="T12" s="15">
        <v>53781</v>
      </c>
      <c r="U12" s="15">
        <v>54877</v>
      </c>
      <c r="V12" s="15">
        <f>57523082/1000</f>
        <v>57523.082</v>
      </c>
      <c r="W12" s="15">
        <v>59839</v>
      </c>
      <c r="X12" s="15">
        <v>63412</v>
      </c>
      <c r="Y12" s="15">
        <v>66229</v>
      </c>
      <c r="Z12" s="15"/>
      <c r="AA12" s="3">
        <v>80468850</v>
      </c>
      <c r="AB12" s="3">
        <f>AA12/1000</f>
        <v>80468.85</v>
      </c>
      <c r="AD12" s="3">
        <v>85597068</v>
      </c>
      <c r="AE12" s="3">
        <f>AD12/1000</f>
        <v>85597.068</v>
      </c>
      <c r="AG12" s="3">
        <v>89453050</v>
      </c>
      <c r="AH12" s="3">
        <f>AG12/1000</f>
        <v>89453.05</v>
      </c>
      <c r="AJ12" s="3">
        <v>91102621</v>
      </c>
      <c r="AK12" s="3">
        <f>AJ12/1000</f>
        <v>91102.621</v>
      </c>
      <c r="AM12" s="3">
        <v>95003755</v>
      </c>
      <c r="AN12" s="3">
        <f>AM12/1000</f>
        <v>95003.755</v>
      </c>
      <c r="AP12" s="3">
        <v>104427917</v>
      </c>
      <c r="AQ12" s="3">
        <f>AP12/1000</f>
        <v>104427.917</v>
      </c>
    </row>
    <row r="13" spans="1:43" ht="12.75">
      <c r="A13" s="1" t="s">
        <v>7</v>
      </c>
      <c r="B13" s="15">
        <v>460381</v>
      </c>
      <c r="C13" s="15">
        <v>478694</v>
      </c>
      <c r="D13" s="15">
        <v>497891</v>
      </c>
      <c r="E13" s="15">
        <v>534592</v>
      </c>
      <c r="F13" s="1">
        <v>570321</v>
      </c>
      <c r="G13" s="1">
        <v>605913</v>
      </c>
      <c r="H13" s="1">
        <v>635152</v>
      </c>
      <c r="I13" s="1">
        <v>657396</v>
      </c>
      <c r="J13" s="1">
        <v>665515</v>
      </c>
      <c r="K13" s="1">
        <v>740434</v>
      </c>
      <c r="L13" s="271">
        <f>(K13-J13)*100/J13</f>
        <v>11.257296980533873</v>
      </c>
      <c r="M13" s="271">
        <f>(K13-Y13)*100/Y13</f>
        <v>62.55090459244494</v>
      </c>
      <c r="N13" s="15">
        <v>221383</v>
      </c>
      <c r="O13" s="15">
        <v>242466</v>
      </c>
      <c r="P13" s="15">
        <v>266240</v>
      </c>
      <c r="Q13" s="15">
        <v>282632</v>
      </c>
      <c r="R13" s="15">
        <v>306897</v>
      </c>
      <c r="S13" s="15">
        <v>341757</v>
      </c>
      <c r="T13" s="15">
        <v>374313</v>
      </c>
      <c r="U13" s="15">
        <v>375017</v>
      </c>
      <c r="V13" s="15">
        <f>394831587/1000</f>
        <v>394831.587</v>
      </c>
      <c r="W13" s="15">
        <v>411021</v>
      </c>
      <c r="X13" s="15">
        <v>438133</v>
      </c>
      <c r="Y13" s="15">
        <v>455509</v>
      </c>
      <c r="Z13" s="15"/>
      <c r="AA13" s="3">
        <v>570321229</v>
      </c>
      <c r="AB13" s="3">
        <f>AA13/1000</f>
        <v>570321.229</v>
      </c>
      <c r="AD13" s="3">
        <v>605913064</v>
      </c>
      <c r="AE13" s="3">
        <f>AD13/1000</f>
        <v>605913.064</v>
      </c>
      <c r="AG13" s="3">
        <v>635151836</v>
      </c>
      <c r="AH13" s="3">
        <f>AG13/1000</f>
        <v>635151.836</v>
      </c>
      <c r="AJ13" s="3">
        <v>657396192</v>
      </c>
      <c r="AK13" s="3">
        <f>AJ13/1000</f>
        <v>657396.192</v>
      </c>
      <c r="AM13" s="3">
        <v>665514975</v>
      </c>
      <c r="AN13" s="3">
        <f>AM13/1000</f>
        <v>665514.975</v>
      </c>
      <c r="AP13" s="3">
        <v>740433845</v>
      </c>
      <c r="AQ13" s="3">
        <f>AP13/1000</f>
        <v>740433.845</v>
      </c>
    </row>
    <row r="14" spans="1:43" ht="12.75">
      <c r="A14" s="1" t="s">
        <v>8</v>
      </c>
      <c r="B14" s="15">
        <v>733527</v>
      </c>
      <c r="C14" s="15">
        <v>796993</v>
      </c>
      <c r="D14" s="15">
        <v>846482</v>
      </c>
      <c r="E14" s="15">
        <v>859871</v>
      </c>
      <c r="F14" s="1">
        <v>919756</v>
      </c>
      <c r="G14" s="1">
        <v>940241</v>
      </c>
      <c r="H14" s="1">
        <v>929249</v>
      </c>
      <c r="I14" s="1">
        <v>921163</v>
      </c>
      <c r="J14" s="1">
        <v>1008905</v>
      </c>
      <c r="K14" s="1">
        <v>1064617</v>
      </c>
      <c r="L14" s="271">
        <f>(K14-J14)*100/J14</f>
        <v>5.522026355306</v>
      </c>
      <c r="M14" s="271">
        <f>(K14-Y14)*100/Y14</f>
        <v>51.04764039714992</v>
      </c>
      <c r="N14" s="15">
        <v>364731</v>
      </c>
      <c r="O14" s="15">
        <v>392102</v>
      </c>
      <c r="P14" s="15">
        <v>413877</v>
      </c>
      <c r="Q14" s="15">
        <v>446389</v>
      </c>
      <c r="R14" s="15">
        <v>476939</v>
      </c>
      <c r="S14" s="15">
        <v>519871</v>
      </c>
      <c r="T14" s="15">
        <v>568439</v>
      </c>
      <c r="U14" s="15">
        <v>594878</v>
      </c>
      <c r="V14" s="15">
        <f>634480202/1000</f>
        <v>634480.202</v>
      </c>
      <c r="W14" s="15">
        <v>658735</v>
      </c>
      <c r="X14" s="15">
        <v>678132</v>
      </c>
      <c r="Y14" s="15">
        <v>704822</v>
      </c>
      <c r="Z14" s="15"/>
      <c r="AA14" s="3">
        <v>919756294</v>
      </c>
      <c r="AB14" s="3">
        <f>AA14/1000</f>
        <v>919756.294</v>
      </c>
      <c r="AD14" s="3">
        <v>940241326</v>
      </c>
      <c r="AE14" s="3">
        <f>AD14/1000</f>
        <v>940241.326</v>
      </c>
      <c r="AG14" s="3">
        <v>929248707</v>
      </c>
      <c r="AH14" s="3">
        <f>AG14/1000</f>
        <v>929248.707</v>
      </c>
      <c r="AJ14" s="3">
        <v>921163220</v>
      </c>
      <c r="AK14" s="3">
        <f>AJ14/1000</f>
        <v>921163.22</v>
      </c>
      <c r="AM14" s="3">
        <v>1008905432</v>
      </c>
      <c r="AN14" s="3">
        <f>AM14/1000</f>
        <v>1008905.432</v>
      </c>
      <c r="AP14" s="3">
        <v>1064616810</v>
      </c>
      <c r="AQ14" s="3">
        <f>AP14/1000</f>
        <v>1064616.81</v>
      </c>
    </row>
    <row r="15" spans="1:43" ht="12.75">
      <c r="A15" s="1" t="s">
        <v>9</v>
      </c>
      <c r="B15" s="15">
        <v>695221</v>
      </c>
      <c r="C15" s="15">
        <v>733337</v>
      </c>
      <c r="D15" s="15">
        <v>762882</v>
      </c>
      <c r="E15" s="15">
        <v>800158</v>
      </c>
      <c r="F15" s="1">
        <v>874958</v>
      </c>
      <c r="G15" s="1">
        <v>916581</v>
      </c>
      <c r="H15" s="1">
        <v>963760</v>
      </c>
      <c r="I15" s="1">
        <v>995991</v>
      </c>
      <c r="J15" s="1">
        <v>1040714</v>
      </c>
      <c r="K15" s="1">
        <v>1131270</v>
      </c>
      <c r="L15" s="271">
        <f>(K15-J15)*100/J15</f>
        <v>8.701333891924198</v>
      </c>
      <c r="M15" s="271">
        <f>(K15-Y15)*100/Y15</f>
        <v>71.21465283957792</v>
      </c>
      <c r="N15" s="15">
        <v>347664</v>
      </c>
      <c r="O15" s="15">
        <v>364606</v>
      </c>
      <c r="P15" s="15">
        <v>393111</v>
      </c>
      <c r="Q15" s="15">
        <v>416472</v>
      </c>
      <c r="R15" s="15">
        <v>463102</v>
      </c>
      <c r="S15" s="15">
        <v>502726</v>
      </c>
      <c r="T15" s="15">
        <v>530557</v>
      </c>
      <c r="U15" s="15">
        <v>543781</v>
      </c>
      <c r="V15" s="15">
        <f>563296101/1000</f>
        <v>563296.101</v>
      </c>
      <c r="W15" s="15">
        <v>590180</v>
      </c>
      <c r="X15" s="15">
        <v>643364</v>
      </c>
      <c r="Y15" s="15">
        <v>660732</v>
      </c>
      <c r="Z15" s="15"/>
      <c r="AA15" s="3">
        <v>874957882</v>
      </c>
      <c r="AB15" s="3">
        <f>AA15/1000</f>
        <v>874957.882</v>
      </c>
      <c r="AD15" s="3">
        <v>916580835</v>
      </c>
      <c r="AE15" s="3">
        <f>AD15/1000</f>
        <v>916580.835</v>
      </c>
      <c r="AG15" s="3">
        <v>963759846</v>
      </c>
      <c r="AH15" s="3">
        <f>AG15/1000</f>
        <v>963759.846</v>
      </c>
      <c r="AJ15" s="3">
        <v>995990822</v>
      </c>
      <c r="AK15" s="3">
        <f>AJ15/1000</f>
        <v>995990.822</v>
      </c>
      <c r="AM15" s="3">
        <v>1040713850</v>
      </c>
      <c r="AN15" s="3">
        <f>AM15/1000</f>
        <v>1040713.85</v>
      </c>
      <c r="AP15" s="3">
        <v>1131270249</v>
      </c>
      <c r="AQ15" s="3">
        <f>AP15/1000</f>
        <v>1131270.249</v>
      </c>
    </row>
    <row r="16" spans="1:43" ht="12.75">
      <c r="A16" s="1" t="s">
        <v>10</v>
      </c>
      <c r="B16" s="15">
        <v>85187</v>
      </c>
      <c r="C16" s="15">
        <v>91777</v>
      </c>
      <c r="D16" s="15">
        <v>99660</v>
      </c>
      <c r="E16" s="15">
        <v>107139</v>
      </c>
      <c r="F16" s="1">
        <v>116556</v>
      </c>
      <c r="G16" s="1">
        <v>127821</v>
      </c>
      <c r="H16" s="1">
        <v>139319</v>
      </c>
      <c r="I16" s="1">
        <v>150227</v>
      </c>
      <c r="J16" s="1">
        <v>154630</v>
      </c>
      <c r="K16" s="1">
        <v>171939</v>
      </c>
      <c r="L16" s="271">
        <f>(K16-J16)*100/J16</f>
        <v>11.193817499838323</v>
      </c>
      <c r="M16" s="271">
        <f>(K16-Y16)*100/Y16</f>
        <v>116.35983842756295</v>
      </c>
      <c r="N16" s="15">
        <v>29244</v>
      </c>
      <c r="O16" s="15">
        <v>31494</v>
      </c>
      <c r="P16" s="15">
        <v>33604</v>
      </c>
      <c r="Q16" s="15">
        <v>37643</v>
      </c>
      <c r="R16" s="15">
        <v>42105</v>
      </c>
      <c r="S16" s="15">
        <v>47443</v>
      </c>
      <c r="T16" s="15">
        <v>53160</v>
      </c>
      <c r="U16" s="15">
        <v>59527</v>
      </c>
      <c r="V16" s="15">
        <f>65203019/1000</f>
        <v>65203.019</v>
      </c>
      <c r="W16" s="15">
        <v>68996</v>
      </c>
      <c r="X16" s="15">
        <v>74084</v>
      </c>
      <c r="Y16" s="15">
        <v>79469</v>
      </c>
      <c r="Z16" s="15"/>
      <c r="AA16" s="3">
        <v>116555943</v>
      </c>
      <c r="AB16" s="3">
        <f>AA16/1000</f>
        <v>116555.943</v>
      </c>
      <c r="AD16" s="3">
        <v>127820525</v>
      </c>
      <c r="AE16" s="3">
        <f>AD16/1000</f>
        <v>127820.525</v>
      </c>
      <c r="AG16" s="3">
        <v>139318689</v>
      </c>
      <c r="AH16" s="3">
        <f>AG16/1000</f>
        <v>139318.689</v>
      </c>
      <c r="AJ16" s="3">
        <v>150226747</v>
      </c>
      <c r="AK16" s="3">
        <f>AJ16/1000</f>
        <v>150226.747</v>
      </c>
      <c r="AM16" s="3">
        <v>154630212</v>
      </c>
      <c r="AN16" s="3">
        <f>AM16/1000</f>
        <v>154630.212</v>
      </c>
      <c r="AP16" s="3">
        <v>171939272</v>
      </c>
      <c r="AQ16" s="3">
        <f>AP16/1000</f>
        <v>171939.272</v>
      </c>
    </row>
    <row r="17" spans="2:26" ht="12.75">
      <c r="B17" s="15"/>
      <c r="C17" s="15"/>
      <c r="D17" s="15"/>
      <c r="E17" s="15"/>
      <c r="L17" s="271"/>
      <c r="M17" s="271"/>
      <c r="R17" s="15"/>
      <c r="S17" s="15"/>
      <c r="T17" s="15"/>
      <c r="U17" s="15"/>
      <c r="V17" s="15"/>
      <c r="W17" s="15"/>
      <c r="X17" s="15"/>
      <c r="Y17" s="15"/>
      <c r="Z17" s="15"/>
    </row>
    <row r="18" spans="1:43" ht="12.75">
      <c r="A18" s="1" t="s">
        <v>11</v>
      </c>
      <c r="B18" s="15">
        <v>32930</v>
      </c>
      <c r="C18" s="15">
        <v>34495</v>
      </c>
      <c r="D18" s="15">
        <v>36824</v>
      </c>
      <c r="E18" s="15">
        <v>37306</v>
      </c>
      <c r="F18" s="1">
        <v>38291</v>
      </c>
      <c r="G18" s="1">
        <v>40262</v>
      </c>
      <c r="H18" s="1">
        <v>43477</v>
      </c>
      <c r="I18" s="1">
        <v>45940</v>
      </c>
      <c r="J18" s="1">
        <v>47551</v>
      </c>
      <c r="K18" s="1">
        <v>51404</v>
      </c>
      <c r="L18" s="271">
        <f>(K18-J18)*100/J18</f>
        <v>8.102879014111165</v>
      </c>
      <c r="M18" s="271">
        <f>(K18-Y18)*100/Y18</f>
        <v>67.01540061082592</v>
      </c>
      <c r="N18" s="15">
        <v>13200</v>
      </c>
      <c r="O18" s="15">
        <v>14290</v>
      </c>
      <c r="P18" s="15">
        <v>15692</v>
      </c>
      <c r="Q18" s="15">
        <v>17384</v>
      </c>
      <c r="R18" s="15">
        <v>18917</v>
      </c>
      <c r="S18" s="15">
        <v>20583</v>
      </c>
      <c r="T18" s="15">
        <v>22689</v>
      </c>
      <c r="U18" s="15">
        <v>23965</v>
      </c>
      <c r="V18" s="15">
        <f>25484058/1000</f>
        <v>25484.058</v>
      </c>
      <c r="W18" s="15">
        <v>27296</v>
      </c>
      <c r="X18" s="15">
        <v>29370</v>
      </c>
      <c r="Y18" s="15">
        <v>30778</v>
      </c>
      <c r="Z18" s="15"/>
      <c r="AA18" s="3">
        <v>38290787</v>
      </c>
      <c r="AB18" s="3">
        <f>AA18/1000</f>
        <v>38290.787</v>
      </c>
      <c r="AD18" s="3">
        <v>40262201</v>
      </c>
      <c r="AE18" s="3">
        <f>AD18/1000</f>
        <v>40262.201</v>
      </c>
      <c r="AG18" s="3">
        <v>43476861</v>
      </c>
      <c r="AH18" s="3">
        <f>AG18/1000</f>
        <v>43476.861</v>
      </c>
      <c r="AJ18" s="3">
        <v>45940351</v>
      </c>
      <c r="AK18" s="3">
        <f>AJ18/1000</f>
        <v>45940.351</v>
      </c>
      <c r="AM18" s="3">
        <v>47551176</v>
      </c>
      <c r="AN18" s="3">
        <f>AM18/1000</f>
        <v>47551.176</v>
      </c>
      <c r="AP18" s="3">
        <v>51404370</v>
      </c>
      <c r="AQ18" s="3">
        <f>AP18/1000</f>
        <v>51404.37</v>
      </c>
    </row>
    <row r="19" spans="1:43" ht="12.75">
      <c r="A19" s="1" t="s">
        <v>12</v>
      </c>
      <c r="B19" s="15">
        <v>154711</v>
      </c>
      <c r="C19" s="15">
        <v>164890</v>
      </c>
      <c r="D19" s="15">
        <v>176517</v>
      </c>
      <c r="E19" s="15">
        <v>184028</v>
      </c>
      <c r="F19" s="1">
        <v>195968</v>
      </c>
      <c r="G19" s="1">
        <v>207135</v>
      </c>
      <c r="H19" s="1">
        <v>223104</v>
      </c>
      <c r="I19" s="1">
        <v>237850</v>
      </c>
      <c r="J19" s="1">
        <v>247218</v>
      </c>
      <c r="K19" s="1">
        <v>276138</v>
      </c>
      <c r="L19" s="271">
        <f>(K19-J19)*100/J19</f>
        <v>11.698177317185642</v>
      </c>
      <c r="M19" s="271">
        <f>(K19-Y19)*100/Y19</f>
        <v>87.24774872518174</v>
      </c>
      <c r="N19" s="15">
        <v>58701</v>
      </c>
      <c r="O19" s="15">
        <v>63599</v>
      </c>
      <c r="P19" s="15">
        <v>69351</v>
      </c>
      <c r="Q19" s="15">
        <v>78655</v>
      </c>
      <c r="R19" s="15">
        <v>89068</v>
      </c>
      <c r="S19" s="15">
        <v>98450</v>
      </c>
      <c r="T19" s="15">
        <v>109672</v>
      </c>
      <c r="U19" s="15">
        <v>115356</v>
      </c>
      <c r="V19" s="15">
        <f>122294498/1000</f>
        <v>122294.498</v>
      </c>
      <c r="W19" s="15">
        <v>130726</v>
      </c>
      <c r="X19" s="15">
        <v>143102</v>
      </c>
      <c r="Y19" s="15">
        <v>147472</v>
      </c>
      <c r="Z19" s="15"/>
      <c r="AA19" s="3">
        <v>195967598</v>
      </c>
      <c r="AB19" s="3">
        <f>AA19/1000</f>
        <v>195967.598</v>
      </c>
      <c r="AD19" s="3">
        <v>207134889</v>
      </c>
      <c r="AE19" s="3">
        <f>AD19/1000</f>
        <v>207134.889</v>
      </c>
      <c r="AG19" s="3">
        <v>223103763</v>
      </c>
      <c r="AH19" s="3">
        <f>AG19/1000</f>
        <v>223103.763</v>
      </c>
      <c r="AJ19" s="3">
        <v>237849954</v>
      </c>
      <c r="AK19" s="3">
        <f>AJ19/1000</f>
        <v>237849.954</v>
      </c>
      <c r="AM19" s="3">
        <v>247217789</v>
      </c>
      <c r="AN19" s="3">
        <f>AM19/1000</f>
        <v>247217.789</v>
      </c>
      <c r="AP19" s="3">
        <v>276137684</v>
      </c>
      <c r="AQ19" s="3">
        <f>AP19/1000</f>
        <v>276137.684</v>
      </c>
    </row>
    <row r="20" spans="1:43" ht="12.75">
      <c r="A20" s="1" t="s">
        <v>13</v>
      </c>
      <c r="B20" s="15">
        <v>85699</v>
      </c>
      <c r="C20" s="15">
        <v>91123</v>
      </c>
      <c r="D20" s="15">
        <v>98374</v>
      </c>
      <c r="E20" s="15">
        <v>102839</v>
      </c>
      <c r="F20" s="1">
        <v>111310</v>
      </c>
      <c r="G20" s="1">
        <v>117833</v>
      </c>
      <c r="H20" s="1">
        <v>126888</v>
      </c>
      <c r="I20" s="1">
        <v>133840</v>
      </c>
      <c r="J20" s="1">
        <v>141188</v>
      </c>
      <c r="K20" s="1">
        <v>157515</v>
      </c>
      <c r="L20" s="271">
        <f>(K20-J20)*100/J20</f>
        <v>11.56401393886166</v>
      </c>
      <c r="M20" s="271">
        <f>(K20-Y20)*100/Y20</f>
        <v>92.18286746135357</v>
      </c>
      <c r="N20" s="15">
        <v>36853</v>
      </c>
      <c r="O20" s="15">
        <v>39228</v>
      </c>
      <c r="P20" s="15">
        <v>42895</v>
      </c>
      <c r="Q20" s="15">
        <v>46438</v>
      </c>
      <c r="R20" s="15">
        <v>51269</v>
      </c>
      <c r="S20" s="15">
        <v>57387</v>
      </c>
      <c r="T20" s="15">
        <v>62796</v>
      </c>
      <c r="U20" s="15">
        <v>66949</v>
      </c>
      <c r="V20" s="15">
        <f>68698870/1000</f>
        <v>68698.87</v>
      </c>
      <c r="W20" s="15">
        <v>74118</v>
      </c>
      <c r="X20" s="15">
        <v>79214</v>
      </c>
      <c r="Y20" s="15">
        <v>81961</v>
      </c>
      <c r="Z20" s="15"/>
      <c r="AA20" s="3">
        <v>111310489</v>
      </c>
      <c r="AB20" s="3">
        <f>AA20/1000</f>
        <v>111310.489</v>
      </c>
      <c r="AD20" s="3">
        <v>117832770</v>
      </c>
      <c r="AE20" s="3">
        <f>AD20/1000</f>
        <v>117832.77</v>
      </c>
      <c r="AG20" s="3">
        <v>126887944</v>
      </c>
      <c r="AH20" s="3">
        <f>AG20/1000</f>
        <v>126887.944</v>
      </c>
      <c r="AJ20" s="3">
        <v>133839646</v>
      </c>
      <c r="AK20" s="3">
        <f>AJ20/1000</f>
        <v>133839.646</v>
      </c>
      <c r="AM20" s="3">
        <v>141188103</v>
      </c>
      <c r="AN20" s="3">
        <f>AM20/1000</f>
        <v>141188.103</v>
      </c>
      <c r="AP20" s="3">
        <v>157514534</v>
      </c>
      <c r="AQ20" s="3">
        <f>AP20/1000</f>
        <v>157514.534</v>
      </c>
    </row>
    <row r="21" spans="1:43" ht="12.75">
      <c r="A21" s="1" t="s">
        <v>14</v>
      </c>
      <c r="B21" s="15">
        <v>130949</v>
      </c>
      <c r="C21" s="15">
        <v>140938</v>
      </c>
      <c r="D21" s="15">
        <v>147233</v>
      </c>
      <c r="E21" s="15">
        <v>158305</v>
      </c>
      <c r="F21" s="1">
        <v>167431</v>
      </c>
      <c r="G21" s="1">
        <v>179349</v>
      </c>
      <c r="H21" s="1">
        <v>194528</v>
      </c>
      <c r="I21" s="1">
        <v>209001</v>
      </c>
      <c r="J21" s="1">
        <v>219730</v>
      </c>
      <c r="K21" s="1">
        <v>253413</v>
      </c>
      <c r="L21" s="271">
        <f>(K21-J21)*100/J21</f>
        <v>15.329267737678059</v>
      </c>
      <c r="M21" s="271">
        <f>(K21-Y21)*100/Y21</f>
        <v>102.29506102866631</v>
      </c>
      <c r="N21" s="15">
        <v>53594</v>
      </c>
      <c r="O21" s="15">
        <v>59192</v>
      </c>
      <c r="P21" s="15">
        <v>64594</v>
      </c>
      <c r="Q21" s="15">
        <v>70363</v>
      </c>
      <c r="R21" s="15">
        <v>78084</v>
      </c>
      <c r="S21" s="15">
        <v>90253</v>
      </c>
      <c r="T21" s="15">
        <v>98065</v>
      </c>
      <c r="U21" s="15">
        <v>103805</v>
      </c>
      <c r="V21" s="15">
        <f>109492360/1000</f>
        <v>109492.36</v>
      </c>
      <c r="W21" s="15">
        <v>115495</v>
      </c>
      <c r="X21" s="15">
        <v>122848</v>
      </c>
      <c r="Y21" s="15">
        <v>125269</v>
      </c>
      <c r="Z21" s="15"/>
      <c r="AA21" s="3">
        <v>167431305</v>
      </c>
      <c r="AB21" s="3">
        <f>AA21/1000</f>
        <v>167431.305</v>
      </c>
      <c r="AD21" s="3">
        <v>179349446</v>
      </c>
      <c r="AE21" s="3">
        <f>AD21/1000</f>
        <v>179349.446</v>
      </c>
      <c r="AG21" s="3">
        <v>194527510</v>
      </c>
      <c r="AH21" s="3">
        <f>AG21/1000</f>
        <v>194527.51</v>
      </c>
      <c r="AJ21" s="3">
        <v>209001256</v>
      </c>
      <c r="AK21" s="3">
        <f>AJ21/1000</f>
        <v>209001.256</v>
      </c>
      <c r="AM21" s="3">
        <v>219729570</v>
      </c>
      <c r="AN21" s="3">
        <f>AM21/1000</f>
        <v>219729.57</v>
      </c>
      <c r="AP21" s="3">
        <v>253412600</v>
      </c>
      <c r="AQ21" s="3">
        <f>AP21/1000</f>
        <v>253412.6</v>
      </c>
    </row>
    <row r="22" spans="1:43" ht="12.75">
      <c r="A22" s="1" t="s">
        <v>15</v>
      </c>
      <c r="B22" s="15">
        <v>33570</v>
      </c>
      <c r="C22" s="15">
        <v>35145</v>
      </c>
      <c r="D22" s="15">
        <v>36158</v>
      </c>
      <c r="E22" s="15">
        <v>37886</v>
      </c>
      <c r="F22" s="1">
        <v>39987</v>
      </c>
      <c r="G22" s="1">
        <v>39809</v>
      </c>
      <c r="H22" s="1">
        <v>41614</v>
      </c>
      <c r="I22" s="1">
        <v>43620</v>
      </c>
      <c r="J22" s="1">
        <v>45791</v>
      </c>
      <c r="K22" s="1">
        <v>48279</v>
      </c>
      <c r="L22" s="271">
        <f>(K22-J22)*100/J22</f>
        <v>5.4333821056539495</v>
      </c>
      <c r="M22" s="271">
        <f>(K22-Y22)*100/Y22</f>
        <v>52.602964882890284</v>
      </c>
      <c r="N22" s="15">
        <v>17223</v>
      </c>
      <c r="O22" s="15">
        <v>18557</v>
      </c>
      <c r="P22" s="15">
        <v>19284</v>
      </c>
      <c r="Q22" s="15">
        <v>20539</v>
      </c>
      <c r="R22" s="15">
        <v>22379</v>
      </c>
      <c r="S22" s="15">
        <v>24707</v>
      </c>
      <c r="T22" s="15">
        <v>26005</v>
      </c>
      <c r="U22" s="15">
        <v>26331</v>
      </c>
      <c r="V22" s="15">
        <f>26929614/1000</f>
        <v>26929.614</v>
      </c>
      <c r="W22" s="15">
        <v>28762</v>
      </c>
      <c r="X22" s="15">
        <v>30942</v>
      </c>
      <c r="Y22" s="15">
        <v>31637</v>
      </c>
      <c r="Z22" s="15"/>
      <c r="AA22" s="3">
        <v>39987149</v>
      </c>
      <c r="AB22" s="3">
        <f>AA22/1000</f>
        <v>39987.149</v>
      </c>
      <c r="AD22" s="3">
        <v>39809349</v>
      </c>
      <c r="AE22" s="3">
        <f>AD22/1000</f>
        <v>39809.349</v>
      </c>
      <c r="AG22" s="3">
        <v>41614130</v>
      </c>
      <c r="AH22" s="3">
        <f>AG22/1000</f>
        <v>41614.13</v>
      </c>
      <c r="AJ22" s="3">
        <v>43620370</v>
      </c>
      <c r="AK22" s="3">
        <f>AJ22/1000</f>
        <v>43620.37</v>
      </c>
      <c r="AM22" s="3">
        <v>45790721</v>
      </c>
      <c r="AN22" s="3">
        <f>AM22/1000</f>
        <v>45790.721</v>
      </c>
      <c r="AP22" s="3">
        <v>48279369</v>
      </c>
      <c r="AQ22" s="3">
        <f>AP22/1000</f>
        <v>48279.369</v>
      </c>
    </row>
    <row r="23" spans="2:26" ht="12.75">
      <c r="B23" s="15"/>
      <c r="C23" s="15"/>
      <c r="D23" s="15"/>
      <c r="E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43" ht="12.75">
      <c r="A24" s="1" t="s">
        <v>16</v>
      </c>
      <c r="B24" s="15">
        <v>199618</v>
      </c>
      <c r="C24" s="15">
        <v>212892</v>
      </c>
      <c r="D24" s="15">
        <v>224989</v>
      </c>
      <c r="E24" s="15">
        <v>238788</v>
      </c>
      <c r="F24" s="1">
        <v>259886</v>
      </c>
      <c r="G24" s="1">
        <v>279707</v>
      </c>
      <c r="H24" s="1">
        <v>301771</v>
      </c>
      <c r="I24" s="1">
        <v>323651</v>
      </c>
      <c r="J24" s="1">
        <v>337833</v>
      </c>
      <c r="K24" s="1">
        <v>377410</v>
      </c>
      <c r="L24" s="271">
        <f>(K24-J24)*100/J24</f>
        <v>11.714959758223738</v>
      </c>
      <c r="M24" s="271">
        <f>(K24-Y24)*100/Y24</f>
        <v>98.86501354185329</v>
      </c>
      <c r="N24" s="15">
        <v>75384</v>
      </c>
      <c r="O24" s="15">
        <v>81537</v>
      </c>
      <c r="P24" s="15">
        <v>90178</v>
      </c>
      <c r="Q24" s="15">
        <v>99880</v>
      </c>
      <c r="R24" s="15">
        <v>112533</v>
      </c>
      <c r="S24" s="15">
        <v>126428</v>
      </c>
      <c r="T24" s="15">
        <v>139187</v>
      </c>
      <c r="U24" s="15">
        <v>146964</v>
      </c>
      <c r="V24" s="15">
        <f>154712888/1000</f>
        <v>154712.888</v>
      </c>
      <c r="W24" s="15">
        <v>166137</v>
      </c>
      <c r="X24" s="15">
        <v>180856</v>
      </c>
      <c r="Y24" s="15">
        <v>189782</v>
      </c>
      <c r="Z24" s="15"/>
      <c r="AA24" s="3">
        <v>259886317</v>
      </c>
      <c r="AB24" s="3">
        <f>AA24/1000</f>
        <v>259886.317</v>
      </c>
      <c r="AD24" s="3">
        <v>279706828</v>
      </c>
      <c r="AE24" s="3">
        <f>AD24/1000</f>
        <v>279706.828</v>
      </c>
      <c r="AG24" s="3">
        <v>301771067</v>
      </c>
      <c r="AH24" s="3">
        <f>AG24/1000</f>
        <v>301771.067</v>
      </c>
      <c r="AJ24" s="3">
        <v>323650507</v>
      </c>
      <c r="AK24" s="3">
        <f>AJ24/1000</f>
        <v>323650.507</v>
      </c>
      <c r="AM24" s="3">
        <v>337832586</v>
      </c>
      <c r="AN24" s="3">
        <f>AM24/1000</f>
        <v>337832.586</v>
      </c>
      <c r="AP24" s="3">
        <v>377409913</v>
      </c>
      <c r="AQ24" s="3">
        <f>AP24/1000</f>
        <v>377409.913</v>
      </c>
    </row>
    <row r="25" spans="1:43" ht="12.75">
      <c r="A25" s="1" t="s">
        <v>17</v>
      </c>
      <c r="B25" s="15">
        <v>33171</v>
      </c>
      <c r="C25" s="15">
        <v>34351</v>
      </c>
      <c r="D25" s="15">
        <v>36383</v>
      </c>
      <c r="E25" s="15">
        <v>37241</v>
      </c>
      <c r="F25" s="1">
        <v>38977</v>
      </c>
      <c r="G25" s="1">
        <v>40406</v>
      </c>
      <c r="H25" s="1">
        <v>42314</v>
      </c>
      <c r="I25" s="1">
        <v>44554</v>
      </c>
      <c r="J25" s="1">
        <v>45303</v>
      </c>
      <c r="K25" s="1">
        <v>48168</v>
      </c>
      <c r="L25" s="271">
        <f>(K25-J25)*100/J25</f>
        <v>6.324084497715383</v>
      </c>
      <c r="M25" s="271">
        <f>(K25-Y25)*100/Y25</f>
        <v>51.12477645656198</v>
      </c>
      <c r="N25" s="15">
        <v>16300</v>
      </c>
      <c r="O25" s="15">
        <v>18239</v>
      </c>
      <c r="P25" s="15">
        <v>19317</v>
      </c>
      <c r="Q25" s="15">
        <v>20941</v>
      </c>
      <c r="R25" s="15">
        <v>22889</v>
      </c>
      <c r="S25" s="15">
        <v>25003</v>
      </c>
      <c r="T25" s="15">
        <v>28358</v>
      </c>
      <c r="U25" s="15">
        <v>27211</v>
      </c>
      <c r="V25" s="15">
        <f>28378866/1000</f>
        <v>28378.866</v>
      </c>
      <c r="W25" s="15">
        <v>29932</v>
      </c>
      <c r="X25" s="15">
        <v>30691</v>
      </c>
      <c r="Y25" s="15">
        <v>31873</v>
      </c>
      <c r="Z25" s="15"/>
      <c r="AA25" s="3">
        <v>38976929</v>
      </c>
      <c r="AB25" s="3">
        <f>AA25/1000</f>
        <v>38976.929</v>
      </c>
      <c r="AD25" s="3">
        <v>40406322</v>
      </c>
      <c r="AE25" s="3">
        <f>AD25/1000</f>
        <v>40406.322</v>
      </c>
      <c r="AG25" s="3">
        <v>42313668</v>
      </c>
      <c r="AH25" s="3">
        <f>AG25/1000</f>
        <v>42313.668</v>
      </c>
      <c r="AJ25" s="3">
        <v>44553793</v>
      </c>
      <c r="AK25" s="3">
        <f>AJ25/1000</f>
        <v>44553.793</v>
      </c>
      <c r="AM25" s="3">
        <v>45303253</v>
      </c>
      <c r="AN25" s="3">
        <f>AM25/1000</f>
        <v>45303.253</v>
      </c>
      <c r="AP25" s="3">
        <v>48167895</v>
      </c>
      <c r="AQ25" s="3">
        <f>AP25/1000</f>
        <v>48167.895</v>
      </c>
    </row>
    <row r="26" spans="1:43" ht="12.75">
      <c r="A26" s="1" t="s">
        <v>18</v>
      </c>
      <c r="B26" s="15">
        <v>220112</v>
      </c>
      <c r="C26" s="15">
        <v>232231</v>
      </c>
      <c r="D26" s="15">
        <v>241889</v>
      </c>
      <c r="E26" s="15">
        <v>252011</v>
      </c>
      <c r="F26" s="1">
        <v>271523</v>
      </c>
      <c r="G26" s="1">
        <v>288793</v>
      </c>
      <c r="H26" s="1">
        <v>305218</v>
      </c>
      <c r="I26" s="1">
        <v>320434</v>
      </c>
      <c r="J26" s="1">
        <v>333071</v>
      </c>
      <c r="K26" s="1">
        <v>385151</v>
      </c>
      <c r="L26" s="271">
        <f>(K26-J26)*100/J26</f>
        <v>15.63630577264307</v>
      </c>
      <c r="M26" s="271">
        <f>(K26-Y26)*100/Y26</f>
        <v>82.81674229622739</v>
      </c>
      <c r="N26" s="15">
        <v>87184</v>
      </c>
      <c r="O26" s="15">
        <v>93262</v>
      </c>
      <c r="P26" s="15">
        <v>101626</v>
      </c>
      <c r="Q26" s="15">
        <v>110388</v>
      </c>
      <c r="R26" s="15">
        <v>121661</v>
      </c>
      <c r="S26" s="15">
        <v>135641</v>
      </c>
      <c r="T26" s="15">
        <v>151025</v>
      </c>
      <c r="U26" s="15">
        <v>160235</v>
      </c>
      <c r="V26" s="15">
        <f>173681021/1000</f>
        <v>173681.021</v>
      </c>
      <c r="W26" s="15">
        <v>185580</v>
      </c>
      <c r="X26" s="15">
        <v>198372</v>
      </c>
      <c r="Y26" s="15">
        <v>210676</v>
      </c>
      <c r="Z26" s="15"/>
      <c r="AA26" s="3">
        <v>271522776</v>
      </c>
      <c r="AB26" s="3">
        <f>AA26/1000</f>
        <v>271522.776</v>
      </c>
      <c r="AD26" s="3">
        <v>288792840</v>
      </c>
      <c r="AE26" s="3">
        <f>AD26/1000</f>
        <v>288792.84</v>
      </c>
      <c r="AG26" s="3">
        <v>305217930</v>
      </c>
      <c r="AH26" s="3">
        <f>AG26/1000</f>
        <v>305217.93</v>
      </c>
      <c r="AJ26" s="3">
        <v>320433917</v>
      </c>
      <c r="AK26" s="3">
        <f>AJ26/1000</f>
        <v>320433.917</v>
      </c>
      <c r="AM26" s="3">
        <v>333071314</v>
      </c>
      <c r="AN26" s="3">
        <f>AM26/1000</f>
        <v>333071.314</v>
      </c>
      <c r="AP26" s="3">
        <v>385150505</v>
      </c>
      <c r="AQ26" s="3">
        <f>AP26/1000</f>
        <v>385150.505</v>
      </c>
    </row>
    <row r="27" spans="1:43" ht="12.75">
      <c r="A27" s="1" t="s">
        <v>19</v>
      </c>
      <c r="B27" s="15">
        <v>270201</v>
      </c>
      <c r="C27" s="15">
        <v>287508</v>
      </c>
      <c r="D27" s="15">
        <v>312913</v>
      </c>
      <c r="E27" s="15">
        <v>336551</v>
      </c>
      <c r="F27" s="1">
        <v>405466</v>
      </c>
      <c r="G27" s="1">
        <v>406996</v>
      </c>
      <c r="H27" s="1">
        <v>438442</v>
      </c>
      <c r="I27" s="1">
        <v>477018</v>
      </c>
      <c r="J27" s="1">
        <v>485975</v>
      </c>
      <c r="K27" s="1">
        <v>554291</v>
      </c>
      <c r="L27" s="271">
        <f>(K27-J27)*100/J27</f>
        <v>14.057513246566181</v>
      </c>
      <c r="M27" s="271">
        <f>(K27-Y27)*100/Y27</f>
        <v>113.0274369035769</v>
      </c>
      <c r="N27" s="15">
        <v>100203</v>
      </c>
      <c r="O27" s="15">
        <v>109561</v>
      </c>
      <c r="P27" s="15">
        <v>124154</v>
      </c>
      <c r="Q27" s="15">
        <v>136741</v>
      </c>
      <c r="R27" s="15">
        <v>156259</v>
      </c>
      <c r="S27" s="15">
        <v>178254</v>
      </c>
      <c r="T27" s="15">
        <v>205336</v>
      </c>
      <c r="U27" s="15">
        <v>202147</v>
      </c>
      <c r="V27" s="15">
        <f>214253511/1000</f>
        <v>214253.511</v>
      </c>
      <c r="W27" s="15">
        <v>229112</v>
      </c>
      <c r="X27" s="15">
        <v>247525</v>
      </c>
      <c r="Y27" s="15">
        <v>260197</v>
      </c>
      <c r="Z27" s="15"/>
      <c r="AA27" s="3">
        <v>405466159</v>
      </c>
      <c r="AB27" s="3">
        <f>AA27/1000</f>
        <v>405466.159</v>
      </c>
      <c r="AD27" s="3">
        <v>406995706</v>
      </c>
      <c r="AE27" s="3">
        <f>AD27/1000</f>
        <v>406995.706</v>
      </c>
      <c r="AG27" s="3">
        <v>438441855</v>
      </c>
      <c r="AH27" s="3">
        <f>AG27/1000</f>
        <v>438441.855</v>
      </c>
      <c r="AJ27" s="3">
        <v>477018130</v>
      </c>
      <c r="AK27" s="3">
        <f>AJ27/1000</f>
        <v>477018.13</v>
      </c>
      <c r="AM27" s="3">
        <v>485975326</v>
      </c>
      <c r="AN27" s="3">
        <f>AM27/1000</f>
        <v>485975.326</v>
      </c>
      <c r="AP27" s="3">
        <v>554290604</v>
      </c>
      <c r="AQ27" s="3">
        <f>AP27/1000</f>
        <v>554290.604</v>
      </c>
    </row>
    <row r="28" spans="1:43" ht="12.75">
      <c r="A28" s="1" t="s">
        <v>20</v>
      </c>
      <c r="B28" s="15">
        <v>19521</v>
      </c>
      <c r="C28" s="15">
        <v>20739</v>
      </c>
      <c r="D28" s="15">
        <v>21890</v>
      </c>
      <c r="E28" s="15">
        <v>22694</v>
      </c>
      <c r="F28" s="1">
        <v>24240</v>
      </c>
      <c r="G28" s="1">
        <v>26255</v>
      </c>
      <c r="H28" s="1">
        <v>26945</v>
      </c>
      <c r="I28" s="1">
        <v>25803</v>
      </c>
      <c r="J28" s="1">
        <v>26788</v>
      </c>
      <c r="K28" s="1">
        <v>27383</v>
      </c>
      <c r="L28" s="271">
        <f>(K28-J28)*100/J28</f>
        <v>2.221143795729431</v>
      </c>
      <c r="M28" s="271">
        <f>(K28-Y28)*100/Y28</f>
        <v>45.2370849687069</v>
      </c>
      <c r="N28" s="15">
        <v>8786</v>
      </c>
      <c r="O28" s="15">
        <v>9524</v>
      </c>
      <c r="P28" s="15">
        <v>10455</v>
      </c>
      <c r="Q28" s="15">
        <v>10985</v>
      </c>
      <c r="R28" s="15">
        <v>12817</v>
      </c>
      <c r="S28" s="15">
        <v>14191</v>
      </c>
      <c r="T28" s="15">
        <v>14989</v>
      </c>
      <c r="U28" s="15">
        <v>15127</v>
      </c>
      <c r="V28" s="15">
        <f>15761349/1000</f>
        <v>15761.349</v>
      </c>
      <c r="W28" s="15">
        <v>17125</v>
      </c>
      <c r="X28" s="15">
        <v>18095</v>
      </c>
      <c r="Y28" s="15">
        <v>18854</v>
      </c>
      <c r="Z28" s="15"/>
      <c r="AA28" s="3">
        <v>24240126</v>
      </c>
      <c r="AB28" s="3">
        <f>AA28/1000</f>
        <v>24240.126</v>
      </c>
      <c r="AD28" s="3">
        <v>26254730</v>
      </c>
      <c r="AE28" s="3">
        <f>AD28/1000</f>
        <v>26254.73</v>
      </c>
      <c r="AG28" s="3">
        <v>26944565</v>
      </c>
      <c r="AH28" s="3">
        <f>AG28/1000</f>
        <v>26944.565</v>
      </c>
      <c r="AJ28" s="3">
        <v>25802894</v>
      </c>
      <c r="AK28" s="3">
        <f>AJ28/1000</f>
        <v>25802.894</v>
      </c>
      <c r="AM28" s="3">
        <v>26787615</v>
      </c>
      <c r="AN28" s="3">
        <f>AM28/1000</f>
        <v>26787.615</v>
      </c>
      <c r="AP28" s="3">
        <v>27383388</v>
      </c>
      <c r="AQ28" s="3">
        <f>AP28/1000</f>
        <v>27383.388</v>
      </c>
    </row>
    <row r="29" spans="2:26" ht="12.75">
      <c r="B29" s="15"/>
      <c r="C29" s="15"/>
      <c r="D29" s="15"/>
      <c r="E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43" ht="12.75">
      <c r="A30" s="1" t="s">
        <v>21</v>
      </c>
      <c r="B30" s="15">
        <v>987884</v>
      </c>
      <c r="C30" s="15">
        <v>1036255</v>
      </c>
      <c r="D30" s="15">
        <v>1096476</v>
      </c>
      <c r="E30" s="15">
        <v>1164850</v>
      </c>
      <c r="F30" s="1">
        <v>1269483</v>
      </c>
      <c r="G30" s="1">
        <v>1373236</v>
      </c>
      <c r="H30" s="1">
        <v>1452924</v>
      </c>
      <c r="I30" s="1">
        <v>1553754</v>
      </c>
      <c r="J30" s="1">
        <v>1587753</v>
      </c>
      <c r="K30" s="1">
        <v>1777728</v>
      </c>
      <c r="L30" s="271">
        <f>(K30-J30)*100/J30</f>
        <v>11.965022267317398</v>
      </c>
      <c r="M30" s="271">
        <f>(K30-Y30)*100/Y30</f>
        <v>87.9697848907536</v>
      </c>
      <c r="N30" s="15">
        <v>451095</v>
      </c>
      <c r="O30" s="15">
        <v>489309</v>
      </c>
      <c r="P30" s="15">
        <v>535242</v>
      </c>
      <c r="Q30" s="15">
        <v>586065</v>
      </c>
      <c r="R30" s="15">
        <v>649792</v>
      </c>
      <c r="S30" s="15">
        <v>719405</v>
      </c>
      <c r="T30" s="15">
        <v>786709</v>
      </c>
      <c r="U30" s="15">
        <v>795873</v>
      </c>
      <c r="V30" s="15">
        <f>822642892/1000</f>
        <v>822642.892</v>
      </c>
      <c r="W30" s="15">
        <v>853939</v>
      </c>
      <c r="X30" s="15">
        <v>899273</v>
      </c>
      <c r="Y30" s="15">
        <v>945752</v>
      </c>
      <c r="Z30" s="15"/>
      <c r="AA30" s="3">
        <v>1269483383</v>
      </c>
      <c r="AB30" s="3">
        <f>AA30/1000</f>
        <v>1269483.383</v>
      </c>
      <c r="AD30" s="3">
        <v>1373236071</v>
      </c>
      <c r="AE30" s="3">
        <f>AD30/1000</f>
        <v>1373236.071</v>
      </c>
      <c r="AG30" s="3">
        <v>1452923728</v>
      </c>
      <c r="AH30" s="3">
        <f>AG30/1000</f>
        <v>1452923.728</v>
      </c>
      <c r="AJ30" s="3">
        <v>1553753884</v>
      </c>
      <c r="AK30" s="3">
        <f>AJ30/1000</f>
        <v>1553753.884</v>
      </c>
      <c r="AM30" s="3">
        <v>1587753449</v>
      </c>
      <c r="AN30" s="3">
        <f>AM30/1000</f>
        <v>1587753.449</v>
      </c>
      <c r="AP30" s="3">
        <v>1777727962</v>
      </c>
      <c r="AQ30" s="3">
        <f>AP30/1000</f>
        <v>1777727.962</v>
      </c>
    </row>
    <row r="31" spans="1:43" ht="12.75">
      <c r="A31" s="1" t="s">
        <v>22</v>
      </c>
      <c r="B31" s="15">
        <v>824222</v>
      </c>
      <c r="C31" s="15">
        <v>876798</v>
      </c>
      <c r="D31" s="15">
        <v>925086</v>
      </c>
      <c r="E31" s="15">
        <v>972642</v>
      </c>
      <c r="F31" s="1">
        <v>1030545</v>
      </c>
      <c r="G31" s="1">
        <v>1084505</v>
      </c>
      <c r="H31" s="1">
        <v>1174967</v>
      </c>
      <c r="I31" s="1">
        <v>1244807</v>
      </c>
      <c r="J31" s="1">
        <v>1332440</v>
      </c>
      <c r="K31" s="1">
        <v>1419195</v>
      </c>
      <c r="L31" s="271">
        <f>(K31-J31)*100/J31</f>
        <v>6.5109873615322265</v>
      </c>
      <c r="M31" s="271">
        <f>(K31-Y31)*100/Y31</f>
        <v>80.08831870871957</v>
      </c>
      <c r="N31" s="15">
        <v>377229</v>
      </c>
      <c r="O31" s="15">
        <v>409799</v>
      </c>
      <c r="P31" s="15">
        <v>448356</v>
      </c>
      <c r="Q31" s="15">
        <v>500893</v>
      </c>
      <c r="R31" s="15">
        <v>538545</v>
      </c>
      <c r="S31" s="15">
        <v>581630</v>
      </c>
      <c r="T31" s="15">
        <v>633729</v>
      </c>
      <c r="U31" s="15">
        <v>634536</v>
      </c>
      <c r="V31" s="15">
        <f>675680520/1000</f>
        <v>675680.52</v>
      </c>
      <c r="W31" s="15">
        <v>711713</v>
      </c>
      <c r="X31" s="15">
        <v>761421</v>
      </c>
      <c r="Y31" s="15">
        <v>788055</v>
      </c>
      <c r="Z31" s="15"/>
      <c r="AA31" s="3">
        <v>1030545286</v>
      </c>
      <c r="AB31" s="3">
        <f>AA31/1000</f>
        <v>1030545.286</v>
      </c>
      <c r="AD31" s="3">
        <v>1084505309</v>
      </c>
      <c r="AE31" s="3">
        <f>AD31/1000</f>
        <v>1084505.309</v>
      </c>
      <c r="AG31" s="3">
        <v>1174967272</v>
      </c>
      <c r="AH31" s="3">
        <f>AG31/1000</f>
        <v>1174967.272</v>
      </c>
      <c r="AJ31" s="3">
        <v>1244806580</v>
      </c>
      <c r="AK31" s="3">
        <f>AJ31/1000</f>
        <v>1244806.58</v>
      </c>
      <c r="AM31" s="3">
        <v>1332440418</v>
      </c>
      <c r="AN31" s="3">
        <f>AM31/1000</f>
        <v>1332440.418</v>
      </c>
      <c r="AP31" s="3">
        <v>1419195087</v>
      </c>
      <c r="AQ31" s="3">
        <f>AP31/1000</f>
        <v>1419195.087</v>
      </c>
    </row>
    <row r="32" spans="1:43" ht="12.75">
      <c r="A32" s="1" t="s">
        <v>23</v>
      </c>
      <c r="B32" s="15">
        <v>40009</v>
      </c>
      <c r="C32" s="15">
        <v>41729</v>
      </c>
      <c r="D32" s="15">
        <v>46117</v>
      </c>
      <c r="E32" s="15">
        <v>48358</v>
      </c>
      <c r="F32" s="1">
        <v>52384</v>
      </c>
      <c r="G32" s="1">
        <v>56915</v>
      </c>
      <c r="H32" s="1">
        <v>60334</v>
      </c>
      <c r="I32" s="1">
        <v>63997</v>
      </c>
      <c r="J32" s="1">
        <v>65388</v>
      </c>
      <c r="K32" s="1">
        <v>71465</v>
      </c>
      <c r="L32" s="271">
        <f>(K32-J32)*100/J32</f>
        <v>9.293754205664648</v>
      </c>
      <c r="M32" s="271">
        <f>(K32-Y32)*100/Y32</f>
        <v>90.18282460015435</v>
      </c>
      <c r="N32" s="15">
        <v>15658</v>
      </c>
      <c r="O32" s="15">
        <v>18457</v>
      </c>
      <c r="P32" s="15">
        <v>20513</v>
      </c>
      <c r="Q32" s="15">
        <v>22155</v>
      </c>
      <c r="R32" s="15">
        <v>23730</v>
      </c>
      <c r="S32" s="15">
        <v>26520</v>
      </c>
      <c r="T32" s="15">
        <v>29915</v>
      </c>
      <c r="U32" s="15">
        <v>32299</v>
      </c>
      <c r="V32" s="15">
        <f>32655484/1000</f>
        <v>32655.484</v>
      </c>
      <c r="W32" s="15">
        <v>34589</v>
      </c>
      <c r="X32" s="15">
        <v>36420</v>
      </c>
      <c r="Y32" s="15">
        <v>37577</v>
      </c>
      <c r="Z32" s="15"/>
      <c r="AA32" s="3">
        <v>52384264</v>
      </c>
      <c r="AB32" s="3">
        <f>AA32/1000</f>
        <v>52384.264</v>
      </c>
      <c r="AD32" s="3">
        <v>56914517</v>
      </c>
      <c r="AE32" s="3">
        <f>AD32/1000</f>
        <v>56914.517</v>
      </c>
      <c r="AG32" s="3">
        <v>60334033</v>
      </c>
      <c r="AH32" s="3">
        <f>AG32/1000</f>
        <v>60334.033</v>
      </c>
      <c r="AJ32" s="3">
        <v>63996688</v>
      </c>
      <c r="AK32" s="3">
        <f>AJ32/1000</f>
        <v>63996.688</v>
      </c>
      <c r="AM32" s="3">
        <v>65388388</v>
      </c>
      <c r="AN32" s="3">
        <f>AM32/1000</f>
        <v>65388.388</v>
      </c>
      <c r="AP32" s="3">
        <v>71465279</v>
      </c>
      <c r="AQ32" s="3">
        <f>AP32/1000</f>
        <v>71465.279</v>
      </c>
    </row>
    <row r="33" spans="1:43" ht="12.75">
      <c r="A33" s="1" t="s">
        <v>24</v>
      </c>
      <c r="B33" s="15">
        <v>87200</v>
      </c>
      <c r="C33" s="15">
        <v>91633</v>
      </c>
      <c r="D33" s="15">
        <v>96785</v>
      </c>
      <c r="E33" s="15">
        <v>102952</v>
      </c>
      <c r="F33" s="1">
        <v>110571</v>
      </c>
      <c r="G33" s="1">
        <v>119941</v>
      </c>
      <c r="H33" s="1">
        <v>126104</v>
      </c>
      <c r="I33" s="1">
        <v>134795</v>
      </c>
      <c r="J33" s="1">
        <v>140812</v>
      </c>
      <c r="K33" s="1">
        <v>158182</v>
      </c>
      <c r="L33" s="271">
        <f>(K33-J33)*100/J33</f>
        <v>12.335596398034259</v>
      </c>
      <c r="M33" s="271">
        <f>(K33-Y33)*100/Y33</f>
        <v>94.21702723276772</v>
      </c>
      <c r="N33" s="15">
        <v>37214</v>
      </c>
      <c r="O33" s="15">
        <v>40446</v>
      </c>
      <c r="P33" s="15">
        <v>44576</v>
      </c>
      <c r="Q33" s="15">
        <v>49553</v>
      </c>
      <c r="R33" s="15">
        <v>53583</v>
      </c>
      <c r="S33" s="15">
        <v>58369</v>
      </c>
      <c r="T33" s="15">
        <v>63845</v>
      </c>
      <c r="U33" s="15">
        <v>71320</v>
      </c>
      <c r="V33" s="15">
        <f>73289900/1000</f>
        <v>73289.9</v>
      </c>
      <c r="W33" s="15">
        <v>75984</v>
      </c>
      <c r="X33" s="15">
        <v>80578</v>
      </c>
      <c r="Y33" s="15">
        <v>81446</v>
      </c>
      <c r="Z33" s="15"/>
      <c r="AA33" s="3">
        <v>110571476</v>
      </c>
      <c r="AB33" s="3">
        <f>AA33/1000</f>
        <v>110571.476</v>
      </c>
      <c r="AD33" s="3">
        <v>119941028</v>
      </c>
      <c r="AE33" s="3">
        <f>AD33/1000</f>
        <v>119941.028</v>
      </c>
      <c r="AG33" s="3">
        <v>126103888</v>
      </c>
      <c r="AH33" s="3">
        <f>AG33/1000</f>
        <v>126103.888</v>
      </c>
      <c r="AJ33" s="3">
        <v>134794651</v>
      </c>
      <c r="AK33" s="3">
        <f>AJ33/1000</f>
        <v>134794.651</v>
      </c>
      <c r="AM33" s="3">
        <v>140812053</v>
      </c>
      <c r="AN33" s="3">
        <f>AM33/1000</f>
        <v>140812.053</v>
      </c>
      <c r="AP33" s="3">
        <v>158181928</v>
      </c>
      <c r="AQ33" s="3">
        <f>AP33/1000</f>
        <v>158181.928</v>
      </c>
    </row>
    <row r="34" spans="1:43" ht="12.75">
      <c r="A34" s="1" t="s">
        <v>25</v>
      </c>
      <c r="B34" s="15">
        <v>21775</v>
      </c>
      <c r="C34" s="15">
        <v>23881</v>
      </c>
      <c r="D34" s="15">
        <v>24388</v>
      </c>
      <c r="E34" s="15">
        <v>25102</v>
      </c>
      <c r="F34" s="1">
        <v>26248</v>
      </c>
      <c r="G34" s="1">
        <v>27406</v>
      </c>
      <c r="H34" s="1">
        <v>28751</v>
      </c>
      <c r="I34" s="1">
        <v>29198</v>
      </c>
      <c r="J34" s="1">
        <v>30864</v>
      </c>
      <c r="K34" s="1">
        <v>33287</v>
      </c>
      <c r="L34" s="271">
        <f>(K34-J34)*100/J34</f>
        <v>7.8505702436495595</v>
      </c>
      <c r="M34" s="271">
        <f>(K34-Y34)*100/Y34</f>
        <v>52.14132272955803</v>
      </c>
      <c r="N34" s="15">
        <v>10681</v>
      </c>
      <c r="O34" s="15">
        <v>11539</v>
      </c>
      <c r="P34" s="15">
        <v>12404</v>
      </c>
      <c r="Q34" s="15">
        <v>13369</v>
      </c>
      <c r="R34" s="15">
        <v>15015</v>
      </c>
      <c r="S34" s="15">
        <v>16222</v>
      </c>
      <c r="T34" s="15">
        <v>17441</v>
      </c>
      <c r="U34" s="15">
        <v>17675</v>
      </c>
      <c r="V34" s="15">
        <f>18672234/1000</f>
        <v>18672.234</v>
      </c>
      <c r="W34" s="15">
        <v>19936</v>
      </c>
      <c r="X34" s="15">
        <v>20966</v>
      </c>
      <c r="Y34" s="15">
        <v>21879</v>
      </c>
      <c r="Z34" s="15"/>
      <c r="AA34" s="3">
        <v>26248393</v>
      </c>
      <c r="AB34" s="3">
        <f>AA34/1000</f>
        <v>26248.393</v>
      </c>
      <c r="AD34" s="3">
        <v>27406363</v>
      </c>
      <c r="AE34" s="3">
        <f>AD34/1000</f>
        <v>27406.363</v>
      </c>
      <c r="AG34" s="3">
        <v>28751327</v>
      </c>
      <c r="AH34" s="3">
        <f>AG34/1000</f>
        <v>28751.327</v>
      </c>
      <c r="AJ34" s="3">
        <v>29198324</v>
      </c>
      <c r="AK34" s="3">
        <f>AJ34/1000</f>
        <v>29198.324</v>
      </c>
      <c r="AM34" s="3">
        <v>30864104</v>
      </c>
      <c r="AN34" s="3">
        <f>AM34/1000</f>
        <v>30864.104</v>
      </c>
      <c r="AP34" s="3">
        <v>33287186</v>
      </c>
      <c r="AQ34" s="3">
        <f>AP34/1000</f>
        <v>33287.186</v>
      </c>
    </row>
    <row r="35" spans="2:26" ht="12.75">
      <c r="B35" s="15"/>
      <c r="C35" s="15"/>
      <c r="D35" s="15"/>
      <c r="E35" s="15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43" ht="12.75">
      <c r="A36" s="1" t="s">
        <v>26</v>
      </c>
      <c r="B36" s="15">
        <v>27114</v>
      </c>
      <c r="C36" s="15">
        <v>27765</v>
      </c>
      <c r="D36" s="15">
        <v>29900</v>
      </c>
      <c r="E36" s="15">
        <v>31143</v>
      </c>
      <c r="F36" s="1">
        <v>33273</v>
      </c>
      <c r="G36" s="1">
        <v>35814</v>
      </c>
      <c r="H36" s="1">
        <v>37994</v>
      </c>
      <c r="I36" s="1">
        <v>40464</v>
      </c>
      <c r="J36" s="1">
        <v>40896</v>
      </c>
      <c r="K36" s="1">
        <v>43872</v>
      </c>
      <c r="L36" s="271">
        <f>(K36-J36)*100/J36</f>
        <v>7.276995305164319</v>
      </c>
      <c r="M36" s="271">
        <f>(K36-Y36)*100/Y36</f>
        <v>61.20521771082124</v>
      </c>
      <c r="N36" s="15">
        <v>12772</v>
      </c>
      <c r="O36" s="15">
        <v>13595</v>
      </c>
      <c r="P36" s="15">
        <v>14223</v>
      </c>
      <c r="Q36" s="15">
        <v>16325</v>
      </c>
      <c r="R36" s="15">
        <v>17771</v>
      </c>
      <c r="S36" s="15">
        <v>20709</v>
      </c>
      <c r="T36" s="15">
        <v>21642</v>
      </c>
      <c r="U36" s="15">
        <v>21550</v>
      </c>
      <c r="V36" s="15">
        <f>22152464/1000</f>
        <v>22152.464</v>
      </c>
      <c r="W36" s="15">
        <v>24317</v>
      </c>
      <c r="X36" s="15">
        <v>26254</v>
      </c>
      <c r="Y36" s="15">
        <v>27215</v>
      </c>
      <c r="Z36" s="15"/>
      <c r="AA36" s="3">
        <v>33272922</v>
      </c>
      <c r="AB36" s="3">
        <f>AA36/1000</f>
        <v>33272.922</v>
      </c>
      <c r="AD36" s="3">
        <v>35813696</v>
      </c>
      <c r="AE36" s="3">
        <f>AD36/1000</f>
        <v>35813.696</v>
      </c>
      <c r="AG36" s="3">
        <v>37993615</v>
      </c>
      <c r="AH36" s="3">
        <f>AG36/1000</f>
        <v>37993.615</v>
      </c>
      <c r="AJ36" s="3">
        <v>40464053</v>
      </c>
      <c r="AK36" s="3">
        <f>AJ36/1000</f>
        <v>40464.053</v>
      </c>
      <c r="AM36" s="3">
        <v>40895823</v>
      </c>
      <c r="AN36" s="3">
        <f>AM36/1000</f>
        <v>40895.823</v>
      </c>
      <c r="AP36" s="3">
        <v>43872481</v>
      </c>
      <c r="AQ36" s="3">
        <f>AP36/1000</f>
        <v>43872.481</v>
      </c>
    </row>
    <row r="37" spans="1:43" ht="12.75">
      <c r="A37" s="1" t="s">
        <v>27</v>
      </c>
      <c r="B37" s="15">
        <v>116065</v>
      </c>
      <c r="C37" s="15">
        <v>122267</v>
      </c>
      <c r="D37" s="15">
        <v>129850</v>
      </c>
      <c r="E37" s="15">
        <v>136679</v>
      </c>
      <c r="F37" s="1">
        <v>142372</v>
      </c>
      <c r="G37" s="1">
        <v>152087</v>
      </c>
      <c r="H37" s="1">
        <v>159240</v>
      </c>
      <c r="I37" s="1">
        <v>170560</v>
      </c>
      <c r="J37" s="1">
        <v>178983</v>
      </c>
      <c r="K37" s="1">
        <v>202907</v>
      </c>
      <c r="L37" s="271">
        <f>(K37-J37)*100/J37</f>
        <v>13.366632585217591</v>
      </c>
      <c r="M37" s="271">
        <f>(K37-Y37)*100/Y37</f>
        <v>79.81992041758612</v>
      </c>
      <c r="N37" s="15">
        <v>59424</v>
      </c>
      <c r="O37" s="15">
        <v>64757</v>
      </c>
      <c r="P37" s="15">
        <v>68434</v>
      </c>
      <c r="Q37" s="15">
        <v>74127</v>
      </c>
      <c r="R37" s="15">
        <v>79718</v>
      </c>
      <c r="S37" s="15">
        <v>85468</v>
      </c>
      <c r="T37" s="15">
        <v>91813</v>
      </c>
      <c r="U37" s="15">
        <v>96112</v>
      </c>
      <c r="V37" s="15">
        <f>97725056/1000</f>
        <v>97725.056</v>
      </c>
      <c r="W37" s="15">
        <v>104445</v>
      </c>
      <c r="X37" s="15">
        <v>110155</v>
      </c>
      <c r="Y37" s="15">
        <v>112839</v>
      </c>
      <c r="Z37" s="15"/>
      <c r="AA37" s="3">
        <v>142371845</v>
      </c>
      <c r="AB37" s="3">
        <f>AA37/1000</f>
        <v>142371.845</v>
      </c>
      <c r="AD37" s="3">
        <v>152086831</v>
      </c>
      <c r="AE37" s="3">
        <f>AD37/1000</f>
        <v>152086.831</v>
      </c>
      <c r="AG37" s="3">
        <v>159239920</v>
      </c>
      <c r="AH37" s="3">
        <f>AG37/1000</f>
        <v>159239.92</v>
      </c>
      <c r="AJ37" s="3">
        <v>170560234</v>
      </c>
      <c r="AK37" s="3">
        <f>AJ37/1000</f>
        <v>170560.234</v>
      </c>
      <c r="AM37" s="3">
        <v>178983436</v>
      </c>
      <c r="AN37" s="3">
        <f>AM37/1000</f>
        <v>178983.436</v>
      </c>
      <c r="AP37" s="3">
        <v>202906558</v>
      </c>
      <c r="AQ37" s="3">
        <f>AP37/1000</f>
        <v>202906.558</v>
      </c>
    </row>
    <row r="38" spans="1:43" ht="12.75">
      <c r="A38" s="1" t="s">
        <v>28</v>
      </c>
      <c r="B38" s="15">
        <v>81014</v>
      </c>
      <c r="C38" s="15">
        <v>86121</v>
      </c>
      <c r="D38" s="15">
        <v>93366</v>
      </c>
      <c r="E38" s="15">
        <v>98530</v>
      </c>
      <c r="F38" s="1">
        <v>106373</v>
      </c>
      <c r="G38" s="1">
        <v>110791</v>
      </c>
      <c r="H38" s="1">
        <v>117576</v>
      </c>
      <c r="I38" s="1">
        <v>125951</v>
      </c>
      <c r="J38" s="1">
        <v>134483</v>
      </c>
      <c r="K38" s="1">
        <v>146661</v>
      </c>
      <c r="L38" s="271">
        <f>(K38-J38)*100/J38</f>
        <v>9.055419644118588</v>
      </c>
      <c r="M38" s="271">
        <f>(K38-Y38)*100/Y38</f>
        <v>93.70138017565873</v>
      </c>
      <c r="N38" s="15">
        <v>34871</v>
      </c>
      <c r="O38" s="15">
        <v>39012</v>
      </c>
      <c r="P38" s="15">
        <v>42006</v>
      </c>
      <c r="Q38" s="15">
        <v>45351</v>
      </c>
      <c r="R38" s="15">
        <v>49977</v>
      </c>
      <c r="S38" s="15">
        <v>56692</v>
      </c>
      <c r="T38" s="15">
        <v>62569</v>
      </c>
      <c r="U38" s="15">
        <v>63271</v>
      </c>
      <c r="V38" s="15">
        <f>68144105/1000</f>
        <v>68144.105</v>
      </c>
      <c r="W38" s="15">
        <v>70801</v>
      </c>
      <c r="X38" s="15">
        <v>75223</v>
      </c>
      <c r="Y38" s="15">
        <v>75715</v>
      </c>
      <c r="Z38" s="15"/>
      <c r="AA38" s="3">
        <v>106373182</v>
      </c>
      <c r="AB38" s="3">
        <f>AA38/1000</f>
        <v>106373.182</v>
      </c>
      <c r="AD38" s="3">
        <v>110791312</v>
      </c>
      <c r="AE38" s="3">
        <f>AD38/1000</f>
        <v>110791.312</v>
      </c>
      <c r="AG38" s="3">
        <v>117575700</v>
      </c>
      <c r="AH38" s="3">
        <f>AG38/1000</f>
        <v>117575.7</v>
      </c>
      <c r="AJ38" s="3">
        <v>125951044</v>
      </c>
      <c r="AK38" s="3">
        <f>AJ38/1000</f>
        <v>125951.044</v>
      </c>
      <c r="AM38" s="3">
        <v>134483079</v>
      </c>
      <c r="AN38" s="3">
        <f>AM38/1000</f>
        <v>134483.079</v>
      </c>
      <c r="AP38" s="3">
        <v>146661345</v>
      </c>
      <c r="AQ38" s="3">
        <f>AP38/1000</f>
        <v>146661.345</v>
      </c>
    </row>
    <row r="39" spans="1:43" ht="12.75">
      <c r="A39" s="18" t="s">
        <v>29</v>
      </c>
      <c r="B39" s="15">
        <v>44511</v>
      </c>
      <c r="C39" s="15">
        <v>47323</v>
      </c>
      <c r="D39" s="15">
        <v>51076</v>
      </c>
      <c r="E39" s="15">
        <v>52680</v>
      </c>
      <c r="F39" s="1">
        <v>56684</v>
      </c>
      <c r="G39" s="1">
        <v>62078</v>
      </c>
      <c r="H39" s="1">
        <v>67735</v>
      </c>
      <c r="I39" s="1">
        <v>71341</v>
      </c>
      <c r="J39" s="1">
        <v>73641</v>
      </c>
      <c r="K39" s="1">
        <v>81984</v>
      </c>
      <c r="L39" s="271">
        <f>(K39-J39)*100/J39</f>
        <v>11.329286674542715</v>
      </c>
      <c r="M39" s="271">
        <f>(K39-Y39)*100/Y39</f>
        <v>95.40005243463546</v>
      </c>
      <c r="N39" s="15">
        <v>19147</v>
      </c>
      <c r="O39" s="15">
        <v>21400</v>
      </c>
      <c r="P39" s="15">
        <v>24454</v>
      </c>
      <c r="Q39" s="15">
        <v>26358</v>
      </c>
      <c r="R39" s="15">
        <v>28006</v>
      </c>
      <c r="S39" s="15">
        <v>30784</v>
      </c>
      <c r="T39" s="15">
        <v>33702</v>
      </c>
      <c r="U39" s="15">
        <v>35750</v>
      </c>
      <c r="V39" s="15">
        <f>36351048/1000</f>
        <v>36351.048</v>
      </c>
      <c r="W39" s="15">
        <v>38481</v>
      </c>
      <c r="X39" s="15">
        <v>40069</v>
      </c>
      <c r="Y39" s="15">
        <v>41957</v>
      </c>
      <c r="Z39" s="15"/>
      <c r="AA39" s="3">
        <v>56684130</v>
      </c>
      <c r="AB39" s="3">
        <f>AA39/1000</f>
        <v>56684.13</v>
      </c>
      <c r="AD39" s="3">
        <v>62078017</v>
      </c>
      <c r="AE39" s="3">
        <f>AD39/1000</f>
        <v>62078.017</v>
      </c>
      <c r="AG39" s="3">
        <v>67734521</v>
      </c>
      <c r="AH39" s="3">
        <f>AG39/1000</f>
        <v>67734.521</v>
      </c>
      <c r="AJ39" s="3">
        <v>71341008</v>
      </c>
      <c r="AK39" s="3">
        <f>AJ39/1000</f>
        <v>71341.008</v>
      </c>
      <c r="AM39" s="3">
        <v>73640530</v>
      </c>
      <c r="AN39" s="3">
        <f>AM39/1000</f>
        <v>73640.53</v>
      </c>
      <c r="AP39" s="3">
        <v>81984484</v>
      </c>
      <c r="AQ39" s="3">
        <f>AP39/1000</f>
        <v>81984.484</v>
      </c>
    </row>
    <row r="40" spans="1:23" ht="12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7"/>
      <c r="O40" s="20"/>
      <c r="P40" s="20"/>
      <c r="Q40" s="20"/>
      <c r="W40" s="20"/>
    </row>
    <row r="41" spans="15:23" ht="12.75">
      <c r="O41" s="15"/>
      <c r="P41" s="15"/>
      <c r="Q41" s="15"/>
      <c r="W41" s="15"/>
    </row>
    <row r="42" spans="1:23" ht="12.75">
      <c r="A42" s="3"/>
      <c r="O42" s="15"/>
      <c r="P42" s="15"/>
      <c r="Q42" s="15"/>
      <c r="W42" s="15"/>
    </row>
    <row r="43" spans="15:23" ht="12.75">
      <c r="O43" s="15"/>
      <c r="P43" s="15"/>
      <c r="Q43" s="15"/>
      <c r="W43" s="15"/>
    </row>
    <row r="44" spans="15:23" ht="12.75">
      <c r="O44" s="15"/>
      <c r="P44" s="15"/>
      <c r="Q44" s="15"/>
      <c r="W44" s="15"/>
    </row>
    <row r="45" spans="15:23" ht="12.75">
      <c r="O45" s="15"/>
      <c r="P45" s="15"/>
      <c r="Q45" s="15"/>
      <c r="W45" s="15"/>
    </row>
  </sheetData>
  <sheetProtection password="CAF5" sheet="1" objects="1" scenarios="1"/>
  <printOptions/>
  <pageMargins left="0.5" right="0.47" top="1" bottom="1" header="0.5" footer="0.5"/>
  <pageSetup fitToHeight="1" fitToWidth="1" orientation="landscape" scale="78" r:id="rId1"/>
  <headerFooter alignWithMargins="0">
    <oddFooter>&amp;L&amp;"Lucida Sans,Italic"&amp;10MSDE-DBS 10 / 2007
&amp;C- 2 -&amp;R&amp;"Lucida Sans,Italic"&amp;10Selected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workbookViewId="0" topLeftCell="E1">
      <selection activeCell="AP11" sqref="AP1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625" style="1" customWidth="1"/>
    <col min="13" max="13" width="8.75390625" style="1" customWidth="1"/>
    <col min="14" max="14" width="8.625" style="1" bestFit="1" customWidth="1"/>
    <col min="15" max="15" width="9.375" style="1" bestFit="1" customWidth="1"/>
    <col min="16" max="16" width="9.25390625" style="1" customWidth="1"/>
    <col min="17" max="24" width="10.125" style="1" customWidth="1"/>
    <col min="25" max="25" width="10.875" style="1" customWidth="1"/>
    <col min="26" max="26" width="7.25390625" style="1" customWidth="1"/>
    <col min="27" max="27" width="12.50390625" style="1" bestFit="1" customWidth="1"/>
    <col min="28" max="28" width="10.125" style="1" customWidth="1"/>
    <col min="29" max="29" width="10.125" style="3" customWidth="1"/>
    <col min="30" max="30" width="11.00390625" style="3" customWidth="1"/>
    <col min="31" max="32" width="10.125" style="3" customWidth="1"/>
    <col min="33" max="33" width="11.625" style="3" customWidth="1"/>
    <col min="34" max="34" width="10.125" style="3" customWidth="1"/>
    <col min="35" max="35" width="3.75390625" style="3" customWidth="1"/>
    <col min="36" max="36" width="10.625" style="3" bestFit="1" customWidth="1"/>
    <col min="37" max="37" width="10.125" style="3" customWidth="1"/>
    <col min="38" max="38" width="5.00390625" style="3" customWidth="1"/>
    <col min="39" max="40" width="10.125" style="3" customWidth="1"/>
    <col min="41" max="41" width="3.125" style="3" customWidth="1"/>
    <col min="42" max="60" width="10.125" style="3" customWidth="1"/>
    <col min="61" max="16384" width="10.00390625" style="3" customWidth="1"/>
  </cols>
  <sheetData>
    <row r="1" spans="1:27" ht="12.75">
      <c r="A1" s="123" t="s">
        <v>84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222"/>
      <c r="O1" s="222"/>
      <c r="P1" s="10"/>
      <c r="W1" s="2"/>
      <c r="X1" s="2"/>
      <c r="Y1" s="10"/>
      <c r="Z1" s="2"/>
      <c r="AA1" s="73"/>
    </row>
    <row r="2" spans="1:27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22"/>
      <c r="O2" s="222"/>
      <c r="P2" s="2"/>
      <c r="W2" s="2"/>
      <c r="X2" s="2"/>
      <c r="Y2" s="2"/>
      <c r="Z2" s="2"/>
      <c r="AA2" s="2"/>
    </row>
    <row r="3" spans="1:27" ht="12.75">
      <c r="A3" s="123" t="s">
        <v>235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222"/>
      <c r="P3" s="10"/>
      <c r="W3" s="2"/>
      <c r="X3" s="2"/>
      <c r="Y3" s="10"/>
      <c r="Z3" s="2"/>
      <c r="AA3" s="2"/>
    </row>
    <row r="4" spans="1:27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222"/>
      <c r="P4" s="10"/>
      <c r="W4" s="2"/>
      <c r="X4" s="2"/>
      <c r="Y4" s="10"/>
      <c r="Z4" s="2"/>
      <c r="AA4" s="2"/>
    </row>
    <row r="5" spans="1:25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73"/>
      <c r="O5" s="73"/>
      <c r="P5" s="102"/>
      <c r="Y5" s="102"/>
    </row>
    <row r="6" spans="1:2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7"/>
      <c r="AA6" s="3"/>
      <c r="AB6" s="3"/>
    </row>
    <row r="7" spans="12:28" ht="12.75">
      <c r="L7" s="6" t="s">
        <v>34</v>
      </c>
      <c r="M7" s="6"/>
      <c r="S7" s="3"/>
      <c r="AA7" s="3"/>
      <c r="AB7" s="3"/>
    </row>
    <row r="8" spans="2:28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S8" s="3"/>
      <c r="AA8" s="3"/>
      <c r="AB8" s="3"/>
    </row>
    <row r="9" spans="1:28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7"/>
      <c r="AA9" s="9" t="s">
        <v>107</v>
      </c>
      <c r="AB9" s="9" t="s">
        <v>107</v>
      </c>
    </row>
    <row r="10" spans="1:43" ht="13.5" thickTop="1">
      <c r="A10" s="7" t="s">
        <v>5</v>
      </c>
      <c r="B10" s="11">
        <f aca="true" t="shared" si="0" ref="B10:K10">SUM(B12:B39)</f>
        <v>2191846</v>
      </c>
      <c r="C10" s="11">
        <f t="shared" si="0"/>
        <v>2378117</v>
      </c>
      <c r="D10" s="11">
        <f t="shared" si="0"/>
        <v>2522733</v>
      </c>
      <c r="E10" s="11">
        <f t="shared" si="0"/>
        <v>2594552</v>
      </c>
      <c r="F10" s="11">
        <f t="shared" si="0"/>
        <v>2924890</v>
      </c>
      <c r="G10" s="11">
        <f t="shared" si="0"/>
        <v>2853967</v>
      </c>
      <c r="H10" s="11">
        <f t="shared" si="0"/>
        <v>3074878</v>
      </c>
      <c r="I10" s="11">
        <f t="shared" si="0"/>
        <v>3291558</v>
      </c>
      <c r="J10" s="11">
        <f t="shared" si="0"/>
        <v>3586692</v>
      </c>
      <c r="K10" s="11">
        <f t="shared" si="0"/>
        <v>3985324</v>
      </c>
      <c r="L10" s="271">
        <f>(K10-J10)*100/J10</f>
        <v>11.114196591176494</v>
      </c>
      <c r="M10" s="271">
        <f>(K10-Y10)*100/Y10</f>
        <v>91.56601255917154</v>
      </c>
      <c r="N10" s="14">
        <v>994434</v>
      </c>
      <c r="O10" s="11">
        <v>1076131</v>
      </c>
      <c r="P10" s="11">
        <v>1179082</v>
      </c>
      <c r="Q10" s="11">
        <v>1285974</v>
      </c>
      <c r="R10" s="11">
        <v>1385784</v>
      </c>
      <c r="S10" s="11">
        <f>SUM(S12:S39)</f>
        <v>1504562</v>
      </c>
      <c r="T10" s="11">
        <f>SUM(T12:T39)</f>
        <v>1631931</v>
      </c>
      <c r="U10" s="11">
        <f aca="true" t="shared" si="1" ref="U10:AJ10">SUM(U12:U39)</f>
        <v>1720447</v>
      </c>
      <c r="V10" s="11">
        <f>SUM(V12:V39)</f>
        <v>1866666</v>
      </c>
      <c r="W10" s="11">
        <f>SUM(W12:W39)</f>
        <v>1868902</v>
      </c>
      <c r="X10" s="11">
        <f>SUM(X12:X39)</f>
        <v>1963115</v>
      </c>
      <c r="Y10" s="11">
        <f>SUM(Y12:Y39)</f>
        <v>2080392</v>
      </c>
      <c r="Z10" s="11"/>
      <c r="AA10" s="138">
        <f t="shared" si="1"/>
        <v>2924893128</v>
      </c>
      <c r="AB10" s="138">
        <f t="shared" si="1"/>
        <v>2924893.128</v>
      </c>
      <c r="AD10" s="138">
        <f t="shared" si="1"/>
        <v>2853965397</v>
      </c>
      <c r="AE10" s="138">
        <f t="shared" si="1"/>
        <v>2853965.3969999994</v>
      </c>
      <c r="AG10" s="138">
        <f t="shared" si="1"/>
        <v>3074880212</v>
      </c>
      <c r="AH10" s="138">
        <f t="shared" si="1"/>
        <v>3074880.2120000008</v>
      </c>
      <c r="AJ10" s="138">
        <f t="shared" si="1"/>
        <v>3291557899</v>
      </c>
      <c r="AK10" s="138">
        <f>SUM(AK12:AK39)</f>
        <v>3291557.8990000007</v>
      </c>
      <c r="AM10" s="3">
        <v>3586692424</v>
      </c>
      <c r="AN10" s="3">
        <f aca="true" t="shared" si="2" ref="AN10:AN39">AM10/1000</f>
        <v>3586692.424</v>
      </c>
      <c r="AP10" s="3">
        <v>3985323429</v>
      </c>
      <c r="AQ10" s="3">
        <f aca="true" t="shared" si="3" ref="AQ10:AQ39">AP10/1000</f>
        <v>3985323.429</v>
      </c>
    </row>
    <row r="11" spans="2:28" ht="12.75">
      <c r="B11" s="15"/>
      <c r="C11" s="15"/>
      <c r="D11" s="15"/>
      <c r="E11" s="15"/>
      <c r="L11" s="271"/>
      <c r="M11" s="271"/>
      <c r="O11" s="15"/>
      <c r="X11" s="15"/>
      <c r="Y11" s="15"/>
      <c r="AA11" s="3"/>
      <c r="AB11" s="3"/>
    </row>
    <row r="12" spans="1:43" ht="12.75">
      <c r="A12" s="1" t="s">
        <v>6</v>
      </c>
      <c r="B12" s="15">
        <v>39703</v>
      </c>
      <c r="C12" s="15">
        <v>41569</v>
      </c>
      <c r="D12" s="15">
        <v>43231</v>
      </c>
      <c r="E12" s="15">
        <v>42159</v>
      </c>
      <c r="F12" s="15">
        <v>45611</v>
      </c>
      <c r="G12" s="32">
        <v>47591</v>
      </c>
      <c r="H12" s="32">
        <v>49905</v>
      </c>
      <c r="I12" s="32">
        <v>52255</v>
      </c>
      <c r="J12" s="32">
        <v>55657</v>
      </c>
      <c r="K12" s="32">
        <v>64946</v>
      </c>
      <c r="L12" s="271">
        <f>(K12-J12)*100/J12</f>
        <v>16.689724562948058</v>
      </c>
      <c r="M12" s="271">
        <f>(K12-Y12)*100/Y12</f>
        <v>69.94452585304585</v>
      </c>
      <c r="N12" s="15">
        <v>19506</v>
      </c>
      <c r="O12" s="15">
        <v>20859</v>
      </c>
      <c r="P12" s="15">
        <v>22940</v>
      </c>
      <c r="Q12" s="15">
        <v>25256</v>
      </c>
      <c r="R12" s="15">
        <v>26749</v>
      </c>
      <c r="S12" s="15">
        <v>28899</v>
      </c>
      <c r="T12" s="15">
        <v>30898</v>
      </c>
      <c r="U12" s="15">
        <v>31885</v>
      </c>
      <c r="V12" s="15">
        <v>34128</v>
      </c>
      <c r="W12" s="15">
        <v>34353</v>
      </c>
      <c r="X12" s="15">
        <v>36719</v>
      </c>
      <c r="Y12" s="15">
        <v>38216</v>
      </c>
      <c r="Z12" s="15"/>
      <c r="AA12" s="3">
        <v>45611115</v>
      </c>
      <c r="AB12" s="3">
        <f>AA12/1000</f>
        <v>45611.115</v>
      </c>
      <c r="AD12" s="3">
        <v>47590525</v>
      </c>
      <c r="AE12" s="3">
        <f>AD12/1000</f>
        <v>47590.525</v>
      </c>
      <c r="AG12" s="3">
        <v>49904689</v>
      </c>
      <c r="AH12" s="3">
        <f>AG12/1000</f>
        <v>49904.689</v>
      </c>
      <c r="AJ12" s="3">
        <v>52254860</v>
      </c>
      <c r="AK12" s="3">
        <f>AJ12/1000</f>
        <v>52254.86</v>
      </c>
      <c r="AM12" s="3">
        <v>55657047</v>
      </c>
      <c r="AN12" s="3">
        <f t="shared" si="2"/>
        <v>55657.047</v>
      </c>
      <c r="AP12" s="3">
        <v>64946382</v>
      </c>
      <c r="AQ12" s="3">
        <f t="shared" si="3"/>
        <v>64946.382</v>
      </c>
    </row>
    <row r="13" spans="1:43" ht="12.75">
      <c r="A13" s="1" t="s">
        <v>7</v>
      </c>
      <c r="B13" s="15">
        <v>172092</v>
      </c>
      <c r="C13" s="15">
        <v>179696</v>
      </c>
      <c r="D13" s="15">
        <v>183503</v>
      </c>
      <c r="E13" s="15">
        <v>192266</v>
      </c>
      <c r="F13" s="15">
        <v>203641</v>
      </c>
      <c r="G13" s="32">
        <v>198643</v>
      </c>
      <c r="H13" s="32">
        <v>211968</v>
      </c>
      <c r="I13" s="32">
        <v>224235</v>
      </c>
      <c r="J13" s="32">
        <v>228397</v>
      </c>
      <c r="K13" s="32">
        <v>240091</v>
      </c>
      <c r="L13" s="271">
        <f>(K13-J13)*100/J13</f>
        <v>5.120032224591391</v>
      </c>
      <c r="M13" s="271">
        <f>(K13-Y13)*100/Y13</f>
        <v>45.247371414052196</v>
      </c>
      <c r="N13" s="15">
        <v>92071</v>
      </c>
      <c r="O13" s="15">
        <v>99282</v>
      </c>
      <c r="P13" s="15">
        <v>108143</v>
      </c>
      <c r="Q13" s="15">
        <v>116727</v>
      </c>
      <c r="R13" s="15">
        <v>125441</v>
      </c>
      <c r="S13" s="15">
        <v>134602</v>
      </c>
      <c r="T13" s="15">
        <v>145661</v>
      </c>
      <c r="U13" s="15">
        <v>150959</v>
      </c>
      <c r="V13" s="15">
        <v>156689</v>
      </c>
      <c r="W13" s="15">
        <v>154386</v>
      </c>
      <c r="X13" s="15">
        <v>158598</v>
      </c>
      <c r="Y13" s="15">
        <v>165298</v>
      </c>
      <c r="Z13" s="15"/>
      <c r="AA13" s="3">
        <v>203641256</v>
      </c>
      <c r="AB13" s="3">
        <f>AA13/1000</f>
        <v>203641.256</v>
      </c>
      <c r="AD13" s="3">
        <v>198643436</v>
      </c>
      <c r="AE13" s="3">
        <f>AD13/1000</f>
        <v>198643.436</v>
      </c>
      <c r="AG13" s="3">
        <v>211968280</v>
      </c>
      <c r="AH13" s="3">
        <f>AG13/1000</f>
        <v>211968.28</v>
      </c>
      <c r="AJ13" s="3">
        <v>224234666</v>
      </c>
      <c r="AK13" s="3">
        <f>AJ13/1000</f>
        <v>224234.666</v>
      </c>
      <c r="AM13" s="3">
        <v>228396801</v>
      </c>
      <c r="AN13" s="3">
        <f t="shared" si="2"/>
        <v>228396.801</v>
      </c>
      <c r="AP13" s="3">
        <v>240091447</v>
      </c>
      <c r="AQ13" s="3">
        <f t="shared" si="3"/>
        <v>240091.447</v>
      </c>
    </row>
    <row r="14" spans="1:43" ht="12.75">
      <c r="A14" s="1" t="s">
        <v>8</v>
      </c>
      <c r="B14" s="15">
        <v>427969</v>
      </c>
      <c r="C14" s="15">
        <v>487607</v>
      </c>
      <c r="D14" s="15">
        <v>530367</v>
      </c>
      <c r="E14" s="15">
        <v>535693</v>
      </c>
      <c r="F14" s="1">
        <v>580166</v>
      </c>
      <c r="G14" s="32">
        <v>564195</v>
      </c>
      <c r="H14" s="32">
        <v>572039</v>
      </c>
      <c r="I14" s="32">
        <v>593685</v>
      </c>
      <c r="J14" s="32">
        <v>647566</v>
      </c>
      <c r="K14" s="32">
        <v>718702</v>
      </c>
      <c r="L14" s="271">
        <f>(K14-J14)*100/J14</f>
        <v>10.985135105919705</v>
      </c>
      <c r="M14" s="271">
        <f>(K14-Y14)*100/Y14</f>
        <v>71.73285543608124</v>
      </c>
      <c r="N14" s="15">
        <v>200985</v>
      </c>
      <c r="O14" s="15">
        <v>221168</v>
      </c>
      <c r="P14" s="15">
        <v>236677</v>
      </c>
      <c r="Q14" s="15">
        <v>252274</v>
      </c>
      <c r="R14" s="15">
        <v>263456</v>
      </c>
      <c r="S14" s="15">
        <v>286869</v>
      </c>
      <c r="T14" s="15">
        <v>311258</v>
      </c>
      <c r="U14" s="15">
        <v>332330</v>
      </c>
      <c r="V14" s="15">
        <v>371677</v>
      </c>
      <c r="W14" s="15">
        <v>388191</v>
      </c>
      <c r="X14" s="15">
        <v>398957</v>
      </c>
      <c r="Y14" s="15">
        <v>418500</v>
      </c>
      <c r="Z14" s="15"/>
      <c r="AA14" s="3">
        <v>580166324</v>
      </c>
      <c r="AB14" s="3">
        <f>AA14/1000</f>
        <v>580166.324</v>
      </c>
      <c r="AD14" s="3">
        <v>564194800</v>
      </c>
      <c r="AE14" s="3">
        <f>AD14/1000</f>
        <v>564194.8</v>
      </c>
      <c r="AG14" s="3">
        <v>572039102</v>
      </c>
      <c r="AH14" s="3">
        <f>AG14/1000</f>
        <v>572039.102</v>
      </c>
      <c r="AJ14" s="3">
        <v>593685348</v>
      </c>
      <c r="AK14" s="3">
        <f>AJ14/1000</f>
        <v>593685.348</v>
      </c>
      <c r="AM14" s="3">
        <v>647566411</v>
      </c>
      <c r="AN14" s="3">
        <f t="shared" si="2"/>
        <v>647566.411</v>
      </c>
      <c r="AP14" s="3">
        <v>718701798</v>
      </c>
      <c r="AQ14" s="3">
        <f t="shared" si="3"/>
        <v>718701.798</v>
      </c>
    </row>
    <row r="15" spans="1:43" ht="12.75">
      <c r="A15" s="1" t="s">
        <v>9</v>
      </c>
      <c r="B15" s="15">
        <v>239301</v>
      </c>
      <c r="C15" s="15">
        <v>263698</v>
      </c>
      <c r="D15" s="15">
        <v>279677</v>
      </c>
      <c r="E15" s="15">
        <v>280585</v>
      </c>
      <c r="F15" s="1">
        <v>311112</v>
      </c>
      <c r="G15" s="32">
        <v>309774</v>
      </c>
      <c r="H15" s="32">
        <v>342365</v>
      </c>
      <c r="I15" s="32">
        <v>358620</v>
      </c>
      <c r="J15" s="32">
        <v>395864</v>
      </c>
      <c r="K15" s="32">
        <v>439865</v>
      </c>
      <c r="L15" s="271">
        <f>(K15-J15)*100/J15</f>
        <v>11.11518097124265</v>
      </c>
      <c r="M15" s="271">
        <f>(K15-Y15)*100/Y15</f>
        <v>94.92723437444606</v>
      </c>
      <c r="N15" s="15">
        <v>110037</v>
      </c>
      <c r="O15" s="15">
        <v>112318</v>
      </c>
      <c r="P15" s="15">
        <v>123280</v>
      </c>
      <c r="Q15" s="15">
        <v>134919</v>
      </c>
      <c r="R15" s="15">
        <v>147759</v>
      </c>
      <c r="S15" s="15">
        <v>157959</v>
      </c>
      <c r="T15" s="15">
        <v>171887</v>
      </c>
      <c r="U15" s="15">
        <v>180069</v>
      </c>
      <c r="V15" s="15">
        <v>194966</v>
      </c>
      <c r="W15" s="15">
        <v>196064</v>
      </c>
      <c r="X15" s="15">
        <v>208757</v>
      </c>
      <c r="Y15" s="15">
        <v>225656</v>
      </c>
      <c r="Z15" s="15"/>
      <c r="AA15" s="3">
        <v>311112268</v>
      </c>
      <c r="AB15" s="3">
        <f>AA15/1000</f>
        <v>311112.268</v>
      </c>
      <c r="AD15" s="3">
        <v>309774418</v>
      </c>
      <c r="AE15" s="3">
        <f>AD15/1000</f>
        <v>309774.418</v>
      </c>
      <c r="AG15" s="3">
        <v>342365185</v>
      </c>
      <c r="AH15" s="3">
        <f>AG15/1000</f>
        <v>342365.185</v>
      </c>
      <c r="AJ15" s="3">
        <v>358620438</v>
      </c>
      <c r="AK15" s="3">
        <f>AJ15/1000</f>
        <v>358620.438</v>
      </c>
      <c r="AM15" s="3">
        <v>395863501</v>
      </c>
      <c r="AN15" s="3">
        <f t="shared" si="2"/>
        <v>395863.501</v>
      </c>
      <c r="AP15" s="3">
        <v>439865032</v>
      </c>
      <c r="AQ15" s="3">
        <f t="shared" si="3"/>
        <v>439865.032</v>
      </c>
    </row>
    <row r="16" spans="1:43" ht="12.75">
      <c r="A16" s="1" t="s">
        <v>10</v>
      </c>
      <c r="B16" s="15">
        <v>33668</v>
      </c>
      <c r="C16" s="15">
        <v>37031</v>
      </c>
      <c r="D16" s="15">
        <v>39524</v>
      </c>
      <c r="E16" s="15">
        <v>41705</v>
      </c>
      <c r="F16" s="1">
        <v>46050</v>
      </c>
      <c r="G16" s="32">
        <v>49652</v>
      </c>
      <c r="H16" s="32">
        <v>56030</v>
      </c>
      <c r="I16" s="32">
        <v>62681</v>
      </c>
      <c r="J16" s="32">
        <v>67630</v>
      </c>
      <c r="K16" s="32">
        <v>75009</v>
      </c>
      <c r="L16" s="271">
        <f>(K16-J16)*100/J16</f>
        <v>10.910838385331953</v>
      </c>
      <c r="M16" s="271">
        <f>(K16-Y16)*100/Y16</f>
        <v>144.78347420291746</v>
      </c>
      <c r="N16" s="15">
        <v>9620</v>
      </c>
      <c r="O16" s="15">
        <v>10997</v>
      </c>
      <c r="P16" s="15">
        <v>12517</v>
      </c>
      <c r="Q16" s="15">
        <v>14189</v>
      </c>
      <c r="R16" s="15">
        <v>16012</v>
      </c>
      <c r="S16" s="15">
        <v>18275</v>
      </c>
      <c r="T16" s="15">
        <v>21713</v>
      </c>
      <c r="U16" s="15">
        <v>24111</v>
      </c>
      <c r="V16" s="15">
        <v>26394</v>
      </c>
      <c r="W16" s="15">
        <v>26272</v>
      </c>
      <c r="X16" s="15">
        <v>28661</v>
      </c>
      <c r="Y16" s="15">
        <v>30643</v>
      </c>
      <c r="Z16" s="15"/>
      <c r="AA16" s="3">
        <v>46049798</v>
      </c>
      <c r="AB16" s="3">
        <f>AA16/1000</f>
        <v>46049.798</v>
      </c>
      <c r="AD16" s="3">
        <v>49651794</v>
      </c>
      <c r="AE16" s="3">
        <f>AD16/1000</f>
        <v>49651.794</v>
      </c>
      <c r="AG16" s="3">
        <v>56030341</v>
      </c>
      <c r="AH16" s="3">
        <f>AG16/1000</f>
        <v>56030.341</v>
      </c>
      <c r="AJ16" s="3">
        <v>62681107</v>
      </c>
      <c r="AK16" s="3">
        <f>AJ16/1000</f>
        <v>62681.107</v>
      </c>
      <c r="AM16" s="3">
        <v>67629729</v>
      </c>
      <c r="AN16" s="3">
        <f t="shared" si="2"/>
        <v>67629.729</v>
      </c>
      <c r="AP16" s="3">
        <v>75008674</v>
      </c>
      <c r="AQ16" s="3">
        <f t="shared" si="3"/>
        <v>75008.674</v>
      </c>
    </row>
    <row r="17" spans="2:28" ht="12.75">
      <c r="B17" s="15"/>
      <c r="C17" s="15"/>
      <c r="D17" s="15"/>
      <c r="E17" s="15"/>
      <c r="G17" s="32"/>
      <c r="H17" s="32"/>
      <c r="I17" s="32"/>
      <c r="J17" s="32"/>
      <c r="K17" s="32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3"/>
      <c r="AB17" s="3"/>
    </row>
    <row r="18" spans="1:43" ht="12.75">
      <c r="A18" s="1" t="s">
        <v>11</v>
      </c>
      <c r="B18" s="15">
        <v>20087</v>
      </c>
      <c r="C18" s="15">
        <v>21135</v>
      </c>
      <c r="D18" s="15">
        <v>22230</v>
      </c>
      <c r="E18" s="15">
        <v>22901</v>
      </c>
      <c r="F18" s="1">
        <v>23681</v>
      </c>
      <c r="G18" s="32">
        <v>24629</v>
      </c>
      <c r="H18" s="32">
        <v>27385</v>
      </c>
      <c r="I18" s="32">
        <v>29577</v>
      </c>
      <c r="J18" s="32">
        <v>31088</v>
      </c>
      <c r="K18" s="32">
        <v>34257</v>
      </c>
      <c r="L18" s="271">
        <f>(K18-J18)*100/J18</f>
        <v>10.193643849716933</v>
      </c>
      <c r="M18" s="271">
        <f>(K18-Y18)*100/Y18</f>
        <v>87.55543388995346</v>
      </c>
      <c r="N18" s="15">
        <v>7587</v>
      </c>
      <c r="O18" s="15">
        <v>8223</v>
      </c>
      <c r="P18" s="15">
        <v>9196</v>
      </c>
      <c r="Q18" s="15">
        <v>10357</v>
      </c>
      <c r="R18" s="15">
        <v>11147</v>
      </c>
      <c r="S18" s="15">
        <v>12152</v>
      </c>
      <c r="T18" s="15">
        <v>13256</v>
      </c>
      <c r="U18" s="15">
        <v>14512</v>
      </c>
      <c r="V18" s="15">
        <v>15808</v>
      </c>
      <c r="W18" s="15">
        <v>16112</v>
      </c>
      <c r="X18" s="15">
        <v>17211</v>
      </c>
      <c r="Y18" s="15">
        <v>18265</v>
      </c>
      <c r="Z18" s="15"/>
      <c r="AA18" s="3">
        <v>23681420</v>
      </c>
      <c r="AB18" s="3">
        <f>AA18/1000</f>
        <v>23681.42</v>
      </c>
      <c r="AD18" s="3">
        <v>24628892</v>
      </c>
      <c r="AE18" s="3">
        <f>AD18/1000</f>
        <v>24628.892</v>
      </c>
      <c r="AG18" s="3">
        <v>27385126</v>
      </c>
      <c r="AH18" s="3">
        <f>AG18/1000</f>
        <v>27385.126</v>
      </c>
      <c r="AJ18" s="3">
        <v>29577443</v>
      </c>
      <c r="AK18" s="3">
        <f>AJ18/1000</f>
        <v>29577.443</v>
      </c>
      <c r="AM18" s="3">
        <v>31087966</v>
      </c>
      <c r="AN18" s="3">
        <f t="shared" si="2"/>
        <v>31087.966</v>
      </c>
      <c r="AP18" s="3">
        <v>34256719</v>
      </c>
      <c r="AQ18" s="3">
        <f t="shared" si="3"/>
        <v>34256.719</v>
      </c>
    </row>
    <row r="19" spans="1:43" ht="12.75">
      <c r="A19" s="1" t="s">
        <v>12</v>
      </c>
      <c r="B19" s="15">
        <v>70315</v>
      </c>
      <c r="C19" s="15">
        <v>76325</v>
      </c>
      <c r="D19" s="15">
        <v>79649</v>
      </c>
      <c r="E19" s="15">
        <v>82264</v>
      </c>
      <c r="F19" s="1">
        <v>91478</v>
      </c>
      <c r="G19" s="32">
        <v>89002</v>
      </c>
      <c r="H19" s="32">
        <v>96606</v>
      </c>
      <c r="I19" s="32">
        <v>103423</v>
      </c>
      <c r="J19" s="32">
        <v>112889</v>
      </c>
      <c r="K19" s="32">
        <v>124285</v>
      </c>
      <c r="L19" s="271">
        <f>(K19-J19)*100/J19</f>
        <v>10.094871953866187</v>
      </c>
      <c r="M19" s="271">
        <f>(K19-Y19)*100/Y19</f>
        <v>87.90064102564102</v>
      </c>
      <c r="N19" s="15">
        <v>27889</v>
      </c>
      <c r="O19" s="15">
        <v>30925</v>
      </c>
      <c r="P19" s="15">
        <v>34474</v>
      </c>
      <c r="Q19" s="15">
        <v>38792</v>
      </c>
      <c r="R19" s="15">
        <v>42629</v>
      </c>
      <c r="S19" s="15">
        <v>46693</v>
      </c>
      <c r="T19" s="15">
        <v>51564</v>
      </c>
      <c r="U19" s="15">
        <v>55569</v>
      </c>
      <c r="V19" s="15">
        <v>60679</v>
      </c>
      <c r="W19" s="15">
        <v>60589</v>
      </c>
      <c r="X19" s="15">
        <v>63373</v>
      </c>
      <c r="Y19" s="15">
        <v>66144</v>
      </c>
      <c r="Z19" s="15"/>
      <c r="AA19" s="3">
        <v>91478208</v>
      </c>
      <c r="AB19" s="3">
        <f>AA19/1000</f>
        <v>91478.208</v>
      </c>
      <c r="AD19" s="3">
        <v>89001775</v>
      </c>
      <c r="AE19" s="3">
        <f>AD19/1000</f>
        <v>89001.775</v>
      </c>
      <c r="AG19" s="3">
        <v>96606306</v>
      </c>
      <c r="AH19" s="3">
        <f>AG19/1000</f>
        <v>96606.306</v>
      </c>
      <c r="AJ19" s="3">
        <v>103423006</v>
      </c>
      <c r="AK19" s="3">
        <f>AJ19/1000</f>
        <v>103423.006</v>
      </c>
      <c r="AM19" s="3">
        <v>112889101</v>
      </c>
      <c r="AN19" s="3">
        <f t="shared" si="2"/>
        <v>112889.101</v>
      </c>
      <c r="AP19" s="3">
        <v>124284591</v>
      </c>
      <c r="AQ19" s="3">
        <f t="shared" si="3"/>
        <v>124284.591</v>
      </c>
    </row>
    <row r="20" spans="1:43" ht="12.75">
      <c r="A20" s="1" t="s">
        <v>13</v>
      </c>
      <c r="B20" s="15">
        <v>44171</v>
      </c>
      <c r="C20" s="15">
        <v>46617</v>
      </c>
      <c r="D20" s="15">
        <v>49585</v>
      </c>
      <c r="E20" s="15">
        <v>50463</v>
      </c>
      <c r="F20" s="1">
        <v>60672</v>
      </c>
      <c r="G20" s="32">
        <v>57827</v>
      </c>
      <c r="H20" s="32">
        <v>63184</v>
      </c>
      <c r="I20" s="32">
        <v>67223</v>
      </c>
      <c r="J20" s="32">
        <v>74185</v>
      </c>
      <c r="K20" s="32">
        <v>83971</v>
      </c>
      <c r="L20" s="271">
        <f>(K20-J20)*100/J20</f>
        <v>13.19134595942576</v>
      </c>
      <c r="M20" s="271">
        <f>(K20-Y20)*100/Y20</f>
        <v>102.5154350762107</v>
      </c>
      <c r="N20" s="15">
        <v>19246</v>
      </c>
      <c r="O20" s="15">
        <v>20980</v>
      </c>
      <c r="P20" s="15">
        <v>23294</v>
      </c>
      <c r="Q20" s="15">
        <v>25107</v>
      </c>
      <c r="R20" s="15">
        <v>26949</v>
      </c>
      <c r="S20" s="15">
        <v>30324</v>
      </c>
      <c r="T20" s="15">
        <v>32520</v>
      </c>
      <c r="U20" s="15">
        <v>34659</v>
      </c>
      <c r="V20" s="15">
        <v>38098</v>
      </c>
      <c r="W20" s="15">
        <v>37964</v>
      </c>
      <c r="X20" s="15">
        <v>39731</v>
      </c>
      <c r="Y20" s="15">
        <v>41464</v>
      </c>
      <c r="Z20" s="15"/>
      <c r="AA20" s="3">
        <v>60672394</v>
      </c>
      <c r="AB20" s="3">
        <f>AA20/1000</f>
        <v>60672.394</v>
      </c>
      <c r="AD20" s="3">
        <v>57826657</v>
      </c>
      <c r="AE20" s="3">
        <f>AD20/1000</f>
        <v>57826.657</v>
      </c>
      <c r="AG20" s="3">
        <v>63183675</v>
      </c>
      <c r="AH20" s="3">
        <f>AG20/1000</f>
        <v>63183.675</v>
      </c>
      <c r="AJ20" s="3">
        <v>67222840</v>
      </c>
      <c r="AK20" s="3">
        <f>AJ20/1000</f>
        <v>67222.84</v>
      </c>
      <c r="AM20" s="3">
        <v>74184743</v>
      </c>
      <c r="AN20" s="3">
        <f t="shared" si="2"/>
        <v>74184.743</v>
      </c>
      <c r="AP20" s="3">
        <v>83971213</v>
      </c>
      <c r="AQ20" s="3">
        <f t="shared" si="3"/>
        <v>83971.213</v>
      </c>
    </row>
    <row r="21" spans="1:43" ht="12.75">
      <c r="A21" s="1" t="s">
        <v>14</v>
      </c>
      <c r="B21" s="15">
        <v>61443</v>
      </c>
      <c r="C21" s="15">
        <v>64831</v>
      </c>
      <c r="D21" s="15">
        <v>66595</v>
      </c>
      <c r="E21" s="15">
        <v>70856</v>
      </c>
      <c r="F21" s="1">
        <v>81031</v>
      </c>
      <c r="G21" s="32">
        <v>81871</v>
      </c>
      <c r="H21" s="32">
        <v>88252</v>
      </c>
      <c r="I21" s="32">
        <v>98455</v>
      </c>
      <c r="J21" s="32">
        <v>108380</v>
      </c>
      <c r="K21" s="32">
        <v>122876</v>
      </c>
      <c r="L21" s="271">
        <f>(K21-J21)*100/J21</f>
        <v>13.375161468905702</v>
      </c>
      <c r="M21" s="271">
        <f>(K21-Y21)*100/Y21</f>
        <v>111.28688355457734</v>
      </c>
      <c r="N21" s="15">
        <v>26852</v>
      </c>
      <c r="O21" s="15">
        <v>29536</v>
      </c>
      <c r="P21" s="15">
        <v>32225</v>
      </c>
      <c r="Q21" s="15">
        <v>34718</v>
      </c>
      <c r="R21" s="15">
        <v>38041</v>
      </c>
      <c r="S21" s="15">
        <v>42150</v>
      </c>
      <c r="T21" s="15">
        <v>45828</v>
      </c>
      <c r="U21" s="15">
        <v>50314</v>
      </c>
      <c r="V21" s="15">
        <v>54374</v>
      </c>
      <c r="W21" s="15">
        <v>54038</v>
      </c>
      <c r="X21" s="15">
        <v>56040</v>
      </c>
      <c r="Y21" s="15">
        <v>58156</v>
      </c>
      <c r="Z21" s="15"/>
      <c r="AA21" s="3">
        <v>81030846</v>
      </c>
      <c r="AB21" s="3">
        <f>AA21/1000</f>
        <v>81030.846</v>
      </c>
      <c r="AD21" s="3">
        <v>81870694</v>
      </c>
      <c r="AE21" s="3">
        <f>AD21/1000</f>
        <v>81870.694</v>
      </c>
      <c r="AG21" s="3">
        <v>88251848</v>
      </c>
      <c r="AH21" s="3">
        <f>AG21/1000</f>
        <v>88251.848</v>
      </c>
      <c r="AJ21" s="3">
        <v>98455137</v>
      </c>
      <c r="AK21" s="3">
        <f>AJ21/1000</f>
        <v>98455.137</v>
      </c>
      <c r="AM21" s="3">
        <v>108379802</v>
      </c>
      <c r="AN21" s="3">
        <f t="shared" si="2"/>
        <v>108379.802</v>
      </c>
      <c r="AP21" s="3">
        <v>122875697</v>
      </c>
      <c r="AQ21" s="3">
        <f t="shared" si="3"/>
        <v>122875.697</v>
      </c>
    </row>
    <row r="22" spans="1:43" ht="12.75">
      <c r="A22" s="1" t="s">
        <v>15</v>
      </c>
      <c r="B22" s="15">
        <v>17049</v>
      </c>
      <c r="C22" s="15">
        <v>18082</v>
      </c>
      <c r="D22" s="15">
        <v>18355</v>
      </c>
      <c r="E22" s="15">
        <v>18594</v>
      </c>
      <c r="F22" s="1">
        <v>20550</v>
      </c>
      <c r="G22" s="32">
        <v>19809</v>
      </c>
      <c r="H22" s="32">
        <v>20290</v>
      </c>
      <c r="I22" s="32">
        <v>22468</v>
      </c>
      <c r="J22" s="32">
        <v>23721</v>
      </c>
      <c r="K22" s="32">
        <v>26166</v>
      </c>
      <c r="L22" s="271">
        <f>(K22-J22)*100/J22</f>
        <v>10.307322625521689</v>
      </c>
      <c r="M22" s="271">
        <f>(K22-Y22)*100/Y22</f>
        <v>58.24614454188086</v>
      </c>
      <c r="N22" s="15">
        <v>8438</v>
      </c>
      <c r="O22" s="15">
        <v>9340</v>
      </c>
      <c r="P22" s="15">
        <v>10012</v>
      </c>
      <c r="Q22" s="15">
        <v>10790</v>
      </c>
      <c r="R22" s="15">
        <v>11799</v>
      </c>
      <c r="S22" s="15">
        <v>13014</v>
      </c>
      <c r="T22" s="15">
        <v>13492</v>
      </c>
      <c r="U22" s="15">
        <v>13964</v>
      </c>
      <c r="V22" s="15">
        <v>14620</v>
      </c>
      <c r="W22" s="15">
        <v>15024</v>
      </c>
      <c r="X22" s="15">
        <v>16302</v>
      </c>
      <c r="Y22" s="15">
        <v>16535</v>
      </c>
      <c r="Z22" s="15"/>
      <c r="AA22" s="3">
        <v>20549933</v>
      </c>
      <c r="AB22" s="3">
        <f>AA22/1000</f>
        <v>20549.933</v>
      </c>
      <c r="AD22" s="3">
        <v>19809403</v>
      </c>
      <c r="AE22" s="3">
        <f>AD22/1000</f>
        <v>19809.403</v>
      </c>
      <c r="AG22" s="3">
        <v>20290046</v>
      </c>
      <c r="AH22" s="3">
        <f>AG22/1000</f>
        <v>20290.046</v>
      </c>
      <c r="AJ22" s="3">
        <v>22467509</v>
      </c>
      <c r="AK22" s="3">
        <f>AJ22/1000</f>
        <v>22467.509</v>
      </c>
      <c r="AM22" s="3">
        <v>23721366</v>
      </c>
      <c r="AN22" s="3">
        <f t="shared" si="2"/>
        <v>23721.366</v>
      </c>
      <c r="AP22" s="3">
        <v>26165660</v>
      </c>
      <c r="AQ22" s="3">
        <f t="shared" si="3"/>
        <v>26165.66</v>
      </c>
    </row>
    <row r="23" spans="2:28" ht="12.75">
      <c r="B23" s="15"/>
      <c r="C23" s="15"/>
      <c r="D23" s="15"/>
      <c r="E23" s="15"/>
      <c r="G23" s="32"/>
      <c r="H23" s="32"/>
      <c r="I23" s="32"/>
      <c r="J23" s="32"/>
      <c r="K23" s="32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3"/>
      <c r="AB23" s="3"/>
    </row>
    <row r="24" spans="1:43" ht="12.75">
      <c r="A24" s="1" t="s">
        <v>16</v>
      </c>
      <c r="B24" s="15">
        <v>88670</v>
      </c>
      <c r="C24" s="15">
        <v>95904</v>
      </c>
      <c r="D24" s="15">
        <v>99874</v>
      </c>
      <c r="E24" s="15">
        <v>102427</v>
      </c>
      <c r="F24" s="1">
        <v>123374</v>
      </c>
      <c r="G24" s="32">
        <v>114079</v>
      </c>
      <c r="H24" s="32">
        <v>126058</v>
      </c>
      <c r="I24" s="32">
        <v>134818</v>
      </c>
      <c r="J24" s="32">
        <v>147655</v>
      </c>
      <c r="K24" s="32">
        <v>168158</v>
      </c>
      <c r="L24" s="271">
        <f>(K24-J24)*100/J24</f>
        <v>13.885747180928515</v>
      </c>
      <c r="M24" s="271">
        <f>(K24-Y24)*100/Y24</f>
        <v>103.58604324559917</v>
      </c>
      <c r="N24" s="15">
        <v>33835</v>
      </c>
      <c r="O24" s="15">
        <v>37399</v>
      </c>
      <c r="P24" s="15">
        <v>41789</v>
      </c>
      <c r="Q24" s="15">
        <v>47039</v>
      </c>
      <c r="R24" s="15">
        <v>51551</v>
      </c>
      <c r="S24" s="15">
        <v>56444</v>
      </c>
      <c r="T24" s="15">
        <v>61171</v>
      </c>
      <c r="U24" s="15">
        <v>64482</v>
      </c>
      <c r="V24" s="15">
        <v>72707</v>
      </c>
      <c r="W24" s="15">
        <v>73628</v>
      </c>
      <c r="X24" s="15">
        <v>78050</v>
      </c>
      <c r="Y24" s="15">
        <v>82598</v>
      </c>
      <c r="Z24" s="15"/>
      <c r="AA24" s="3">
        <v>123374121</v>
      </c>
      <c r="AB24" s="3">
        <f>AA24/1000</f>
        <v>123374.121</v>
      </c>
      <c r="AD24" s="3">
        <v>114078830</v>
      </c>
      <c r="AE24" s="3">
        <f>AD24/1000</f>
        <v>114078.83</v>
      </c>
      <c r="AG24" s="3">
        <v>126058340</v>
      </c>
      <c r="AH24" s="3">
        <f>AG24/1000</f>
        <v>126058.34</v>
      </c>
      <c r="AJ24" s="3">
        <v>134817838</v>
      </c>
      <c r="AK24" s="3">
        <f>AJ24/1000</f>
        <v>134817.838</v>
      </c>
      <c r="AM24" s="3">
        <v>147654563</v>
      </c>
      <c r="AN24" s="3">
        <f t="shared" si="2"/>
        <v>147654.563</v>
      </c>
      <c r="AP24" s="3">
        <v>168157635</v>
      </c>
      <c r="AQ24" s="3">
        <f t="shared" si="3"/>
        <v>168157.635</v>
      </c>
    </row>
    <row r="25" spans="1:43" ht="12.75">
      <c r="A25" s="1" t="s">
        <v>17</v>
      </c>
      <c r="B25" s="15">
        <v>17983</v>
      </c>
      <c r="C25" s="15">
        <v>18709</v>
      </c>
      <c r="D25" s="15">
        <v>19244</v>
      </c>
      <c r="E25" s="15">
        <v>19146</v>
      </c>
      <c r="F25" s="1">
        <v>19296</v>
      </c>
      <c r="G25" s="32">
        <v>19883</v>
      </c>
      <c r="H25" s="32">
        <v>21185</v>
      </c>
      <c r="I25" s="32">
        <v>21649</v>
      </c>
      <c r="J25" s="32">
        <v>22469</v>
      </c>
      <c r="K25" s="32">
        <v>23679</v>
      </c>
      <c r="L25" s="271">
        <f>(K25-J25)*100/J25</f>
        <v>5.385197383061106</v>
      </c>
      <c r="M25" s="271">
        <f>(K25-Y25)*100/Y25</f>
        <v>35.52541208791209</v>
      </c>
      <c r="N25" s="15">
        <v>9159</v>
      </c>
      <c r="O25" s="15">
        <v>10368</v>
      </c>
      <c r="P25" s="15">
        <v>11165</v>
      </c>
      <c r="Q25" s="15">
        <v>12124</v>
      </c>
      <c r="R25" s="15">
        <v>13045</v>
      </c>
      <c r="S25" s="15">
        <v>14454</v>
      </c>
      <c r="T25" s="15">
        <v>15826</v>
      </c>
      <c r="U25" s="15">
        <v>15793</v>
      </c>
      <c r="V25" s="15">
        <v>16621</v>
      </c>
      <c r="W25" s="15">
        <v>16740</v>
      </c>
      <c r="X25" s="15">
        <v>17037</v>
      </c>
      <c r="Y25" s="15">
        <v>17472</v>
      </c>
      <c r="Z25" s="15"/>
      <c r="AA25" s="3">
        <v>19296050</v>
      </c>
      <c r="AB25" s="3">
        <f>AA25/1000</f>
        <v>19296.05</v>
      </c>
      <c r="AD25" s="3">
        <v>19882738</v>
      </c>
      <c r="AE25" s="3">
        <f>AD25/1000</f>
        <v>19882.738</v>
      </c>
      <c r="AG25" s="3">
        <v>21184710</v>
      </c>
      <c r="AH25" s="3">
        <f>AG25/1000</f>
        <v>21184.71</v>
      </c>
      <c r="AJ25" s="3">
        <v>21648811</v>
      </c>
      <c r="AK25" s="3">
        <f>AJ25/1000</f>
        <v>21648.811</v>
      </c>
      <c r="AM25" s="3">
        <v>22468913</v>
      </c>
      <c r="AN25" s="3">
        <f t="shared" si="2"/>
        <v>22468.913</v>
      </c>
      <c r="AP25" s="3">
        <v>23679028</v>
      </c>
      <c r="AQ25" s="3">
        <f t="shared" si="3"/>
        <v>23679.028</v>
      </c>
    </row>
    <row r="26" spans="1:43" ht="12.75">
      <c r="A26" s="1" t="s">
        <v>18</v>
      </c>
      <c r="B26" s="15">
        <v>104847</v>
      </c>
      <c r="C26" s="15">
        <v>111595</v>
      </c>
      <c r="D26" s="15">
        <v>116063</v>
      </c>
      <c r="E26" s="15">
        <v>118387</v>
      </c>
      <c r="F26" s="1">
        <v>133398</v>
      </c>
      <c r="G26" s="32">
        <v>128187</v>
      </c>
      <c r="H26" s="32">
        <v>137276</v>
      </c>
      <c r="I26" s="32">
        <v>150070</v>
      </c>
      <c r="J26" s="32">
        <v>160971</v>
      </c>
      <c r="K26" s="32">
        <v>181813</v>
      </c>
      <c r="L26" s="271">
        <f>(K26-J26)*100/J26</f>
        <v>12.947673804598343</v>
      </c>
      <c r="M26" s="271">
        <f>(K26-Y26)*100/Y26</f>
        <v>82.17735470941884</v>
      </c>
      <c r="N26" s="15">
        <v>41759</v>
      </c>
      <c r="O26" s="15">
        <v>45645</v>
      </c>
      <c r="P26" s="15">
        <v>50937</v>
      </c>
      <c r="Q26" s="15">
        <v>55088</v>
      </c>
      <c r="R26" s="15">
        <v>60013</v>
      </c>
      <c r="S26" s="15">
        <v>66327</v>
      </c>
      <c r="T26" s="15">
        <v>72964</v>
      </c>
      <c r="U26" s="15">
        <v>79729</v>
      </c>
      <c r="V26" s="15">
        <v>89015</v>
      </c>
      <c r="W26" s="15">
        <v>88834</v>
      </c>
      <c r="X26" s="15">
        <v>94386</v>
      </c>
      <c r="Y26" s="15">
        <v>99800</v>
      </c>
      <c r="Z26" s="15"/>
      <c r="AA26" s="3">
        <v>133398458</v>
      </c>
      <c r="AB26" s="3">
        <f>AA26/1000</f>
        <v>133398.458</v>
      </c>
      <c r="AD26" s="3">
        <v>128186665</v>
      </c>
      <c r="AE26" s="3">
        <f>AD26/1000</f>
        <v>128186.665</v>
      </c>
      <c r="AG26" s="3">
        <v>137276258</v>
      </c>
      <c r="AH26" s="3">
        <f>AG26/1000</f>
        <v>137276.258</v>
      </c>
      <c r="AJ26" s="3">
        <v>150070453</v>
      </c>
      <c r="AK26" s="3">
        <f>AJ26/1000</f>
        <v>150070.453</v>
      </c>
      <c r="AM26" s="3">
        <v>160970937</v>
      </c>
      <c r="AN26" s="3">
        <f t="shared" si="2"/>
        <v>160970.937</v>
      </c>
      <c r="AP26" s="3">
        <v>181813465</v>
      </c>
      <c r="AQ26" s="3">
        <f t="shared" si="3"/>
        <v>181813.465</v>
      </c>
    </row>
    <row r="27" spans="1:43" ht="12.75">
      <c r="A27" s="1" t="s">
        <v>19</v>
      </c>
      <c r="B27" s="15">
        <v>82661</v>
      </c>
      <c r="C27" s="15">
        <v>90306</v>
      </c>
      <c r="D27" s="15">
        <v>96158</v>
      </c>
      <c r="E27" s="15">
        <v>100711</v>
      </c>
      <c r="F27" s="1">
        <v>121768</v>
      </c>
      <c r="G27" s="32">
        <v>111546</v>
      </c>
      <c r="H27" s="32">
        <v>125204</v>
      </c>
      <c r="I27" s="32">
        <v>142080</v>
      </c>
      <c r="J27" s="32">
        <v>150467</v>
      </c>
      <c r="K27" s="32">
        <v>166225</v>
      </c>
      <c r="L27" s="271">
        <f>(K27-J27)*100/J27</f>
        <v>10.472728239414623</v>
      </c>
      <c r="M27" s="271">
        <f>(K27-Y27)*100/Y27</f>
        <v>112.7162674037674</v>
      </c>
      <c r="N27" s="15">
        <v>32249</v>
      </c>
      <c r="O27" s="15">
        <v>35994</v>
      </c>
      <c r="P27" s="15">
        <v>40417</v>
      </c>
      <c r="Q27" s="15">
        <v>43139</v>
      </c>
      <c r="R27" s="15">
        <v>47225</v>
      </c>
      <c r="S27" s="15">
        <v>52219</v>
      </c>
      <c r="T27" s="15">
        <v>57536</v>
      </c>
      <c r="U27" s="15">
        <v>62453</v>
      </c>
      <c r="V27" s="15">
        <v>68993</v>
      </c>
      <c r="W27" s="15">
        <v>67556</v>
      </c>
      <c r="X27" s="15">
        <v>72006</v>
      </c>
      <c r="Y27" s="15">
        <v>78144</v>
      </c>
      <c r="Z27" s="15"/>
      <c r="AA27" s="3">
        <v>121768303</v>
      </c>
      <c r="AB27" s="3">
        <f>AA27/1000</f>
        <v>121768.303</v>
      </c>
      <c r="AD27" s="3">
        <v>111545750</v>
      </c>
      <c r="AE27" s="3">
        <f>AD27/1000</f>
        <v>111545.75</v>
      </c>
      <c r="AG27" s="3">
        <v>125204309</v>
      </c>
      <c r="AH27" s="3">
        <f>AG27/1000</f>
        <v>125204.309</v>
      </c>
      <c r="AJ27" s="3">
        <v>142079834</v>
      </c>
      <c r="AK27" s="3">
        <f>AJ27/1000</f>
        <v>142079.834</v>
      </c>
      <c r="AM27" s="3">
        <v>150467339</v>
      </c>
      <c r="AN27" s="3">
        <f t="shared" si="2"/>
        <v>150467.339</v>
      </c>
      <c r="AP27" s="3">
        <v>166224991</v>
      </c>
      <c r="AQ27" s="3">
        <f t="shared" si="3"/>
        <v>166224.991</v>
      </c>
    </row>
    <row r="28" spans="1:43" ht="12.75">
      <c r="A28" s="1" t="s">
        <v>20</v>
      </c>
      <c r="B28" s="15">
        <v>7636</v>
      </c>
      <c r="C28" s="15">
        <v>7944</v>
      </c>
      <c r="D28" s="15">
        <v>8340</v>
      </c>
      <c r="E28" s="15">
        <v>8409</v>
      </c>
      <c r="F28" s="1">
        <v>8883</v>
      </c>
      <c r="G28" s="32">
        <v>9256</v>
      </c>
      <c r="H28" s="32">
        <v>10170</v>
      </c>
      <c r="I28" s="32">
        <v>9134</v>
      </c>
      <c r="J28" s="32">
        <v>9843</v>
      </c>
      <c r="K28" s="32">
        <v>9610</v>
      </c>
      <c r="L28" s="271">
        <f>(K28-J28)*100/J28</f>
        <v>-2.3671644823732603</v>
      </c>
      <c r="M28" s="271">
        <f>(K28-Y28)*100/Y28</f>
        <v>34.34922410177548</v>
      </c>
      <c r="N28" s="15">
        <v>3900</v>
      </c>
      <c r="O28" s="15">
        <v>4277</v>
      </c>
      <c r="P28" s="15">
        <v>4685</v>
      </c>
      <c r="Q28" s="15">
        <v>4914</v>
      </c>
      <c r="R28" s="15">
        <v>5358</v>
      </c>
      <c r="S28" s="15">
        <v>6004</v>
      </c>
      <c r="T28" s="15">
        <v>6426</v>
      </c>
      <c r="U28" s="15">
        <v>6863</v>
      </c>
      <c r="V28" s="15">
        <v>6865</v>
      </c>
      <c r="W28" s="15">
        <v>6697</v>
      </c>
      <c r="X28" s="15">
        <v>6873</v>
      </c>
      <c r="Y28" s="15">
        <v>7153</v>
      </c>
      <c r="Z28" s="15"/>
      <c r="AA28" s="3">
        <v>8883165</v>
      </c>
      <c r="AB28" s="3">
        <f>AA28/1000</f>
        <v>8883.165</v>
      </c>
      <c r="AD28" s="3">
        <v>9255963</v>
      </c>
      <c r="AE28" s="3">
        <f>AD28/1000</f>
        <v>9255.963</v>
      </c>
      <c r="AG28" s="3">
        <v>10169990</v>
      </c>
      <c r="AH28" s="3">
        <f>AG28/1000</f>
        <v>10169.99</v>
      </c>
      <c r="AJ28" s="3">
        <v>9133669</v>
      </c>
      <c r="AK28" s="3">
        <f>AJ28/1000</f>
        <v>9133.669</v>
      </c>
      <c r="AM28" s="3">
        <v>9842566</v>
      </c>
      <c r="AN28" s="3">
        <f t="shared" si="2"/>
        <v>9842.566</v>
      </c>
      <c r="AP28" s="3">
        <v>9610299</v>
      </c>
      <c r="AQ28" s="3">
        <f t="shared" si="3"/>
        <v>9610.299</v>
      </c>
    </row>
    <row r="29" spans="2:28" ht="12.75">
      <c r="B29" s="15"/>
      <c r="C29" s="15"/>
      <c r="D29" s="15"/>
      <c r="E29" s="15"/>
      <c r="G29" s="32"/>
      <c r="H29" s="32"/>
      <c r="I29" s="32"/>
      <c r="J29" s="32"/>
      <c r="K29" s="32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3"/>
      <c r="AB29" s="3"/>
    </row>
    <row r="30" spans="1:43" ht="12.75">
      <c r="A30" s="1" t="s">
        <v>21</v>
      </c>
      <c r="B30" s="15">
        <v>206687</v>
      </c>
      <c r="C30" s="15">
        <v>217180</v>
      </c>
      <c r="D30" s="15">
        <v>227857</v>
      </c>
      <c r="E30" s="15">
        <v>236615</v>
      </c>
      <c r="F30" s="1">
        <v>287212</v>
      </c>
      <c r="G30" s="32">
        <v>276311</v>
      </c>
      <c r="H30" s="32">
        <v>306164</v>
      </c>
      <c r="I30" s="32">
        <v>334011</v>
      </c>
      <c r="J30" s="32">
        <v>358041</v>
      </c>
      <c r="K30" s="32">
        <v>389843</v>
      </c>
      <c r="L30" s="271">
        <f>(K30-J30)*100/J30</f>
        <v>8.882222985635723</v>
      </c>
      <c r="M30" s="271">
        <f>(K30-Y30)*100/Y30</f>
        <v>104.95076572053435</v>
      </c>
      <c r="N30" s="15">
        <v>106078</v>
      </c>
      <c r="O30" s="15">
        <v>111778</v>
      </c>
      <c r="P30" s="15">
        <v>121704</v>
      </c>
      <c r="Q30" s="15">
        <v>134991</v>
      </c>
      <c r="R30" s="15">
        <v>143068</v>
      </c>
      <c r="S30" s="15">
        <v>154034</v>
      </c>
      <c r="T30" s="15">
        <v>163196</v>
      </c>
      <c r="U30" s="15">
        <v>164861</v>
      </c>
      <c r="V30" s="15">
        <v>169804</v>
      </c>
      <c r="W30" s="15">
        <v>155297</v>
      </c>
      <c r="X30" s="15">
        <v>169070</v>
      </c>
      <c r="Y30" s="15">
        <v>190213</v>
      </c>
      <c r="Z30" s="15"/>
      <c r="AA30" s="3">
        <v>287212067</v>
      </c>
      <c r="AB30" s="3">
        <f>AA30/1000</f>
        <v>287212.067</v>
      </c>
      <c r="AD30" s="3">
        <v>276310578</v>
      </c>
      <c r="AE30" s="3">
        <f>AD30/1000</f>
        <v>276310.578</v>
      </c>
      <c r="AG30" s="3">
        <v>306163972</v>
      </c>
      <c r="AH30" s="3">
        <f>AG30/1000</f>
        <v>306163.972</v>
      </c>
      <c r="AJ30" s="3">
        <v>334011181</v>
      </c>
      <c r="AK30" s="3">
        <f>AJ30/1000</f>
        <v>334011.181</v>
      </c>
      <c r="AM30" s="3">
        <v>358041179</v>
      </c>
      <c r="AN30" s="3">
        <f t="shared" si="2"/>
        <v>358041.179</v>
      </c>
      <c r="AP30" s="3">
        <v>389842740</v>
      </c>
      <c r="AQ30" s="3">
        <f t="shared" si="3"/>
        <v>389842.74</v>
      </c>
    </row>
    <row r="31" spans="1:43" ht="12.75">
      <c r="A31" s="1" t="s">
        <v>22</v>
      </c>
      <c r="B31" s="15">
        <v>367773</v>
      </c>
      <c r="C31" s="15">
        <v>402521</v>
      </c>
      <c r="D31" s="15">
        <v>434843</v>
      </c>
      <c r="E31" s="15">
        <v>460845</v>
      </c>
      <c r="F31" s="1">
        <v>523175</v>
      </c>
      <c r="G31" s="32">
        <v>520663</v>
      </c>
      <c r="H31" s="32">
        <v>573611</v>
      </c>
      <c r="I31" s="32">
        <v>610365</v>
      </c>
      <c r="J31" s="32">
        <v>690034</v>
      </c>
      <c r="K31" s="32">
        <v>772661</v>
      </c>
      <c r="L31" s="271">
        <f>(K31-J31)*100/J31</f>
        <v>11.97433749641322</v>
      </c>
      <c r="M31" s="271">
        <f>(K31-Y31)*100/Y31</f>
        <v>123.34341180279345</v>
      </c>
      <c r="N31" s="15">
        <v>160909</v>
      </c>
      <c r="O31" s="15">
        <v>173748</v>
      </c>
      <c r="P31" s="15">
        <v>192746</v>
      </c>
      <c r="Q31" s="15">
        <v>213478</v>
      </c>
      <c r="R31" s="15">
        <v>233869</v>
      </c>
      <c r="S31" s="15">
        <v>251203</v>
      </c>
      <c r="T31" s="15">
        <v>273200</v>
      </c>
      <c r="U31" s="15">
        <v>283218</v>
      </c>
      <c r="V31" s="15">
        <v>309751</v>
      </c>
      <c r="W31" s="15">
        <v>310304</v>
      </c>
      <c r="X31" s="15">
        <v>328711</v>
      </c>
      <c r="Y31" s="15">
        <v>345952</v>
      </c>
      <c r="Z31" s="15"/>
      <c r="AA31" s="3">
        <v>523174922</v>
      </c>
      <c r="AB31" s="3">
        <f>AA31/1000</f>
        <v>523174.922</v>
      </c>
      <c r="AD31" s="3">
        <v>520663329</v>
      </c>
      <c r="AE31" s="3">
        <f>AD31/1000</f>
        <v>520663.329</v>
      </c>
      <c r="AG31" s="3">
        <v>573611392</v>
      </c>
      <c r="AH31" s="3">
        <f>AG31/1000</f>
        <v>573611.392</v>
      </c>
      <c r="AJ31" s="3">
        <v>610365098</v>
      </c>
      <c r="AK31" s="3">
        <f>AJ31/1000</f>
        <v>610365.098</v>
      </c>
      <c r="AM31" s="3">
        <v>690033806</v>
      </c>
      <c r="AN31" s="3">
        <f t="shared" si="2"/>
        <v>690033.806</v>
      </c>
      <c r="AP31" s="3">
        <v>772661151</v>
      </c>
      <c r="AQ31" s="3">
        <f t="shared" si="3"/>
        <v>772661.151</v>
      </c>
    </row>
    <row r="32" spans="1:43" ht="12.75">
      <c r="A32" s="1" t="s">
        <v>23</v>
      </c>
      <c r="B32" s="15">
        <v>15677</v>
      </c>
      <c r="C32" s="15">
        <v>16279</v>
      </c>
      <c r="D32" s="15">
        <v>17282</v>
      </c>
      <c r="E32" s="15">
        <v>18164</v>
      </c>
      <c r="F32" s="1">
        <v>25604</v>
      </c>
      <c r="G32" s="32">
        <v>21184</v>
      </c>
      <c r="H32" s="32">
        <v>22228</v>
      </c>
      <c r="I32" s="32">
        <v>23883</v>
      </c>
      <c r="J32" s="32">
        <v>24992</v>
      </c>
      <c r="K32" s="32">
        <v>27142</v>
      </c>
      <c r="L32" s="271">
        <f>(K32-J32)*100/J32</f>
        <v>8.602752880921894</v>
      </c>
      <c r="M32" s="271">
        <f>(K32-Y32)*100/Y32</f>
        <v>83.73950717573788</v>
      </c>
      <c r="N32" s="15">
        <v>6809</v>
      </c>
      <c r="O32" s="15">
        <v>7700</v>
      </c>
      <c r="P32" s="15">
        <v>8646</v>
      </c>
      <c r="Q32" s="15">
        <v>9347</v>
      </c>
      <c r="R32" s="15">
        <v>10098</v>
      </c>
      <c r="S32" s="15">
        <v>11287</v>
      </c>
      <c r="T32" s="15">
        <v>12127</v>
      </c>
      <c r="U32" s="15">
        <v>13118</v>
      </c>
      <c r="V32" s="15">
        <v>13687</v>
      </c>
      <c r="W32" s="15">
        <v>13867</v>
      </c>
      <c r="X32" s="15">
        <v>14152</v>
      </c>
      <c r="Y32" s="15">
        <v>14772</v>
      </c>
      <c r="Z32" s="15"/>
      <c r="AA32" s="3">
        <v>25604324</v>
      </c>
      <c r="AB32" s="3">
        <f>AA32/1000</f>
        <v>25604.324</v>
      </c>
      <c r="AD32" s="3">
        <v>21183644</v>
      </c>
      <c r="AE32" s="3">
        <f>AD32/1000</f>
        <v>21183.644</v>
      </c>
      <c r="AG32" s="3">
        <v>22228246</v>
      </c>
      <c r="AH32" s="3">
        <f>AG32/1000</f>
        <v>22228.246</v>
      </c>
      <c r="AJ32" s="3">
        <v>23882763</v>
      </c>
      <c r="AK32" s="3">
        <f>AJ32/1000</f>
        <v>23882.763</v>
      </c>
      <c r="AM32" s="3">
        <v>24992229</v>
      </c>
      <c r="AN32" s="3">
        <f t="shared" si="2"/>
        <v>24992.229</v>
      </c>
      <c r="AP32" s="3">
        <v>27142022</v>
      </c>
      <c r="AQ32" s="3">
        <f t="shared" si="3"/>
        <v>27142.022</v>
      </c>
    </row>
    <row r="33" spans="1:43" ht="12.75">
      <c r="A33" s="1" t="s">
        <v>24</v>
      </c>
      <c r="B33" s="15">
        <v>42280</v>
      </c>
      <c r="C33" s="15">
        <v>45224</v>
      </c>
      <c r="D33" s="15">
        <v>47085</v>
      </c>
      <c r="E33" s="15">
        <v>47210</v>
      </c>
      <c r="F33" s="1">
        <v>57422</v>
      </c>
      <c r="G33" s="32">
        <v>52904</v>
      </c>
      <c r="H33" s="32">
        <v>57054</v>
      </c>
      <c r="I33" s="32">
        <v>63166</v>
      </c>
      <c r="J33" s="32">
        <v>68420</v>
      </c>
      <c r="K33" s="32">
        <v>77866</v>
      </c>
      <c r="L33" s="271">
        <f>(K33-J33)*100/J33</f>
        <v>13.805904706226249</v>
      </c>
      <c r="M33" s="271">
        <f>(K33-Y33)*100/Y33</f>
        <v>98.65802632921726</v>
      </c>
      <c r="N33" s="15">
        <v>18352</v>
      </c>
      <c r="O33" s="15">
        <v>20358</v>
      </c>
      <c r="P33" s="15">
        <v>22393</v>
      </c>
      <c r="Q33" s="15">
        <v>24933</v>
      </c>
      <c r="R33" s="15">
        <v>27136</v>
      </c>
      <c r="S33" s="15">
        <v>29880</v>
      </c>
      <c r="T33" s="15">
        <v>31939</v>
      </c>
      <c r="U33" s="15">
        <v>34825</v>
      </c>
      <c r="V33" s="15">
        <v>37949</v>
      </c>
      <c r="W33" s="15">
        <v>36993</v>
      </c>
      <c r="X33" s="15">
        <v>37561</v>
      </c>
      <c r="Y33" s="15">
        <v>39196</v>
      </c>
      <c r="Z33" s="15"/>
      <c r="AA33" s="3">
        <v>57421580</v>
      </c>
      <c r="AB33" s="3">
        <f>AA33/1000</f>
        <v>57421.58</v>
      </c>
      <c r="AD33" s="3">
        <v>52904076</v>
      </c>
      <c r="AE33" s="3">
        <f>AD33/1000</f>
        <v>52904.076</v>
      </c>
      <c r="AG33" s="3">
        <v>57054027</v>
      </c>
      <c r="AH33" s="3">
        <f>AG33/1000</f>
        <v>57054.027</v>
      </c>
      <c r="AJ33" s="3">
        <v>63165892</v>
      </c>
      <c r="AK33" s="3">
        <f>AJ33/1000</f>
        <v>63165.892</v>
      </c>
      <c r="AM33" s="3">
        <v>68420392</v>
      </c>
      <c r="AN33" s="3">
        <f t="shared" si="2"/>
        <v>68420.392</v>
      </c>
      <c r="AP33" s="3">
        <v>77865931</v>
      </c>
      <c r="AQ33" s="3">
        <f t="shared" si="3"/>
        <v>77865.931</v>
      </c>
    </row>
    <row r="34" spans="1:43" ht="12.75">
      <c r="A34" s="1" t="s">
        <v>25</v>
      </c>
      <c r="B34" s="15">
        <v>12430</v>
      </c>
      <c r="C34" s="15">
        <v>12538</v>
      </c>
      <c r="D34" s="15">
        <v>13075</v>
      </c>
      <c r="E34" s="15">
        <v>13303</v>
      </c>
      <c r="F34" s="1">
        <v>13377</v>
      </c>
      <c r="G34" s="32">
        <v>14002</v>
      </c>
      <c r="H34" s="32">
        <v>15734</v>
      </c>
      <c r="I34" s="32">
        <v>16195</v>
      </c>
      <c r="J34" s="32">
        <v>17572</v>
      </c>
      <c r="K34" s="32">
        <v>20259</v>
      </c>
      <c r="L34" s="271">
        <f>(K34-J34)*100/J34</f>
        <v>15.291372638288186</v>
      </c>
      <c r="M34" s="271">
        <f>(K34-Y34)*100/Y34</f>
        <v>65.92137592137593</v>
      </c>
      <c r="N34" s="15">
        <v>5978</v>
      </c>
      <c r="O34" s="15">
        <v>6556</v>
      </c>
      <c r="P34" s="15">
        <v>7265</v>
      </c>
      <c r="Q34" s="15">
        <v>8097</v>
      </c>
      <c r="R34" s="15">
        <v>8757</v>
      </c>
      <c r="S34" s="15">
        <v>9339</v>
      </c>
      <c r="T34" s="15">
        <v>10248</v>
      </c>
      <c r="U34" s="15">
        <v>10787</v>
      </c>
      <c r="V34" s="15">
        <v>11471</v>
      </c>
      <c r="W34" s="15">
        <v>11719</v>
      </c>
      <c r="X34" s="15">
        <v>11795</v>
      </c>
      <c r="Y34" s="15">
        <v>12210</v>
      </c>
      <c r="Z34" s="15"/>
      <c r="AA34" s="3">
        <v>13376710</v>
      </c>
      <c r="AB34" s="3">
        <f>AA34/1000</f>
        <v>13376.71</v>
      </c>
      <c r="AD34" s="3">
        <v>14001870</v>
      </c>
      <c r="AE34" s="3">
        <f>AD34/1000</f>
        <v>14001.87</v>
      </c>
      <c r="AG34" s="3">
        <v>15734489</v>
      </c>
      <c r="AH34" s="3">
        <f>AG34/1000</f>
        <v>15734.489</v>
      </c>
      <c r="AJ34" s="3">
        <v>16195402</v>
      </c>
      <c r="AK34" s="3">
        <f>AJ34/1000</f>
        <v>16195.402</v>
      </c>
      <c r="AM34" s="3">
        <v>17572489</v>
      </c>
      <c r="AN34" s="3">
        <f t="shared" si="2"/>
        <v>17572.489</v>
      </c>
      <c r="AP34" s="3">
        <v>20259065</v>
      </c>
      <c r="AQ34" s="3">
        <f t="shared" si="3"/>
        <v>20259.065</v>
      </c>
    </row>
    <row r="35" spans="2:28" ht="12.75">
      <c r="B35" s="15"/>
      <c r="C35" s="15"/>
      <c r="D35" s="15"/>
      <c r="E35" s="15"/>
      <c r="G35" s="32"/>
      <c r="H35" s="32"/>
      <c r="I35" s="32"/>
      <c r="J35" s="32"/>
      <c r="K35" s="32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3"/>
      <c r="AB35" s="3"/>
    </row>
    <row r="36" spans="1:43" ht="12.75">
      <c r="A36" s="1" t="s">
        <v>26</v>
      </c>
      <c r="B36" s="15">
        <v>6685</v>
      </c>
      <c r="C36" s="15">
        <v>6505</v>
      </c>
      <c r="D36" s="15">
        <v>7153</v>
      </c>
      <c r="E36" s="15">
        <v>6924</v>
      </c>
      <c r="F36" s="1">
        <v>10854</v>
      </c>
      <c r="G36" s="32">
        <v>7120</v>
      </c>
      <c r="H36" s="32">
        <v>7067</v>
      </c>
      <c r="I36" s="32">
        <v>10470</v>
      </c>
      <c r="J36" s="32">
        <v>11131</v>
      </c>
      <c r="K36" s="32">
        <v>12007</v>
      </c>
      <c r="L36" s="271">
        <f>(K36-J36)*100/J36</f>
        <v>7.869912855987782</v>
      </c>
      <c r="M36" s="271">
        <f>(K36-Y36)*100/Y36</f>
        <v>87.87357221092161</v>
      </c>
      <c r="N36" s="15">
        <v>3657</v>
      </c>
      <c r="O36" s="15">
        <v>4077</v>
      </c>
      <c r="P36" s="15">
        <v>4596</v>
      </c>
      <c r="Q36" s="15">
        <v>4592</v>
      </c>
      <c r="R36" s="15">
        <v>4621</v>
      </c>
      <c r="S36" s="15">
        <v>5336</v>
      </c>
      <c r="T36" s="15">
        <v>5591</v>
      </c>
      <c r="U36" s="15">
        <v>6398</v>
      </c>
      <c r="V36" s="15">
        <v>6494</v>
      </c>
      <c r="W36" s="15">
        <v>5968</v>
      </c>
      <c r="X36" s="15">
        <v>6109</v>
      </c>
      <c r="Y36" s="15">
        <v>6391</v>
      </c>
      <c r="Z36" s="15"/>
      <c r="AA36" s="3">
        <v>10854388</v>
      </c>
      <c r="AB36" s="3">
        <f>AA36/1000</f>
        <v>10854.388</v>
      </c>
      <c r="AD36" s="3">
        <v>7120388</v>
      </c>
      <c r="AE36" s="3">
        <f>AD36/1000</f>
        <v>7120.388</v>
      </c>
      <c r="AG36" s="3">
        <v>7067132</v>
      </c>
      <c r="AH36" s="3">
        <f>AG36/1000</f>
        <v>7067.132</v>
      </c>
      <c r="AJ36" s="3">
        <v>10469816</v>
      </c>
      <c r="AK36" s="3">
        <f>AJ36/1000</f>
        <v>10469.816</v>
      </c>
      <c r="AM36" s="3">
        <v>11131252</v>
      </c>
      <c r="AN36" s="3">
        <f t="shared" si="2"/>
        <v>11131.252</v>
      </c>
      <c r="AP36" s="3">
        <v>12007444</v>
      </c>
      <c r="AQ36" s="3">
        <f t="shared" si="3"/>
        <v>12007.444</v>
      </c>
    </row>
    <row r="37" spans="1:43" ht="12.75">
      <c r="A37" s="1" t="s">
        <v>27</v>
      </c>
      <c r="B37" s="15">
        <v>60158</v>
      </c>
      <c r="C37" s="15">
        <v>62728</v>
      </c>
      <c r="D37" s="15">
        <v>64290</v>
      </c>
      <c r="E37" s="15">
        <v>65472</v>
      </c>
      <c r="F37" s="1">
        <v>70841</v>
      </c>
      <c r="G37" s="32">
        <v>70268</v>
      </c>
      <c r="H37" s="32">
        <v>73729</v>
      </c>
      <c r="I37" s="32">
        <v>81694</v>
      </c>
      <c r="J37" s="32">
        <v>88877</v>
      </c>
      <c r="K37" s="32">
        <v>103890</v>
      </c>
      <c r="L37" s="271">
        <f>(K37-J37)*100/J37</f>
        <v>16.891884289523723</v>
      </c>
      <c r="M37" s="271">
        <f>(K37-Y37)*100/Y37</f>
        <v>79.19483924382503</v>
      </c>
      <c r="N37" s="15">
        <v>26959</v>
      </c>
      <c r="O37" s="15">
        <v>29812</v>
      </c>
      <c r="P37" s="15">
        <v>32828</v>
      </c>
      <c r="Q37" s="15">
        <v>35666</v>
      </c>
      <c r="R37" s="15">
        <v>39091</v>
      </c>
      <c r="S37" s="15">
        <v>42020</v>
      </c>
      <c r="T37" s="15">
        <v>45238</v>
      </c>
      <c r="U37" s="15">
        <v>47890</v>
      </c>
      <c r="V37" s="15">
        <v>51355</v>
      </c>
      <c r="W37" s="15">
        <v>53148</v>
      </c>
      <c r="X37" s="15">
        <v>55951</v>
      </c>
      <c r="Y37" s="15">
        <v>57976</v>
      </c>
      <c r="Z37" s="15"/>
      <c r="AA37" s="3">
        <v>70841448</v>
      </c>
      <c r="AB37" s="3">
        <f>AA37/1000</f>
        <v>70841.448</v>
      </c>
      <c r="AD37" s="3">
        <v>70267894</v>
      </c>
      <c r="AE37" s="3">
        <f>AD37/1000</f>
        <v>70267.894</v>
      </c>
      <c r="AG37" s="3">
        <v>73728916</v>
      </c>
      <c r="AH37" s="3">
        <f>AG37/1000</f>
        <v>73728.916</v>
      </c>
      <c r="AJ37" s="3">
        <v>81693592</v>
      </c>
      <c r="AK37" s="3">
        <f>AJ37/1000</f>
        <v>81693.592</v>
      </c>
      <c r="AM37" s="3">
        <v>88877450</v>
      </c>
      <c r="AN37" s="3">
        <f t="shared" si="2"/>
        <v>88877.45</v>
      </c>
      <c r="AP37" s="3">
        <v>103889580</v>
      </c>
      <c r="AQ37" s="3">
        <f t="shared" si="3"/>
        <v>103889.58</v>
      </c>
    </row>
    <row r="38" spans="1:43" ht="12.75">
      <c r="A38" s="1" t="s">
        <v>28</v>
      </c>
      <c r="B38" s="15">
        <v>43756</v>
      </c>
      <c r="C38" s="15">
        <v>46221</v>
      </c>
      <c r="D38" s="15">
        <v>48275</v>
      </c>
      <c r="E38" s="15">
        <v>49132</v>
      </c>
      <c r="F38" s="1">
        <v>55110</v>
      </c>
      <c r="G38" s="32">
        <v>54566</v>
      </c>
      <c r="H38" s="32">
        <v>58665</v>
      </c>
      <c r="I38" s="32">
        <v>65433</v>
      </c>
      <c r="J38" s="32">
        <v>73175</v>
      </c>
      <c r="K38" s="32">
        <v>83354</v>
      </c>
      <c r="L38" s="271">
        <f>(K38-J38)*100/J38</f>
        <v>13.910488554834302</v>
      </c>
      <c r="M38" s="271">
        <f>(K38-Y38)*100/Y38</f>
        <v>99.32564924195323</v>
      </c>
      <c r="N38" s="15">
        <v>17390</v>
      </c>
      <c r="O38" s="15">
        <v>19272</v>
      </c>
      <c r="P38" s="15">
        <v>21644</v>
      </c>
      <c r="Q38" s="15">
        <v>23704</v>
      </c>
      <c r="R38" s="15">
        <v>26000</v>
      </c>
      <c r="S38" s="15">
        <v>28724</v>
      </c>
      <c r="T38" s="15">
        <v>31585</v>
      </c>
      <c r="U38" s="15">
        <v>34390</v>
      </c>
      <c r="V38" s="15">
        <v>37502</v>
      </c>
      <c r="W38" s="15">
        <v>38250</v>
      </c>
      <c r="X38" s="15">
        <v>40132</v>
      </c>
      <c r="Y38" s="15">
        <v>41818</v>
      </c>
      <c r="Z38" s="15"/>
      <c r="AA38" s="3">
        <v>55109631</v>
      </c>
      <c r="AB38" s="3">
        <f>AA38/1000</f>
        <v>55109.631</v>
      </c>
      <c r="AD38" s="3">
        <v>54566024</v>
      </c>
      <c r="AE38" s="3">
        <f>AD38/1000</f>
        <v>54566.024</v>
      </c>
      <c r="AG38" s="3">
        <v>58664747</v>
      </c>
      <c r="AH38" s="3">
        <f>AG38/1000</f>
        <v>58664.747</v>
      </c>
      <c r="AJ38" s="3">
        <v>65433391</v>
      </c>
      <c r="AK38" s="3">
        <f>AJ38/1000</f>
        <v>65433.391</v>
      </c>
      <c r="AM38" s="3">
        <v>73174887</v>
      </c>
      <c r="AN38" s="3">
        <f t="shared" si="2"/>
        <v>73174.887</v>
      </c>
      <c r="AP38" s="3">
        <v>83353613</v>
      </c>
      <c r="AQ38" s="3">
        <f t="shared" si="3"/>
        <v>83353.613</v>
      </c>
    </row>
    <row r="39" spans="1:43" ht="12.75">
      <c r="A39" s="18" t="s">
        <v>29</v>
      </c>
      <c r="B39" s="15">
        <v>8805</v>
      </c>
      <c r="C39" s="15">
        <v>7872</v>
      </c>
      <c r="D39" s="15">
        <v>10478</v>
      </c>
      <c r="E39" s="15">
        <v>10321</v>
      </c>
      <c r="F39" s="1">
        <v>10584</v>
      </c>
      <c r="G39" s="32">
        <v>11005</v>
      </c>
      <c r="H39" s="32">
        <v>12709</v>
      </c>
      <c r="I39" s="32">
        <v>15968</v>
      </c>
      <c r="J39" s="32">
        <v>17668</v>
      </c>
      <c r="K39" s="32">
        <v>18649</v>
      </c>
      <c r="L39" s="271">
        <f>(K39-J39)*100/J39</f>
        <v>5.552411138781979</v>
      </c>
      <c r="M39" s="271">
        <f>(K39-Y39)*100/Y39</f>
        <v>138.47826086956522</v>
      </c>
      <c r="N39" s="15">
        <v>5169</v>
      </c>
      <c r="O39" s="15">
        <v>5519</v>
      </c>
      <c r="P39" s="15">
        <v>5509</v>
      </c>
      <c r="Q39" s="15">
        <v>5733</v>
      </c>
      <c r="R39" s="15">
        <v>5970</v>
      </c>
      <c r="S39" s="15">
        <v>6354</v>
      </c>
      <c r="T39" s="15">
        <v>6807</v>
      </c>
      <c r="U39" s="15">
        <v>7268</v>
      </c>
      <c r="V39" s="15">
        <v>7019</v>
      </c>
      <c r="W39" s="15">
        <v>6908</v>
      </c>
      <c r="X39" s="15">
        <v>6933</v>
      </c>
      <c r="Y39" s="15">
        <v>7820</v>
      </c>
      <c r="Z39" s="15"/>
      <c r="AA39" s="3">
        <v>10584399</v>
      </c>
      <c r="AB39" s="3">
        <f>AA39/1000</f>
        <v>10584.399</v>
      </c>
      <c r="AD39" s="3">
        <v>11005254</v>
      </c>
      <c r="AE39" s="3">
        <f>AD39/1000</f>
        <v>11005.254</v>
      </c>
      <c r="AG39" s="3">
        <v>12709086</v>
      </c>
      <c r="AH39" s="3">
        <f>AG39/1000</f>
        <v>12709.086</v>
      </c>
      <c r="AJ39" s="3">
        <v>15967805</v>
      </c>
      <c r="AK39" s="3">
        <f>AJ39/1000</f>
        <v>15967.805</v>
      </c>
      <c r="AM39" s="3">
        <v>17667953</v>
      </c>
      <c r="AN39" s="3">
        <f t="shared" si="2"/>
        <v>17667.953</v>
      </c>
      <c r="AP39" s="3">
        <v>18649252</v>
      </c>
      <c r="AQ39" s="3">
        <f t="shared" si="3"/>
        <v>18649.252</v>
      </c>
    </row>
    <row r="40" spans="1:27" ht="12.75">
      <c r="A40" s="1" t="s">
        <v>232</v>
      </c>
      <c r="B40" s="20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R40" s="15"/>
      <c r="W40" s="20"/>
      <c r="X40" s="20"/>
      <c r="Y40" s="20"/>
      <c r="Z40" s="20"/>
      <c r="AA40" s="20"/>
    </row>
    <row r="41" spans="2:27" ht="12.75">
      <c r="B41" s="15"/>
      <c r="C41" s="15"/>
      <c r="W41" s="15"/>
      <c r="X41" s="15"/>
      <c r="Y41" s="15"/>
      <c r="Z41" s="15"/>
      <c r="AA41" s="15"/>
    </row>
    <row r="42" spans="1:27" ht="12.75">
      <c r="A42" s="3"/>
      <c r="B42" s="15"/>
      <c r="C42" s="15"/>
      <c r="W42" s="15"/>
      <c r="X42" s="15"/>
      <c r="Y42" s="15"/>
      <c r="Z42" s="15"/>
      <c r="AA42" s="15"/>
    </row>
    <row r="43" spans="2:27" ht="12.75">
      <c r="B43" s="15"/>
      <c r="C43" s="15"/>
      <c r="W43" s="15"/>
      <c r="X43" s="15"/>
      <c r="Y43" s="15"/>
      <c r="Z43" s="15"/>
      <c r="AA43" s="15"/>
    </row>
    <row r="44" spans="2:27" ht="12.75">
      <c r="B44" s="15"/>
      <c r="C44" s="15"/>
      <c r="W44" s="15"/>
      <c r="X44" s="15"/>
      <c r="Y44" s="15"/>
      <c r="Z44" s="15"/>
      <c r="AA44" s="15"/>
    </row>
    <row r="45" spans="2:27" ht="12.75">
      <c r="B45" s="15"/>
      <c r="C45" s="15"/>
      <c r="W45" s="15"/>
      <c r="X45" s="15"/>
      <c r="Y45" s="15"/>
      <c r="Z45" s="15"/>
      <c r="AA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</sheetData>
  <sheetProtection password="CAF5" sheet="1" objects="1" scenarios="1"/>
  <printOptions/>
  <pageMargins left="0.52" right="0.48" top="1" bottom="0.84" header="0.5" footer="0.5"/>
  <pageSetup fitToHeight="1" fitToWidth="1" orientation="landscape" scale="76" r:id="rId1"/>
  <headerFooter alignWithMargins="0">
    <oddFooter>&amp;L&amp;"Lucida Sans,Italic"&amp;10MSDE-DBS  10 / 2007
&amp;C- 3 -&amp;R&amp;"Lucida Sans,Italic"&amp;10Selected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workbookViewId="0" topLeftCell="A10">
      <selection activeCell="D5" sqref="D5"/>
    </sheetView>
  </sheetViews>
  <sheetFormatPr defaultColWidth="9.00390625" defaultRowHeight="15.75"/>
  <cols>
    <col min="1" max="1" width="12.875" style="1" customWidth="1"/>
    <col min="2" max="9" width="12.625" style="1" customWidth="1"/>
    <col min="10" max="11" width="11.50390625" style="1" customWidth="1"/>
    <col min="12" max="12" width="7.625" style="1" customWidth="1"/>
    <col min="13" max="13" width="7.125" style="1" customWidth="1"/>
    <col min="14" max="14" width="7.25390625" style="1" customWidth="1"/>
    <col min="15" max="15" width="9.375" style="1" bestFit="1" customWidth="1"/>
    <col min="16" max="16" width="10.00390625" style="1" customWidth="1"/>
    <col min="17" max="24" width="10.125" style="1" customWidth="1"/>
    <col min="25" max="25" width="10.875" style="1" bestFit="1" customWidth="1"/>
    <col min="26" max="26" width="12.625" style="1" customWidth="1"/>
    <col min="27" max="27" width="7.75390625" style="1" customWidth="1"/>
    <col min="28" max="28" width="12.50390625" style="1" bestFit="1" customWidth="1"/>
    <col min="29" max="29" width="10.125" style="3" customWidth="1"/>
    <col min="30" max="30" width="3.125" style="3" customWidth="1"/>
    <col min="31" max="31" width="12.50390625" style="3" bestFit="1" customWidth="1"/>
    <col min="32" max="32" width="10.125" style="3" customWidth="1"/>
    <col min="33" max="33" width="5.00390625" style="3" customWidth="1"/>
    <col min="34" max="34" width="12.50390625" style="3" bestFit="1" customWidth="1"/>
    <col min="35" max="35" width="10.00390625" style="3" customWidth="1"/>
    <col min="36" max="36" width="2.875" style="3" customWidth="1"/>
    <col min="37" max="37" width="13.625" style="3" customWidth="1"/>
    <col min="38" max="38" width="10.00390625" style="3" customWidth="1"/>
    <col min="39" max="39" width="2.875" style="3" customWidth="1"/>
    <col min="40" max="41" width="10.00390625" style="3" customWidth="1"/>
    <col min="42" max="42" width="2.50390625" style="3" customWidth="1"/>
    <col min="43" max="43" width="12.50390625" style="3" bestFit="1" customWidth="1"/>
    <col min="44" max="16384" width="10.00390625" style="3" customWidth="1"/>
  </cols>
  <sheetData>
    <row r="1" spans="1:26" ht="12.75">
      <c r="A1" s="289" t="s">
        <v>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23"/>
      <c r="O1" s="123"/>
      <c r="P1" s="222"/>
      <c r="S1" s="2"/>
      <c r="T1" s="2"/>
      <c r="Z1" s="123"/>
    </row>
    <row r="2" spans="1:26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222"/>
      <c r="S2" s="2"/>
      <c r="T2" s="2"/>
      <c r="Y2" s="2"/>
      <c r="Z2" s="123"/>
    </row>
    <row r="3" spans="1:28" s="248" customFormat="1" ht="12.75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22"/>
      <c r="O3" s="222"/>
      <c r="P3" s="222"/>
      <c r="Q3" s="73"/>
      <c r="R3" s="73"/>
      <c r="S3" s="73"/>
      <c r="T3" s="73"/>
      <c r="U3" s="73"/>
      <c r="V3" s="73"/>
      <c r="W3" s="73"/>
      <c r="X3" s="73"/>
      <c r="Y3" s="73"/>
      <c r="Z3" s="222"/>
      <c r="AA3" s="73"/>
      <c r="AB3" s="73"/>
    </row>
    <row r="4" spans="1:28" s="248" customFormat="1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222"/>
      <c r="O4" s="222"/>
      <c r="P4" s="222"/>
      <c r="Q4" s="73"/>
      <c r="R4" s="73"/>
      <c r="S4" s="73"/>
      <c r="T4" s="73"/>
      <c r="U4" s="73"/>
      <c r="V4" s="73"/>
      <c r="W4" s="73"/>
      <c r="X4" s="73"/>
      <c r="Y4" s="73"/>
      <c r="Z4" s="222"/>
      <c r="AA4" s="73"/>
      <c r="AB4" s="73"/>
    </row>
    <row r="5" spans="1:26" ht="13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73"/>
      <c r="Z5" s="123"/>
    </row>
    <row r="6" spans="1:2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P6" s="5"/>
      <c r="Q6" s="5"/>
      <c r="R6" s="5"/>
      <c r="S6" s="5"/>
      <c r="U6" s="5"/>
      <c r="V6" s="5"/>
      <c r="W6" s="5"/>
      <c r="X6" s="5"/>
      <c r="Y6" s="5"/>
      <c r="Z6" s="5"/>
      <c r="AA6" s="7"/>
    </row>
    <row r="7" spans="12:14" ht="12.75">
      <c r="L7" s="290" t="s">
        <v>34</v>
      </c>
      <c r="M7" s="290"/>
      <c r="N7" s="247"/>
    </row>
    <row r="8" spans="2:44" ht="12.7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N8" s="10"/>
      <c r="AF8" s="3" t="s">
        <v>216</v>
      </c>
      <c r="AI8" s="3" t="s">
        <v>216</v>
      </c>
      <c r="AL8" s="3" t="s">
        <v>216</v>
      </c>
      <c r="AO8" s="3" t="s">
        <v>216</v>
      </c>
      <c r="AR8" s="3" t="s">
        <v>216</v>
      </c>
    </row>
    <row r="9" spans="1:44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21" t="s">
        <v>2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  <c r="V9" s="8" t="s">
        <v>65</v>
      </c>
      <c r="W9" s="8" t="s">
        <v>66</v>
      </c>
      <c r="X9" s="36" t="s">
        <v>181</v>
      </c>
      <c r="Y9" s="36" t="s">
        <v>182</v>
      </c>
      <c r="Z9" s="36" t="s">
        <v>183</v>
      </c>
      <c r="AA9" s="7"/>
      <c r="AB9" s="9" t="s">
        <v>107</v>
      </c>
      <c r="AC9" s="9" t="s">
        <v>107</v>
      </c>
      <c r="AE9" s="9" t="s">
        <v>163</v>
      </c>
      <c r="AF9" s="9" t="s">
        <v>163</v>
      </c>
      <c r="AH9" s="3" t="s">
        <v>171</v>
      </c>
      <c r="AI9" s="3" t="s">
        <v>171</v>
      </c>
      <c r="AK9" s="3" t="s">
        <v>187</v>
      </c>
      <c r="AL9" s="3" t="s">
        <v>187</v>
      </c>
      <c r="AN9" s="3" t="s">
        <v>197</v>
      </c>
      <c r="AO9" s="3" t="s">
        <v>197</v>
      </c>
      <c r="AQ9" s="21" t="s">
        <v>213</v>
      </c>
      <c r="AR9" s="3" t="s">
        <v>213</v>
      </c>
    </row>
    <row r="10" spans="1:44" ht="12.75">
      <c r="A10" s="7" t="s">
        <v>5</v>
      </c>
      <c r="B10" s="221">
        <f aca="true" t="shared" si="0" ref="B10:K10">SUM(B12:B39)</f>
        <v>2893531</v>
      </c>
      <c r="C10" s="221">
        <f t="shared" si="0"/>
        <v>2999645</v>
      </c>
      <c r="D10" s="221">
        <f t="shared" si="0"/>
        <v>3150814</v>
      </c>
      <c r="E10" s="221">
        <f t="shared" si="0"/>
        <v>3344657</v>
      </c>
      <c r="F10" s="221">
        <f t="shared" si="0"/>
        <v>3624544</v>
      </c>
      <c r="G10" s="221">
        <f t="shared" si="0"/>
        <v>3851120</v>
      </c>
      <c r="H10" s="221">
        <f t="shared" si="0"/>
        <v>3999047</v>
      </c>
      <c r="I10" s="221">
        <f t="shared" si="0"/>
        <v>4171053</v>
      </c>
      <c r="J10" s="221">
        <f t="shared" si="0"/>
        <v>4369876</v>
      </c>
      <c r="K10" s="221">
        <f t="shared" si="0"/>
        <v>4576721</v>
      </c>
      <c r="L10" s="271">
        <f>(K10-J10)*100/J10</f>
        <v>4.733429506924224</v>
      </c>
      <c r="M10" s="271">
        <f>(K10-Z10)*100/Z10</f>
        <v>62.84226713595045</v>
      </c>
      <c r="N10" s="12"/>
      <c r="O10" s="11">
        <f aca="true" t="shared" si="1" ref="O10:U10">SUM(O12:O39)</f>
        <v>1326266</v>
      </c>
      <c r="P10" s="11">
        <f t="shared" si="1"/>
        <v>1434688</v>
      </c>
      <c r="Q10" s="11">
        <f t="shared" si="1"/>
        <v>1559467</v>
      </c>
      <c r="R10" s="11">
        <f t="shared" si="1"/>
        <v>1695218</v>
      </c>
      <c r="S10" s="11">
        <f t="shared" si="1"/>
        <v>1879809</v>
      </c>
      <c r="T10" s="11">
        <f t="shared" si="1"/>
        <v>2102992</v>
      </c>
      <c r="U10" s="11">
        <f t="shared" si="1"/>
        <v>2302613</v>
      </c>
      <c r="V10" s="11">
        <f>SUM(X12:X43)</f>
        <v>2553671</v>
      </c>
      <c r="W10" s="11">
        <f>SUM(Y12:Y43)</f>
        <v>2728936</v>
      </c>
      <c r="X10" s="19">
        <f>SUM(X12:X39)</f>
        <v>2553671</v>
      </c>
      <c r="Y10" s="221">
        <f>SUM(Y12:Y39)</f>
        <v>2728936</v>
      </c>
      <c r="Z10" s="221">
        <f>SUM(Z12:Z39)</f>
        <v>2810524</v>
      </c>
      <c r="AA10" s="11"/>
      <c r="AB10" s="11">
        <f>SUM(AB12:AB43)</f>
        <v>3624545182</v>
      </c>
      <c r="AC10" s="11">
        <f>SUM(AC12:AC43)</f>
        <v>3624545.1820000005</v>
      </c>
      <c r="AE10" s="11">
        <f>SUM(AE12:AE43)</f>
        <v>3851119054</v>
      </c>
      <c r="AF10" s="11">
        <f>SUM(AF12:AF43)</f>
        <v>3851119.0540000005</v>
      </c>
      <c r="AH10" s="11">
        <f>SUM(AH12:AH43)</f>
        <v>3999046147</v>
      </c>
      <c r="AI10" s="11">
        <f>SUM(AI12:AI43)</f>
        <v>3999046.147</v>
      </c>
      <c r="AK10" s="11">
        <f>SUM(AK12:AK43)</f>
        <v>4171051085</v>
      </c>
      <c r="AL10" s="11">
        <f>SUM(AL12:AL43)</f>
        <v>4171051.0850000004</v>
      </c>
      <c r="AN10" s="3">
        <v>4369876180</v>
      </c>
      <c r="AO10" s="11">
        <f>SUM(AO12:AO43)</f>
        <v>4369876.181</v>
      </c>
      <c r="AQ10" s="138">
        <f>SUM(AQ12:AQ43)</f>
        <v>4576720064</v>
      </c>
      <c r="AR10" s="11">
        <f>SUM(AR12:AR43)</f>
        <v>4576720.063999999</v>
      </c>
    </row>
    <row r="11" spans="2:26" ht="12.75">
      <c r="B11" s="15"/>
      <c r="C11" s="74"/>
      <c r="D11" s="74"/>
      <c r="E11" s="74"/>
      <c r="L11" s="271"/>
      <c r="M11" s="271"/>
      <c r="N11" s="15"/>
      <c r="P11" s="15"/>
      <c r="S11" s="15"/>
      <c r="T11" s="15"/>
      <c r="Z11" s="15"/>
    </row>
    <row r="12" spans="1:44" ht="12.75">
      <c r="A12" s="1" t="s">
        <v>6</v>
      </c>
      <c r="B12" s="15">
        <v>21086</v>
      </c>
      <c r="C12" s="75">
        <v>21580</v>
      </c>
      <c r="D12" s="75">
        <v>22237</v>
      </c>
      <c r="E12" s="75">
        <v>23030</v>
      </c>
      <c r="F12" s="1">
        <v>24868</v>
      </c>
      <c r="G12" s="1">
        <v>26000</v>
      </c>
      <c r="H12" s="1">
        <v>25658</v>
      </c>
      <c r="I12" s="1">
        <v>26219</v>
      </c>
      <c r="J12" s="1">
        <v>25778</v>
      </c>
      <c r="K12" s="1">
        <v>26639</v>
      </c>
      <c r="L12" s="271">
        <f>(K12-J12)*100/J12</f>
        <v>3.3400574132981613</v>
      </c>
      <c r="M12" s="271">
        <f>(K12-Z12)*100/Z12</f>
        <v>28.846432889963726</v>
      </c>
      <c r="N12" s="17"/>
      <c r="O12" s="22">
        <v>14821</v>
      </c>
      <c r="P12" s="15">
        <v>14896</v>
      </c>
      <c r="Q12" s="15">
        <v>15250</v>
      </c>
      <c r="R12" s="15">
        <v>15750</v>
      </c>
      <c r="S12" s="15">
        <v>16400</v>
      </c>
      <c r="T12" s="15">
        <v>17000</v>
      </c>
      <c r="U12" s="15">
        <v>17932</v>
      </c>
      <c r="V12" s="15">
        <v>17488</v>
      </c>
      <c r="W12" s="15">
        <v>17786</v>
      </c>
      <c r="X12" s="15">
        <v>19250</v>
      </c>
      <c r="Y12" s="15">
        <v>20230</v>
      </c>
      <c r="Z12" s="15">
        <v>20675</v>
      </c>
      <c r="AA12" s="15"/>
      <c r="AB12" s="1">
        <v>24867933</v>
      </c>
      <c r="AC12" s="3">
        <f>AB12/1000</f>
        <v>24867.933</v>
      </c>
      <c r="AE12" s="3">
        <v>25999571</v>
      </c>
      <c r="AF12" s="3">
        <f>AE12/1000</f>
        <v>25999.571</v>
      </c>
      <c r="AH12" s="3">
        <v>25657928</v>
      </c>
      <c r="AI12" s="3">
        <f>AH12/1000</f>
        <v>25657.928</v>
      </c>
      <c r="AK12" s="3">
        <v>26218807</v>
      </c>
      <c r="AL12" s="3">
        <f>AK12/1000</f>
        <v>26218.807</v>
      </c>
      <c r="AN12" s="3">
        <v>25778411</v>
      </c>
      <c r="AO12" s="3">
        <f>AN12/1000</f>
        <v>25778.411</v>
      </c>
      <c r="AQ12" s="3">
        <v>26639036</v>
      </c>
      <c r="AR12" s="3">
        <f>AQ12/1000</f>
        <v>26639.036</v>
      </c>
    </row>
    <row r="13" spans="1:44" ht="12.75">
      <c r="A13" s="1" t="s">
        <v>7</v>
      </c>
      <c r="B13" s="15">
        <v>269866</v>
      </c>
      <c r="C13" s="75">
        <v>274678</v>
      </c>
      <c r="D13" s="75">
        <v>288075</v>
      </c>
      <c r="E13" s="75">
        <v>316085</v>
      </c>
      <c r="F13" s="1">
        <v>342692</v>
      </c>
      <c r="G13" s="1">
        <v>367582</v>
      </c>
      <c r="H13" s="1">
        <v>383840</v>
      </c>
      <c r="I13" s="1">
        <v>390600</v>
      </c>
      <c r="J13" s="1">
        <v>414261</v>
      </c>
      <c r="K13" s="1">
        <v>449214</v>
      </c>
      <c r="L13" s="271">
        <f>(K13-J13)*100/J13</f>
        <v>8.437434371084896</v>
      </c>
      <c r="M13" s="271">
        <f>(K13-Z13)*100/Z13</f>
        <v>68.57388387077405</v>
      </c>
      <c r="N13" s="17"/>
      <c r="O13" s="22">
        <v>117958</v>
      </c>
      <c r="P13" s="15">
        <v>131250</v>
      </c>
      <c r="Q13" s="15">
        <v>143539</v>
      </c>
      <c r="R13" s="15">
        <v>152942</v>
      </c>
      <c r="S13" s="15">
        <v>166332</v>
      </c>
      <c r="T13" s="15">
        <v>190950</v>
      </c>
      <c r="U13" s="15">
        <v>213363</v>
      </c>
      <c r="V13" s="15">
        <v>207212</v>
      </c>
      <c r="W13" s="15">
        <v>214493</v>
      </c>
      <c r="X13" s="15">
        <v>238107</v>
      </c>
      <c r="Y13" s="15">
        <v>260745</v>
      </c>
      <c r="Z13" s="15">
        <v>266479</v>
      </c>
      <c r="AA13" s="15"/>
      <c r="AB13" s="1">
        <v>342691879</v>
      </c>
      <c r="AC13" s="3">
        <f>AB13/1000</f>
        <v>342691.879</v>
      </c>
      <c r="AE13" s="3">
        <v>367581500</v>
      </c>
      <c r="AF13" s="3">
        <f>AE13/1000</f>
        <v>367581.5</v>
      </c>
      <c r="AH13" s="3">
        <v>383840000</v>
      </c>
      <c r="AI13" s="3">
        <f>AH13/1000</f>
        <v>383840</v>
      </c>
      <c r="AK13" s="3">
        <v>390600000</v>
      </c>
      <c r="AL13" s="3">
        <f>AK13/1000</f>
        <v>390600</v>
      </c>
      <c r="AN13" s="3">
        <v>414260500</v>
      </c>
      <c r="AO13" s="3">
        <f>AN13/1000</f>
        <v>414260.5</v>
      </c>
      <c r="AQ13" s="3">
        <v>449214000</v>
      </c>
      <c r="AR13" s="3">
        <f>AQ13/1000</f>
        <v>449214</v>
      </c>
    </row>
    <row r="14" spans="1:44" ht="12.75">
      <c r="A14" s="1" t="s">
        <v>8</v>
      </c>
      <c r="B14" s="15">
        <v>199202</v>
      </c>
      <c r="C14" s="75">
        <v>200553</v>
      </c>
      <c r="D14" s="75">
        <v>201565</v>
      </c>
      <c r="E14" s="75">
        <v>204065</v>
      </c>
      <c r="F14" s="1">
        <v>204428</v>
      </c>
      <c r="G14" s="1">
        <v>210260</v>
      </c>
      <c r="H14" s="1">
        <v>207400</v>
      </c>
      <c r="I14" s="1">
        <v>207555</v>
      </c>
      <c r="J14" s="1">
        <v>202685</v>
      </c>
      <c r="K14" s="1">
        <v>200042</v>
      </c>
      <c r="L14" s="271">
        <f>(K14-J14)*100/J14</f>
        <v>-1.3039938821323729</v>
      </c>
      <c r="M14" s="271">
        <f>(K14-Z14)*100/Z14</f>
        <v>0.42168251322777883</v>
      </c>
      <c r="N14" s="17"/>
      <c r="O14" s="22">
        <v>117658</v>
      </c>
      <c r="P14" s="15">
        <v>121403</v>
      </c>
      <c r="Q14" s="15">
        <v>126388</v>
      </c>
      <c r="R14" s="15">
        <v>139147</v>
      </c>
      <c r="S14" s="15">
        <v>154096</v>
      </c>
      <c r="T14" s="15">
        <v>169472</v>
      </c>
      <c r="U14" s="15">
        <v>185703</v>
      </c>
      <c r="V14" s="15">
        <v>181176</v>
      </c>
      <c r="W14" s="15">
        <v>175009</v>
      </c>
      <c r="X14" s="15">
        <v>190191</v>
      </c>
      <c r="Y14" s="15">
        <v>195554</v>
      </c>
      <c r="Z14" s="15">
        <v>199202</v>
      </c>
      <c r="AA14" s="15"/>
      <c r="AB14" s="1">
        <v>204428258</v>
      </c>
      <c r="AC14" s="3">
        <f>AB14/1000</f>
        <v>204428.258</v>
      </c>
      <c r="AE14" s="3">
        <v>210259915</v>
      </c>
      <c r="AF14" s="3">
        <f>AE14/1000</f>
        <v>210259.915</v>
      </c>
      <c r="AH14" s="3">
        <v>207400244</v>
      </c>
      <c r="AI14" s="3">
        <f>AH14/1000</f>
        <v>207400.244</v>
      </c>
      <c r="AK14" s="3">
        <v>207554999</v>
      </c>
      <c r="AL14" s="3">
        <f>AK14/1000</f>
        <v>207554.999</v>
      </c>
      <c r="AN14" s="3">
        <v>202685137</v>
      </c>
      <c r="AO14" s="3">
        <f>AN14/1000</f>
        <v>202685.137</v>
      </c>
      <c r="AQ14" s="3">
        <v>200042173</v>
      </c>
      <c r="AR14" s="3">
        <f>AQ14/1000</f>
        <v>200042.173</v>
      </c>
    </row>
    <row r="15" spans="1:44" ht="12.75">
      <c r="A15" s="1" t="s">
        <v>9</v>
      </c>
      <c r="B15" s="15">
        <v>414233</v>
      </c>
      <c r="C15" s="75">
        <v>426130</v>
      </c>
      <c r="D15" s="75">
        <v>442282</v>
      </c>
      <c r="E15" s="75">
        <v>466217</v>
      </c>
      <c r="F15" s="1">
        <v>523250</v>
      </c>
      <c r="G15" s="1">
        <v>545984</v>
      </c>
      <c r="H15" s="1">
        <v>548229</v>
      </c>
      <c r="I15" s="1">
        <v>560335</v>
      </c>
      <c r="J15" s="1">
        <v>570513</v>
      </c>
      <c r="K15" s="1">
        <v>591810</v>
      </c>
      <c r="L15" s="271">
        <f>(K15-J15)*100/J15</f>
        <v>3.7329561289576225</v>
      </c>
      <c r="M15" s="271">
        <f>(K15-Z15)*100/Z15</f>
        <v>46.2042625307881</v>
      </c>
      <c r="N15" s="17"/>
      <c r="O15" s="22">
        <v>226172</v>
      </c>
      <c r="P15" s="15">
        <v>240570</v>
      </c>
      <c r="Q15" s="15">
        <v>257817</v>
      </c>
      <c r="R15" s="15">
        <v>268181</v>
      </c>
      <c r="S15" s="15">
        <v>301198</v>
      </c>
      <c r="T15" s="15">
        <v>329124</v>
      </c>
      <c r="U15" s="15">
        <v>342250</v>
      </c>
      <c r="V15" s="15">
        <v>346193</v>
      </c>
      <c r="W15" s="15">
        <v>347349</v>
      </c>
      <c r="X15" s="15">
        <v>366443</v>
      </c>
      <c r="Y15" s="15">
        <v>393346</v>
      </c>
      <c r="Z15" s="15">
        <v>404783</v>
      </c>
      <c r="AA15" s="15"/>
      <c r="AB15" s="1">
        <v>523250145</v>
      </c>
      <c r="AC15" s="3">
        <f>AB15/1000</f>
        <v>523250.145</v>
      </c>
      <c r="AE15" s="3">
        <v>545983980</v>
      </c>
      <c r="AF15" s="3">
        <f>AE15/1000</f>
        <v>545983.98</v>
      </c>
      <c r="AH15" s="3">
        <v>548228835</v>
      </c>
      <c r="AI15" s="3">
        <f>AH15/1000</f>
        <v>548228.835</v>
      </c>
      <c r="AK15" s="3">
        <v>560334696</v>
      </c>
      <c r="AL15" s="3">
        <f>AK15/1000</f>
        <v>560334.696</v>
      </c>
      <c r="AN15" s="3">
        <v>570512547</v>
      </c>
      <c r="AO15" s="3">
        <f>AN15/1000</f>
        <v>570512.547</v>
      </c>
      <c r="AQ15" s="3">
        <v>591809879</v>
      </c>
      <c r="AR15" s="3">
        <f>AQ15/1000</f>
        <v>591809.879</v>
      </c>
    </row>
    <row r="16" spans="1:44" ht="12.75">
      <c r="A16" s="1" t="s">
        <v>10</v>
      </c>
      <c r="B16" s="15">
        <v>47504</v>
      </c>
      <c r="C16" s="75">
        <v>50204</v>
      </c>
      <c r="D16" s="75">
        <v>54460</v>
      </c>
      <c r="E16" s="75">
        <v>58310</v>
      </c>
      <c r="F16" s="1">
        <v>62710</v>
      </c>
      <c r="G16" s="1">
        <v>68900</v>
      </c>
      <c r="H16" s="1">
        <v>73413</v>
      </c>
      <c r="I16" s="1">
        <v>76413</v>
      </c>
      <c r="J16" s="1">
        <v>80913</v>
      </c>
      <c r="K16" s="1">
        <v>85713</v>
      </c>
      <c r="L16" s="271">
        <f>(K16-J16)*100/J16</f>
        <v>5.932297653034741</v>
      </c>
      <c r="M16" s="271">
        <f>(K16-Z16)*100/Z16</f>
        <v>90.03414331323164</v>
      </c>
      <c r="N16" s="17"/>
      <c r="O16" s="22">
        <v>17489</v>
      </c>
      <c r="P16" s="15">
        <v>18317</v>
      </c>
      <c r="Q16" s="15">
        <v>18976</v>
      </c>
      <c r="R16" s="15">
        <v>21271</v>
      </c>
      <c r="S16" s="15">
        <v>23750</v>
      </c>
      <c r="T16" s="15">
        <v>26671</v>
      </c>
      <c r="U16" s="15">
        <v>28671</v>
      </c>
      <c r="V16" s="15">
        <v>32834</v>
      </c>
      <c r="W16" s="15">
        <v>35803</v>
      </c>
      <c r="X16" s="15">
        <v>39504</v>
      </c>
      <c r="Y16" s="15">
        <v>42004</v>
      </c>
      <c r="Z16" s="15">
        <v>45104</v>
      </c>
      <c r="AA16" s="15"/>
      <c r="AB16" s="1">
        <v>62710115</v>
      </c>
      <c r="AC16" s="3">
        <f>AB16/1000</f>
        <v>62710.115</v>
      </c>
      <c r="AE16" s="3">
        <v>68899949</v>
      </c>
      <c r="AF16" s="3">
        <f>AE16/1000</f>
        <v>68899.949</v>
      </c>
      <c r="AH16" s="3">
        <v>73412612</v>
      </c>
      <c r="AI16" s="3">
        <f>AH16/1000</f>
        <v>73412.612</v>
      </c>
      <c r="AK16" s="3">
        <v>76412612</v>
      </c>
      <c r="AL16" s="3">
        <f>AK16/1000</f>
        <v>76412.612</v>
      </c>
      <c r="AN16" s="3">
        <v>80912612</v>
      </c>
      <c r="AO16" s="3">
        <f>AN16/1000</f>
        <v>80912.612</v>
      </c>
      <c r="AQ16" s="3">
        <v>85712612</v>
      </c>
      <c r="AR16" s="3">
        <f>AQ16/1000</f>
        <v>85712.612</v>
      </c>
    </row>
    <row r="17" spans="2:27" ht="12.75">
      <c r="B17" s="15"/>
      <c r="C17" s="75"/>
      <c r="D17" s="75"/>
      <c r="E17" s="75"/>
      <c r="L17" s="271"/>
      <c r="M17" s="271"/>
      <c r="N17" s="17"/>
      <c r="O17" s="22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44" ht="12.75">
      <c r="A18" s="1" t="s">
        <v>11</v>
      </c>
      <c r="B18" s="15">
        <v>10049</v>
      </c>
      <c r="C18" s="75">
        <v>10500</v>
      </c>
      <c r="D18" s="75">
        <v>10698</v>
      </c>
      <c r="E18" s="75">
        <v>10798</v>
      </c>
      <c r="F18" s="1">
        <v>10798</v>
      </c>
      <c r="G18" s="1">
        <v>10677</v>
      </c>
      <c r="H18" s="1">
        <v>10923</v>
      </c>
      <c r="I18" s="1">
        <v>10877</v>
      </c>
      <c r="J18" s="1">
        <v>10977</v>
      </c>
      <c r="K18" s="1">
        <v>11300</v>
      </c>
      <c r="L18" s="271">
        <f>(K18-J18)*100/J18</f>
        <v>2.942516170174</v>
      </c>
      <c r="M18" s="271">
        <f>(K18-Z18)*100/Z18</f>
        <v>15.861786117092176</v>
      </c>
      <c r="N18" s="17"/>
      <c r="O18" s="22">
        <v>4343</v>
      </c>
      <c r="P18" s="15">
        <v>4742</v>
      </c>
      <c r="Q18" s="15">
        <v>5175</v>
      </c>
      <c r="R18" s="15">
        <v>5627</v>
      </c>
      <c r="S18" s="15">
        <v>6238</v>
      </c>
      <c r="T18" s="15">
        <v>6812</v>
      </c>
      <c r="U18" s="15">
        <v>7712</v>
      </c>
      <c r="V18" s="15">
        <v>7662</v>
      </c>
      <c r="W18" s="15">
        <v>7662</v>
      </c>
      <c r="X18" s="15">
        <v>8912</v>
      </c>
      <c r="Y18" s="15">
        <v>9582</v>
      </c>
      <c r="Z18" s="15">
        <v>9753</v>
      </c>
      <c r="AA18" s="15"/>
      <c r="AB18" s="1">
        <v>10797748</v>
      </c>
      <c r="AC18" s="3">
        <f>AB18/1000</f>
        <v>10797.748</v>
      </c>
      <c r="AE18" s="3">
        <v>10676594</v>
      </c>
      <c r="AF18" s="3">
        <f>AE18/1000</f>
        <v>10676.594</v>
      </c>
      <c r="AH18" s="3">
        <v>10922859</v>
      </c>
      <c r="AI18" s="3">
        <f>AH18/1000</f>
        <v>10922.859</v>
      </c>
      <c r="AK18" s="3">
        <v>10877114</v>
      </c>
      <c r="AL18" s="3">
        <f>AK18/1000</f>
        <v>10877.114</v>
      </c>
      <c r="AN18" s="3">
        <v>10977114</v>
      </c>
      <c r="AO18" s="3">
        <f>AN18/1000</f>
        <v>10977.114</v>
      </c>
      <c r="AQ18" s="3">
        <v>11300000</v>
      </c>
      <c r="AR18" s="3">
        <f>AQ18/1000</f>
        <v>11300</v>
      </c>
    </row>
    <row r="19" spans="1:44" ht="12.75">
      <c r="A19" s="1" t="s">
        <v>12</v>
      </c>
      <c r="B19" s="15">
        <v>78645</v>
      </c>
      <c r="C19" s="75">
        <v>82337</v>
      </c>
      <c r="D19" s="75">
        <v>89057</v>
      </c>
      <c r="E19" s="75">
        <v>93528</v>
      </c>
      <c r="F19" s="1">
        <v>99455</v>
      </c>
      <c r="G19" s="1">
        <v>107235</v>
      </c>
      <c r="H19" s="1">
        <v>112827</v>
      </c>
      <c r="I19" s="1">
        <v>119534</v>
      </c>
      <c r="J19" s="1">
        <v>126687</v>
      </c>
      <c r="K19" s="1">
        <v>135807</v>
      </c>
      <c r="L19" s="271">
        <f>(K19-J19)*100/J19</f>
        <v>7.198844396031164</v>
      </c>
      <c r="M19" s="271">
        <f>(K19-Z19)*100/Z19</f>
        <v>79.16254402976215</v>
      </c>
      <c r="N19" s="17"/>
      <c r="O19" s="22">
        <v>28139</v>
      </c>
      <c r="P19" s="15">
        <v>29808</v>
      </c>
      <c r="Q19" s="15">
        <v>32002</v>
      </c>
      <c r="R19" s="15">
        <v>36803</v>
      </c>
      <c r="S19" s="15">
        <v>43253</v>
      </c>
      <c r="T19" s="15">
        <v>48234</v>
      </c>
      <c r="U19" s="15">
        <v>54206</v>
      </c>
      <c r="V19" s="15">
        <v>55326</v>
      </c>
      <c r="W19" s="15">
        <v>56454</v>
      </c>
      <c r="X19" s="15">
        <v>64560</v>
      </c>
      <c r="Y19" s="15">
        <v>73607</v>
      </c>
      <c r="Z19" s="15">
        <v>75801</v>
      </c>
      <c r="AA19" s="15"/>
      <c r="AB19" s="1">
        <v>99455133</v>
      </c>
      <c r="AC19" s="3">
        <f>AB19/1000</f>
        <v>99455.133</v>
      </c>
      <c r="AE19" s="3">
        <v>107234647</v>
      </c>
      <c r="AF19" s="3">
        <f>AE19/1000</f>
        <v>107234.647</v>
      </c>
      <c r="AH19" s="3">
        <v>112826831</v>
      </c>
      <c r="AI19" s="3">
        <f>AH19/1000</f>
        <v>112826.831</v>
      </c>
      <c r="AK19" s="3">
        <v>119534398</v>
      </c>
      <c r="AL19" s="3">
        <f>AK19/1000</f>
        <v>119534.398</v>
      </c>
      <c r="AN19" s="3">
        <v>126686908</v>
      </c>
      <c r="AO19" s="3">
        <f>AN19/1000</f>
        <v>126686.908</v>
      </c>
      <c r="AQ19" s="3">
        <v>135806760</v>
      </c>
      <c r="AR19" s="3">
        <f>AQ19/1000</f>
        <v>135806.76</v>
      </c>
    </row>
    <row r="20" spans="1:44" ht="12.75">
      <c r="A20" s="1" t="s">
        <v>13</v>
      </c>
      <c r="B20" s="15">
        <v>36945</v>
      </c>
      <c r="C20" s="75">
        <v>39107</v>
      </c>
      <c r="D20" s="75">
        <v>42407</v>
      </c>
      <c r="E20" s="75">
        <v>45407</v>
      </c>
      <c r="F20" s="1">
        <v>48407</v>
      </c>
      <c r="G20" s="1">
        <v>50884</v>
      </c>
      <c r="H20" s="1">
        <v>53984</v>
      </c>
      <c r="I20" s="1">
        <v>56090</v>
      </c>
      <c r="J20" s="1">
        <v>58709</v>
      </c>
      <c r="K20" s="1">
        <v>62229</v>
      </c>
      <c r="L20" s="271">
        <f>(K20-J20)*100/J20</f>
        <v>5.995673576453354</v>
      </c>
      <c r="M20" s="271">
        <f>(K20-Z20)*100/Z20</f>
        <v>72.58507363341376</v>
      </c>
      <c r="N20" s="17"/>
      <c r="O20" s="22">
        <v>15416</v>
      </c>
      <c r="P20" s="15">
        <v>15902</v>
      </c>
      <c r="Q20" s="15">
        <v>17194</v>
      </c>
      <c r="R20" s="15">
        <v>18827</v>
      </c>
      <c r="S20" s="15">
        <v>21695</v>
      </c>
      <c r="T20" s="15">
        <v>24000</v>
      </c>
      <c r="U20" s="15">
        <v>27100</v>
      </c>
      <c r="V20" s="15">
        <v>28900</v>
      </c>
      <c r="W20" s="15">
        <v>26971</v>
      </c>
      <c r="X20" s="15">
        <v>32165</v>
      </c>
      <c r="Y20" s="15">
        <v>35039</v>
      </c>
      <c r="Z20" s="15">
        <v>36057</v>
      </c>
      <c r="AA20" s="15"/>
      <c r="AB20" s="1">
        <v>48407433</v>
      </c>
      <c r="AC20" s="3">
        <f>AB20/1000</f>
        <v>48407.433</v>
      </c>
      <c r="AE20" s="3">
        <v>50884355</v>
      </c>
      <c r="AF20" s="3">
        <f>AE20/1000</f>
        <v>50884.355</v>
      </c>
      <c r="AH20" s="3">
        <v>53984355</v>
      </c>
      <c r="AI20" s="3">
        <f>AH20/1000</f>
        <v>53984.355</v>
      </c>
      <c r="AK20" s="3">
        <v>56089930</v>
      </c>
      <c r="AL20" s="3">
        <f>AK20/1000</f>
        <v>56089.93</v>
      </c>
      <c r="AN20" s="3">
        <v>58708711</v>
      </c>
      <c r="AO20" s="3">
        <f>AN20/1000</f>
        <v>58708.711</v>
      </c>
      <c r="AQ20" s="3">
        <v>62229000</v>
      </c>
      <c r="AR20" s="3">
        <f>AQ20/1000</f>
        <v>62229</v>
      </c>
    </row>
    <row r="21" spans="1:44" ht="12.75">
      <c r="A21" s="1" t="s">
        <v>14</v>
      </c>
      <c r="B21" s="15">
        <v>62828</v>
      </c>
      <c r="C21" s="75">
        <v>65412</v>
      </c>
      <c r="D21" s="75">
        <v>69459</v>
      </c>
      <c r="E21" s="75">
        <v>76213</v>
      </c>
      <c r="F21" s="1">
        <v>80960</v>
      </c>
      <c r="G21" s="1">
        <v>85681</v>
      </c>
      <c r="H21" s="1">
        <v>90831</v>
      </c>
      <c r="I21" s="1">
        <v>94944</v>
      </c>
      <c r="J21" s="1">
        <v>101794</v>
      </c>
      <c r="K21" s="1">
        <v>112217</v>
      </c>
      <c r="L21" s="271">
        <f>(K21-J21)*100/J21</f>
        <v>10.239306835373402</v>
      </c>
      <c r="M21" s="271">
        <f>(K21-Z21)*100/Z21</f>
        <v>88.78402476363514</v>
      </c>
      <c r="N21" s="17"/>
      <c r="O21" s="22">
        <v>22435</v>
      </c>
      <c r="P21" s="15">
        <v>24789</v>
      </c>
      <c r="Q21" s="15">
        <v>27800</v>
      </c>
      <c r="R21" s="15">
        <v>30243</v>
      </c>
      <c r="S21" s="15">
        <v>35314</v>
      </c>
      <c r="T21" s="15">
        <v>43163</v>
      </c>
      <c r="U21" s="15">
        <v>47580</v>
      </c>
      <c r="V21" s="15">
        <v>47393</v>
      </c>
      <c r="W21" s="15">
        <v>48162</v>
      </c>
      <c r="X21" s="15">
        <v>54068</v>
      </c>
      <c r="Y21" s="15">
        <v>59050</v>
      </c>
      <c r="Z21" s="15">
        <v>59442</v>
      </c>
      <c r="AA21" s="15"/>
      <c r="AB21" s="1">
        <v>80960100</v>
      </c>
      <c r="AC21" s="3">
        <f>AB21/1000</f>
        <v>80960.1</v>
      </c>
      <c r="AE21" s="3">
        <v>85680500</v>
      </c>
      <c r="AF21" s="3">
        <f>AE21/1000</f>
        <v>85680.5</v>
      </c>
      <c r="AH21" s="3">
        <v>90830500</v>
      </c>
      <c r="AI21" s="3">
        <f>AH21/1000</f>
        <v>90830.5</v>
      </c>
      <c r="AK21" s="3">
        <v>94944200</v>
      </c>
      <c r="AL21" s="3">
        <f>AK21/1000</f>
        <v>94944.2</v>
      </c>
      <c r="AN21" s="3">
        <v>101794000</v>
      </c>
      <c r="AO21" s="3">
        <f>AN21/1000</f>
        <v>101794</v>
      </c>
      <c r="AQ21" s="3">
        <v>112217000</v>
      </c>
      <c r="AR21" s="3">
        <f>AQ21/1000</f>
        <v>112217</v>
      </c>
    </row>
    <row r="22" spans="1:44" ht="12.75">
      <c r="A22" s="1" t="s">
        <v>15</v>
      </c>
      <c r="B22" s="15">
        <v>12322</v>
      </c>
      <c r="C22" s="75">
        <v>12866</v>
      </c>
      <c r="D22" s="75">
        <v>12866</v>
      </c>
      <c r="E22" s="75">
        <v>13766</v>
      </c>
      <c r="F22" s="1">
        <v>14352</v>
      </c>
      <c r="G22" s="1">
        <v>14358</v>
      </c>
      <c r="H22" s="1">
        <v>15070</v>
      </c>
      <c r="I22" s="1">
        <v>15069</v>
      </c>
      <c r="J22" s="1">
        <v>15220</v>
      </c>
      <c r="K22" s="1">
        <v>15423</v>
      </c>
      <c r="L22" s="271">
        <f>(K22-J22)*100/J22</f>
        <v>1.3337713534822602</v>
      </c>
      <c r="M22" s="271">
        <f>(K22-Z22)*100/Z22</f>
        <v>36.22151563328034</v>
      </c>
      <c r="N22" s="17"/>
      <c r="O22" s="22">
        <v>6592</v>
      </c>
      <c r="P22" s="15">
        <v>6742</v>
      </c>
      <c r="Q22" s="15">
        <v>7100</v>
      </c>
      <c r="R22" s="15">
        <v>7475</v>
      </c>
      <c r="S22" s="15">
        <v>7875</v>
      </c>
      <c r="T22" s="15">
        <v>8575</v>
      </c>
      <c r="U22" s="15">
        <v>9075</v>
      </c>
      <c r="V22" s="15">
        <v>8667</v>
      </c>
      <c r="W22" s="15">
        <v>8428</v>
      </c>
      <c r="X22" s="15">
        <v>9832</v>
      </c>
      <c r="Y22" s="15">
        <v>10671</v>
      </c>
      <c r="Z22" s="15">
        <v>11322</v>
      </c>
      <c r="AA22" s="15"/>
      <c r="AB22" s="1">
        <v>14352351</v>
      </c>
      <c r="AC22" s="3">
        <f>AB22/1000</f>
        <v>14352.351</v>
      </c>
      <c r="AE22" s="3">
        <v>14358372</v>
      </c>
      <c r="AF22" s="3">
        <f>AE22/1000</f>
        <v>14358.372</v>
      </c>
      <c r="AH22" s="3">
        <v>15069791</v>
      </c>
      <c r="AI22" s="3">
        <f>AH22/1000</f>
        <v>15069.791</v>
      </c>
      <c r="AK22" s="3">
        <v>15068779</v>
      </c>
      <c r="AL22" s="3">
        <f>AK22/1000</f>
        <v>15068.779</v>
      </c>
      <c r="AN22" s="3">
        <v>15220189</v>
      </c>
      <c r="AO22" s="3">
        <f>AN22/1000</f>
        <v>15220.189</v>
      </c>
      <c r="AQ22" s="3">
        <v>15422902</v>
      </c>
      <c r="AR22" s="3">
        <f>AQ22/1000</f>
        <v>15422.902</v>
      </c>
    </row>
    <row r="23" spans="2:27" ht="12.75">
      <c r="B23" s="15"/>
      <c r="C23" s="75"/>
      <c r="D23" s="75"/>
      <c r="E23" s="75"/>
      <c r="L23" s="271"/>
      <c r="M23" s="271"/>
      <c r="N23" s="17"/>
      <c r="O23" s="22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44" ht="12.75">
      <c r="A24" s="1" t="s">
        <v>16</v>
      </c>
      <c r="B24" s="15">
        <v>100031</v>
      </c>
      <c r="C24" s="75">
        <v>107305</v>
      </c>
      <c r="D24" s="75">
        <v>113550</v>
      </c>
      <c r="E24" s="75">
        <v>123625</v>
      </c>
      <c r="F24" s="1">
        <v>137920</v>
      </c>
      <c r="G24" s="1">
        <v>149616</v>
      </c>
      <c r="H24" s="1">
        <v>157583</v>
      </c>
      <c r="I24" s="1">
        <v>169944</v>
      </c>
      <c r="J24" s="1">
        <v>175506</v>
      </c>
      <c r="K24" s="1">
        <v>188695</v>
      </c>
      <c r="L24" s="271">
        <f>(K24-J24)*100/J24</f>
        <v>7.51484279739724</v>
      </c>
      <c r="M24" s="271">
        <f>(K24-Z24)*100/Z24</f>
        <v>94.95299101146813</v>
      </c>
      <c r="N24" s="17"/>
      <c r="O24" s="22">
        <v>36804</v>
      </c>
      <c r="P24" s="15">
        <v>39349</v>
      </c>
      <c r="Q24" s="15">
        <v>43737</v>
      </c>
      <c r="R24" s="15">
        <v>47617</v>
      </c>
      <c r="S24" s="15">
        <v>55293</v>
      </c>
      <c r="T24" s="15">
        <v>63871</v>
      </c>
      <c r="U24" s="15">
        <v>70925</v>
      </c>
      <c r="V24" s="15">
        <v>75148</v>
      </c>
      <c r="W24" s="15">
        <v>73860</v>
      </c>
      <c r="X24" s="15">
        <v>84043</v>
      </c>
      <c r="Y24" s="15">
        <v>93205</v>
      </c>
      <c r="Z24" s="15">
        <v>96790</v>
      </c>
      <c r="AA24" s="15"/>
      <c r="AB24" s="1">
        <v>137919649</v>
      </c>
      <c r="AC24" s="3">
        <f>AB24/1000</f>
        <v>137919.649</v>
      </c>
      <c r="AE24" s="3">
        <v>149616400</v>
      </c>
      <c r="AF24" s="3">
        <f>AE24/1000</f>
        <v>149616.4</v>
      </c>
      <c r="AH24" s="3">
        <v>157583145</v>
      </c>
      <c r="AI24" s="3">
        <f>AH24/1000</f>
        <v>157583.145</v>
      </c>
      <c r="AK24" s="3">
        <v>169943808</v>
      </c>
      <c r="AL24" s="3">
        <f>AK24/1000</f>
        <v>169943.808</v>
      </c>
      <c r="AN24" s="3">
        <v>175505761</v>
      </c>
      <c r="AO24" s="3">
        <f>AN24/1000</f>
        <v>175505.761</v>
      </c>
      <c r="AQ24" s="3">
        <v>188694908</v>
      </c>
      <c r="AR24" s="3">
        <f>AQ24/1000</f>
        <v>188694.908</v>
      </c>
    </row>
    <row r="25" spans="1:44" ht="12.75">
      <c r="A25" s="1" t="s">
        <v>17</v>
      </c>
      <c r="B25" s="15">
        <v>11830</v>
      </c>
      <c r="C25" s="75">
        <v>12068</v>
      </c>
      <c r="D25" s="75">
        <v>12772</v>
      </c>
      <c r="E25" s="75">
        <v>13537</v>
      </c>
      <c r="F25" s="1">
        <v>14413</v>
      </c>
      <c r="G25" s="1">
        <v>15118</v>
      </c>
      <c r="H25" s="1">
        <v>15680</v>
      </c>
      <c r="I25" s="1">
        <v>17590</v>
      </c>
      <c r="J25" s="1">
        <v>18375</v>
      </c>
      <c r="K25" s="1">
        <v>18830</v>
      </c>
      <c r="L25" s="271">
        <f>(K25-J25)*100/J25</f>
        <v>2.4761904761904763</v>
      </c>
      <c r="M25" s="271">
        <f>(K25-Z25)*100/Z25</f>
        <v>65.43665436654366</v>
      </c>
      <c r="N25" s="17"/>
      <c r="O25" s="22">
        <v>5223</v>
      </c>
      <c r="P25" s="15">
        <v>5744</v>
      </c>
      <c r="Q25" s="15">
        <v>6152</v>
      </c>
      <c r="R25" s="15">
        <v>6697</v>
      </c>
      <c r="S25" s="15">
        <v>7479</v>
      </c>
      <c r="T25" s="15">
        <v>8086</v>
      </c>
      <c r="U25" s="15">
        <v>9050</v>
      </c>
      <c r="V25" s="15">
        <v>8829</v>
      </c>
      <c r="W25" s="15">
        <v>8796</v>
      </c>
      <c r="X25" s="15">
        <v>10432</v>
      </c>
      <c r="Y25" s="15">
        <v>10649</v>
      </c>
      <c r="Z25" s="15">
        <v>11382</v>
      </c>
      <c r="AA25" s="15"/>
      <c r="AB25" s="1">
        <v>14413213</v>
      </c>
      <c r="AC25" s="3">
        <f>AB25/1000</f>
        <v>14413.213</v>
      </c>
      <c r="AE25" s="3">
        <v>15118404</v>
      </c>
      <c r="AF25" s="3">
        <f>AE25/1000</f>
        <v>15118.404</v>
      </c>
      <c r="AH25" s="3">
        <v>15679901</v>
      </c>
      <c r="AI25" s="3">
        <f>AH25/1000</f>
        <v>15679.901</v>
      </c>
      <c r="AK25" s="3">
        <v>17590100</v>
      </c>
      <c r="AL25" s="3">
        <f>AK25/1000</f>
        <v>17590.1</v>
      </c>
      <c r="AN25" s="3">
        <v>18375339</v>
      </c>
      <c r="AO25" s="3">
        <f>AN25/1000</f>
        <v>18375.339</v>
      </c>
      <c r="AQ25" s="3">
        <v>18830158</v>
      </c>
      <c r="AR25" s="3">
        <f>AQ25/1000</f>
        <v>18830.158</v>
      </c>
    </row>
    <row r="26" spans="1:44" ht="12.75">
      <c r="A26" s="1" t="s">
        <v>18</v>
      </c>
      <c r="B26" s="15">
        <v>105082</v>
      </c>
      <c r="C26" s="75">
        <v>109844</v>
      </c>
      <c r="D26" s="75">
        <v>113800</v>
      </c>
      <c r="E26" s="75">
        <v>119220</v>
      </c>
      <c r="F26" s="1">
        <v>128102</v>
      </c>
      <c r="G26" s="1">
        <v>138335</v>
      </c>
      <c r="H26" s="1">
        <v>146051</v>
      </c>
      <c r="I26" s="1">
        <v>148151</v>
      </c>
      <c r="J26" s="1">
        <v>154047</v>
      </c>
      <c r="K26" s="1">
        <v>175415</v>
      </c>
      <c r="L26" s="271">
        <f>(K26-J26)*100/J26</f>
        <v>13.871091290320487</v>
      </c>
      <c r="M26" s="271">
        <f>(K26-Z26)*100/Z26</f>
        <v>73.58540978090922</v>
      </c>
      <c r="N26" s="17"/>
      <c r="O26" s="22">
        <v>39424</v>
      </c>
      <c r="P26" s="15">
        <v>41395</v>
      </c>
      <c r="Q26" s="15">
        <v>44095</v>
      </c>
      <c r="R26" s="15">
        <v>48781</v>
      </c>
      <c r="S26" s="15">
        <v>53982</v>
      </c>
      <c r="T26" s="15">
        <v>61348</v>
      </c>
      <c r="U26" s="15">
        <v>69881</v>
      </c>
      <c r="V26" s="15">
        <v>72176</v>
      </c>
      <c r="W26" s="15">
        <v>75363</v>
      </c>
      <c r="X26" s="15">
        <v>87500</v>
      </c>
      <c r="Y26" s="15">
        <v>94418</v>
      </c>
      <c r="Z26" s="15">
        <v>101054</v>
      </c>
      <c r="AA26" s="15"/>
      <c r="AB26" s="1">
        <v>128102196</v>
      </c>
      <c r="AC26" s="3">
        <f>AB26/1000</f>
        <v>128102.196</v>
      </c>
      <c r="AE26" s="3">
        <v>138335279</v>
      </c>
      <c r="AF26" s="3">
        <f>AE26/1000</f>
        <v>138335.279</v>
      </c>
      <c r="AH26" s="3">
        <v>146051098</v>
      </c>
      <c r="AI26" s="3">
        <f>AH26/1000</f>
        <v>146051.098</v>
      </c>
      <c r="AK26" s="3">
        <v>148150510</v>
      </c>
      <c r="AL26" s="3">
        <f>AK26/1000</f>
        <v>148150.51</v>
      </c>
      <c r="AN26" s="3">
        <v>154047408</v>
      </c>
      <c r="AO26" s="3">
        <f>AN26/1000</f>
        <v>154047.408</v>
      </c>
      <c r="AQ26" s="3">
        <v>175414800</v>
      </c>
      <c r="AR26" s="3">
        <f>AQ26/1000</f>
        <v>175414.8</v>
      </c>
    </row>
    <row r="27" spans="1:44" ht="12.75">
      <c r="A27" s="1" t="s">
        <v>19</v>
      </c>
      <c r="B27" s="15">
        <v>177425</v>
      </c>
      <c r="C27" s="75">
        <v>184605</v>
      </c>
      <c r="D27" s="75">
        <v>199129</v>
      </c>
      <c r="E27" s="75">
        <v>220800</v>
      </c>
      <c r="F27" s="1">
        <v>248277</v>
      </c>
      <c r="G27" s="1">
        <v>274540</v>
      </c>
      <c r="H27" s="1">
        <v>292401</v>
      </c>
      <c r="I27" s="1">
        <v>310590</v>
      </c>
      <c r="J27" s="1">
        <v>334590</v>
      </c>
      <c r="K27" s="1">
        <v>362590</v>
      </c>
      <c r="L27" s="271">
        <f>(K27-J27)*100/J27</f>
        <v>8.368450939956364</v>
      </c>
      <c r="M27" s="271">
        <f>(K27-Z27)*100/Z27</f>
        <v>112.23952236010302</v>
      </c>
      <c r="N27" s="17"/>
      <c r="O27" s="22">
        <v>61338</v>
      </c>
      <c r="P27" s="15">
        <v>69432</v>
      </c>
      <c r="Q27" s="15">
        <v>78539</v>
      </c>
      <c r="R27" s="15">
        <v>87763</v>
      </c>
      <c r="S27" s="15">
        <v>101938</v>
      </c>
      <c r="T27" s="15">
        <v>120731</v>
      </c>
      <c r="U27" s="15">
        <v>138467</v>
      </c>
      <c r="V27" s="15">
        <v>133648</v>
      </c>
      <c r="W27" s="15">
        <v>137530</v>
      </c>
      <c r="X27" s="15">
        <v>151842</v>
      </c>
      <c r="Y27" s="15">
        <v>162340</v>
      </c>
      <c r="Z27" s="15">
        <v>170840</v>
      </c>
      <c r="AA27" s="15"/>
      <c r="AB27" s="1">
        <v>248277270</v>
      </c>
      <c r="AC27" s="3">
        <f>AB27/1000</f>
        <v>248277.27</v>
      </c>
      <c r="AE27" s="3">
        <v>274540340</v>
      </c>
      <c r="AF27" s="3">
        <f>AE27/1000</f>
        <v>274540.34</v>
      </c>
      <c r="AH27" s="3">
        <v>292400940</v>
      </c>
      <c r="AI27" s="3">
        <f>AH27/1000</f>
        <v>292400.94</v>
      </c>
      <c r="AK27" s="3">
        <v>310590015</v>
      </c>
      <c r="AL27" s="3">
        <f>AK27/1000</f>
        <v>310590.015</v>
      </c>
      <c r="AN27" s="3">
        <v>334589915</v>
      </c>
      <c r="AO27" s="3">
        <f>AN27/1000</f>
        <v>334589.915</v>
      </c>
      <c r="AQ27" s="3">
        <v>362590015</v>
      </c>
      <c r="AR27" s="3">
        <f>AQ27/1000</f>
        <v>362590.015</v>
      </c>
    </row>
    <row r="28" spans="1:44" ht="12.75">
      <c r="A28" s="1" t="s">
        <v>20</v>
      </c>
      <c r="B28" s="15">
        <v>10368</v>
      </c>
      <c r="C28" s="75">
        <v>10790</v>
      </c>
      <c r="D28" s="75">
        <v>11090</v>
      </c>
      <c r="E28" s="75">
        <v>11537</v>
      </c>
      <c r="F28" s="1">
        <v>12492</v>
      </c>
      <c r="G28" s="1">
        <v>13484</v>
      </c>
      <c r="H28" s="1">
        <v>13437</v>
      </c>
      <c r="I28" s="1">
        <v>13125</v>
      </c>
      <c r="J28" s="1">
        <v>13742</v>
      </c>
      <c r="K28" s="1">
        <v>14276</v>
      </c>
      <c r="L28" s="271">
        <f>(K28-J28)*100/J28</f>
        <v>3.8858972493086887</v>
      </c>
      <c r="M28" s="271">
        <f>(K28-Z28)*100/Z28</f>
        <v>41.20672601384768</v>
      </c>
      <c r="N28" s="17"/>
      <c r="O28" s="22">
        <v>3995</v>
      </c>
      <c r="P28" s="15">
        <v>4356</v>
      </c>
      <c r="Q28" s="15">
        <v>4956</v>
      </c>
      <c r="R28" s="15">
        <v>5211</v>
      </c>
      <c r="S28" s="15">
        <v>6611</v>
      </c>
      <c r="T28" s="15">
        <v>7126</v>
      </c>
      <c r="U28" s="15">
        <v>7397</v>
      </c>
      <c r="V28" s="15">
        <v>7139</v>
      </c>
      <c r="W28" s="15">
        <v>7542</v>
      </c>
      <c r="X28" s="15">
        <v>9033</v>
      </c>
      <c r="Y28" s="228">
        <v>9874</v>
      </c>
      <c r="Z28" s="15">
        <v>10110</v>
      </c>
      <c r="AA28" s="15"/>
      <c r="AB28" s="1">
        <v>12491694</v>
      </c>
      <c r="AC28" s="3">
        <f>AB28/1000</f>
        <v>12491.694</v>
      </c>
      <c r="AE28" s="3">
        <v>13484252</v>
      </c>
      <c r="AF28" s="3">
        <f>AE28/1000</f>
        <v>13484.252</v>
      </c>
      <c r="AH28" s="3">
        <v>13437085</v>
      </c>
      <c r="AI28" s="3">
        <f>AH28/1000</f>
        <v>13437.085</v>
      </c>
      <c r="AK28" s="3">
        <v>13124906</v>
      </c>
      <c r="AL28" s="3">
        <f>AK28/1000</f>
        <v>13124.906</v>
      </c>
      <c r="AN28" s="3">
        <v>13741730</v>
      </c>
      <c r="AO28" s="3">
        <f>AN28/1000</f>
        <v>13741.73</v>
      </c>
      <c r="AQ28" s="3">
        <v>14275613</v>
      </c>
      <c r="AR28" s="3">
        <f>AQ28/1000</f>
        <v>14275.613</v>
      </c>
    </row>
    <row r="29" spans="2:27" ht="12.75">
      <c r="B29" s="15"/>
      <c r="C29" s="75"/>
      <c r="D29" s="75"/>
      <c r="E29" s="75"/>
      <c r="L29" s="271"/>
      <c r="M29" s="271"/>
      <c r="N29" s="17"/>
      <c r="O29" s="22"/>
      <c r="P29" s="15"/>
      <c r="Q29" s="15"/>
      <c r="R29" s="15"/>
      <c r="S29" s="15"/>
      <c r="T29" s="15"/>
      <c r="U29" s="15"/>
      <c r="V29" s="15"/>
      <c r="W29" s="15"/>
      <c r="X29" s="15"/>
      <c r="Y29" s="227"/>
      <c r="Z29" s="15"/>
      <c r="AA29" s="15"/>
    </row>
    <row r="30" spans="1:44" ht="12.75">
      <c r="A30" s="1" t="s">
        <v>21</v>
      </c>
      <c r="B30" s="15">
        <v>740909</v>
      </c>
      <c r="C30" s="75">
        <v>775813</v>
      </c>
      <c r="D30" s="75">
        <v>821457</v>
      </c>
      <c r="E30" s="75">
        <v>872189</v>
      </c>
      <c r="F30" s="1">
        <v>959722</v>
      </c>
      <c r="G30" s="1">
        <v>1030003</v>
      </c>
      <c r="H30" s="1">
        <v>1065185</v>
      </c>
      <c r="I30" s="1">
        <v>1132070</v>
      </c>
      <c r="J30" s="1">
        <v>1210596</v>
      </c>
      <c r="K30" s="1">
        <v>1283070</v>
      </c>
      <c r="L30" s="271">
        <f>(K30-J30)*100/J30</f>
        <v>5.986637986578511</v>
      </c>
      <c r="M30" s="271">
        <f>(K30-Z30)*100/Z30</f>
        <v>78.52973547594432</v>
      </c>
      <c r="N30" s="17"/>
      <c r="O30" s="22">
        <v>330035</v>
      </c>
      <c r="P30" s="15">
        <v>361632</v>
      </c>
      <c r="Q30" s="15">
        <v>398053</v>
      </c>
      <c r="R30" s="15">
        <v>434583</v>
      </c>
      <c r="S30" s="15">
        <v>488064</v>
      </c>
      <c r="T30" s="15">
        <v>545378</v>
      </c>
      <c r="U30" s="15">
        <v>601408</v>
      </c>
      <c r="V30" s="15">
        <v>603605</v>
      </c>
      <c r="W30" s="15">
        <v>622469</v>
      </c>
      <c r="X30" s="15">
        <v>666176</v>
      </c>
      <c r="Y30" s="227">
        <v>694727</v>
      </c>
      <c r="Z30" s="15">
        <v>718687</v>
      </c>
      <c r="AA30" s="15"/>
      <c r="AB30" s="1">
        <v>959722321</v>
      </c>
      <c r="AC30" s="3">
        <f>AB30/1000</f>
        <v>959722.321</v>
      </c>
      <c r="AE30" s="3">
        <v>1030002553</v>
      </c>
      <c r="AF30" s="3">
        <f>AE30/1000</f>
        <v>1030002.553</v>
      </c>
      <c r="AH30" s="3">
        <v>1065185268</v>
      </c>
      <c r="AI30" s="3">
        <f>AH30/1000</f>
        <v>1065185.268</v>
      </c>
      <c r="AK30" s="3">
        <v>1132069738</v>
      </c>
      <c r="AL30" s="3">
        <f>AK30/1000</f>
        <v>1132069.738</v>
      </c>
      <c r="AN30" s="3">
        <v>1210596321</v>
      </c>
      <c r="AO30" s="3">
        <f>AN30/1000</f>
        <v>1210596.321</v>
      </c>
      <c r="AQ30" s="3">
        <v>1283070185</v>
      </c>
      <c r="AR30" s="3">
        <f>AQ30/1000</f>
        <v>1283070.185</v>
      </c>
    </row>
    <row r="31" spans="1:44" ht="12.75">
      <c r="A31" s="1" t="s">
        <v>22</v>
      </c>
      <c r="B31" s="15">
        <v>398605</v>
      </c>
      <c r="C31" s="75">
        <v>408086</v>
      </c>
      <c r="D31" s="75">
        <v>422402</v>
      </c>
      <c r="E31" s="75">
        <v>437615</v>
      </c>
      <c r="F31" s="1">
        <v>453301</v>
      </c>
      <c r="G31" s="1">
        <v>468356</v>
      </c>
      <c r="H31" s="1">
        <v>500379</v>
      </c>
      <c r="I31" s="1">
        <v>527648</v>
      </c>
      <c r="J31" s="1">
        <v>548084</v>
      </c>
      <c r="K31" s="1">
        <v>522227</v>
      </c>
      <c r="L31" s="271">
        <f>(K31-J31)*100/J31</f>
        <v>-4.717707504689062</v>
      </c>
      <c r="M31" s="271">
        <f>(K31-Z31)*100/Z31</f>
        <v>35.47798791086206</v>
      </c>
      <c r="N31" s="17"/>
      <c r="O31" s="22">
        <v>191107</v>
      </c>
      <c r="P31" s="15">
        <v>209385</v>
      </c>
      <c r="Q31" s="15">
        <v>227674</v>
      </c>
      <c r="R31" s="15">
        <v>253843</v>
      </c>
      <c r="S31" s="15">
        <v>265954</v>
      </c>
      <c r="T31" s="15">
        <v>294038</v>
      </c>
      <c r="U31" s="15">
        <v>319301</v>
      </c>
      <c r="V31" s="15">
        <v>307939</v>
      </c>
      <c r="W31" s="15">
        <v>315662</v>
      </c>
      <c r="X31" s="15">
        <v>349164</v>
      </c>
      <c r="Y31" s="227">
        <v>376988</v>
      </c>
      <c r="Z31" s="15">
        <v>385470</v>
      </c>
      <c r="AA31" s="15"/>
      <c r="AB31" s="1">
        <v>453301306</v>
      </c>
      <c r="AC31" s="3">
        <f>AB31/1000</f>
        <v>453301.306</v>
      </c>
      <c r="AE31" s="3">
        <v>468355887</v>
      </c>
      <c r="AF31" s="3">
        <f>AE31/1000</f>
        <v>468355.887</v>
      </c>
      <c r="AH31" s="3">
        <v>500378852</v>
      </c>
      <c r="AI31" s="3">
        <f>AH31/1000</f>
        <v>500378.852</v>
      </c>
      <c r="AK31" s="3">
        <v>527648158</v>
      </c>
      <c r="AL31" s="3">
        <f>AK31/1000</f>
        <v>527648.158</v>
      </c>
      <c r="AN31" s="3">
        <v>548083713</v>
      </c>
      <c r="AO31" s="3">
        <f>AN31/1000</f>
        <v>548083.713</v>
      </c>
      <c r="AQ31" s="3">
        <v>522227299</v>
      </c>
      <c r="AR31" s="3">
        <f>AQ31/1000</f>
        <v>522227.299</v>
      </c>
    </row>
    <row r="32" spans="1:44" ht="12.75">
      <c r="A32" s="1" t="s">
        <v>23</v>
      </c>
      <c r="B32" s="15">
        <v>21929</v>
      </c>
      <c r="C32" s="75">
        <v>22607</v>
      </c>
      <c r="D32" s="75">
        <v>25707</v>
      </c>
      <c r="E32" s="75">
        <v>27058</v>
      </c>
      <c r="F32" s="1">
        <v>29258</v>
      </c>
      <c r="G32" s="1">
        <v>30978</v>
      </c>
      <c r="H32" s="1">
        <v>32757</v>
      </c>
      <c r="I32" s="1">
        <v>35007</v>
      </c>
      <c r="J32" s="1">
        <v>36587</v>
      </c>
      <c r="K32" s="1">
        <v>38174</v>
      </c>
      <c r="L32" s="271">
        <f>(K32-J32)*100/J32</f>
        <v>4.33760625358734</v>
      </c>
      <c r="M32" s="271">
        <f>(K32-Z32)*100/Z32</f>
        <v>84.14857694163048</v>
      </c>
      <c r="N32" s="17"/>
      <c r="O32" s="22">
        <v>7597</v>
      </c>
      <c r="P32" s="15">
        <v>8874</v>
      </c>
      <c r="Q32" s="15">
        <v>10206</v>
      </c>
      <c r="R32" s="15">
        <v>10812</v>
      </c>
      <c r="S32" s="15">
        <v>11500</v>
      </c>
      <c r="T32" s="15">
        <v>13150</v>
      </c>
      <c r="U32" s="15">
        <v>15600</v>
      </c>
      <c r="V32" s="15">
        <v>16845</v>
      </c>
      <c r="W32" s="15">
        <v>16912</v>
      </c>
      <c r="X32" s="15">
        <v>18530</v>
      </c>
      <c r="Y32" s="227">
        <v>20192</v>
      </c>
      <c r="Z32" s="15">
        <v>20730</v>
      </c>
      <c r="AA32" s="15"/>
      <c r="AB32" s="1">
        <v>29257534</v>
      </c>
      <c r="AC32" s="3">
        <f>AB32/1000</f>
        <v>29257.534</v>
      </c>
      <c r="AE32" s="3">
        <v>30978413</v>
      </c>
      <c r="AF32" s="3">
        <f>AE32/1000</f>
        <v>30978.413</v>
      </c>
      <c r="AH32" s="3">
        <v>32757413</v>
      </c>
      <c r="AI32" s="3">
        <f>AH32/1000</f>
        <v>32757.413</v>
      </c>
      <c r="AK32" s="3">
        <v>35007413</v>
      </c>
      <c r="AL32" s="3">
        <f>AK32/1000</f>
        <v>35007.413</v>
      </c>
      <c r="AN32" s="3">
        <v>36587413</v>
      </c>
      <c r="AO32" s="3">
        <f>AN32/1000</f>
        <v>36587.413</v>
      </c>
      <c r="AQ32" s="3">
        <v>38174413</v>
      </c>
      <c r="AR32" s="3">
        <f>AQ32/1000</f>
        <v>38174.413</v>
      </c>
    </row>
    <row r="33" spans="1:44" ht="12.75">
      <c r="A33" s="1" t="s">
        <v>24</v>
      </c>
      <c r="B33" s="15">
        <v>38631</v>
      </c>
      <c r="C33" s="75">
        <v>40060</v>
      </c>
      <c r="D33" s="75">
        <v>42888</v>
      </c>
      <c r="E33" s="75">
        <v>46460</v>
      </c>
      <c r="F33" s="1">
        <v>49691</v>
      </c>
      <c r="G33" s="1">
        <v>52520</v>
      </c>
      <c r="H33" s="1">
        <v>54535</v>
      </c>
      <c r="I33" s="1">
        <v>56215</v>
      </c>
      <c r="J33" s="1">
        <v>58900</v>
      </c>
      <c r="K33" s="1">
        <v>62634</v>
      </c>
      <c r="L33" s="271">
        <f>(K33-J33)*100/J33</f>
        <v>6.3395585738539895</v>
      </c>
      <c r="M33" s="271">
        <f>(K33-Z33)*100/Z33</f>
        <v>72.75485436893204</v>
      </c>
      <c r="N33" s="17"/>
      <c r="O33" s="22">
        <v>15066</v>
      </c>
      <c r="P33" s="15">
        <v>15808</v>
      </c>
      <c r="Q33" s="15">
        <v>17774</v>
      </c>
      <c r="R33" s="15">
        <v>20036</v>
      </c>
      <c r="S33" s="15">
        <v>22026</v>
      </c>
      <c r="T33" s="15">
        <v>23676</v>
      </c>
      <c r="U33" s="15">
        <v>26829</v>
      </c>
      <c r="V33" s="15">
        <v>30075</v>
      </c>
      <c r="W33" s="15">
        <v>29595</v>
      </c>
      <c r="X33" s="15">
        <v>32329</v>
      </c>
      <c r="Y33" s="15">
        <v>36252</v>
      </c>
      <c r="Z33" s="15">
        <v>36256</v>
      </c>
      <c r="AA33" s="15"/>
      <c r="AB33" s="1">
        <v>49690740</v>
      </c>
      <c r="AC33" s="3">
        <f>AB33/1000</f>
        <v>49690.74</v>
      </c>
      <c r="AE33" s="3">
        <v>52520215</v>
      </c>
      <c r="AF33" s="3">
        <f>AE33/1000</f>
        <v>52520.215</v>
      </c>
      <c r="AH33" s="3">
        <v>54534715</v>
      </c>
      <c r="AI33" s="3">
        <f>AH33/1000</f>
        <v>54534.715</v>
      </c>
      <c r="AK33" s="3">
        <v>56214697</v>
      </c>
      <c r="AL33" s="3">
        <f>AK33/1000</f>
        <v>56214.697</v>
      </c>
      <c r="AN33" s="3">
        <v>58900000</v>
      </c>
      <c r="AO33" s="3">
        <f>AN33/1000</f>
        <v>58900</v>
      </c>
      <c r="AQ33" s="3">
        <v>62634224</v>
      </c>
      <c r="AR33" s="3">
        <f>AQ33/1000</f>
        <v>62634.224</v>
      </c>
    </row>
    <row r="34" spans="1:44" ht="12.75">
      <c r="A34" s="1" t="s">
        <v>25</v>
      </c>
      <c r="B34" s="15">
        <v>6449</v>
      </c>
      <c r="C34" s="75">
        <v>7094</v>
      </c>
      <c r="D34" s="75">
        <v>7619</v>
      </c>
      <c r="E34" s="75">
        <v>8119</v>
      </c>
      <c r="F34" s="1">
        <v>8850</v>
      </c>
      <c r="G34" s="1">
        <v>8692</v>
      </c>
      <c r="H34" s="1">
        <v>8844</v>
      </c>
      <c r="I34" s="1">
        <v>8562</v>
      </c>
      <c r="J34" s="1">
        <v>8499</v>
      </c>
      <c r="K34" s="1">
        <v>8548</v>
      </c>
      <c r="L34" s="271">
        <f>(K34-J34)*100/J34</f>
        <v>0.5765384162842687</v>
      </c>
      <c r="M34" s="271">
        <f>(K34-Z34)*100/Z34</f>
        <v>29.908814589665653</v>
      </c>
      <c r="N34" s="17"/>
      <c r="O34" s="22">
        <v>2737</v>
      </c>
      <c r="P34" s="15">
        <v>3007</v>
      </c>
      <c r="Q34" s="15">
        <v>3278</v>
      </c>
      <c r="R34" s="15">
        <v>3380</v>
      </c>
      <c r="S34" s="15">
        <v>3910</v>
      </c>
      <c r="T34" s="15">
        <v>4414</v>
      </c>
      <c r="U34" s="15">
        <v>4773</v>
      </c>
      <c r="V34" s="15">
        <v>4443</v>
      </c>
      <c r="W34" s="15">
        <v>4339</v>
      </c>
      <c r="X34" s="15">
        <v>5539</v>
      </c>
      <c r="Y34" s="15">
        <v>6267</v>
      </c>
      <c r="Z34" s="15">
        <v>6580</v>
      </c>
      <c r="AA34" s="15"/>
      <c r="AB34" s="1">
        <v>8849988</v>
      </c>
      <c r="AC34" s="3">
        <f>AB34/1000</f>
        <v>8849.988</v>
      </c>
      <c r="AE34" s="3">
        <v>8691732</v>
      </c>
      <c r="AF34" s="3">
        <f>AE34/1000</f>
        <v>8691.732</v>
      </c>
      <c r="AH34" s="3">
        <v>8843759</v>
      </c>
      <c r="AI34" s="3">
        <f>AH34/1000</f>
        <v>8843.759</v>
      </c>
      <c r="AK34" s="3">
        <v>8562017</v>
      </c>
      <c r="AL34" s="3">
        <f>AK34/1000</f>
        <v>8562.017</v>
      </c>
      <c r="AN34" s="3">
        <v>8499357</v>
      </c>
      <c r="AO34" s="3">
        <f>AN34/1000</f>
        <v>8499.357</v>
      </c>
      <c r="AQ34" s="3">
        <v>8547712</v>
      </c>
      <c r="AR34" s="3">
        <f>AQ34/1000</f>
        <v>8547.712</v>
      </c>
    </row>
    <row r="35" spans="2:27" ht="12.75">
      <c r="B35" s="15"/>
      <c r="C35" s="75"/>
      <c r="D35" s="75"/>
      <c r="E35" s="75"/>
      <c r="L35" s="271"/>
      <c r="M35" s="271"/>
      <c r="N35" s="17"/>
      <c r="P35" s="15"/>
      <c r="Q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44" ht="12.75">
      <c r="A36" s="1" t="s">
        <v>26</v>
      </c>
      <c r="B36" s="15">
        <v>18578</v>
      </c>
      <c r="C36" s="75">
        <v>19162</v>
      </c>
      <c r="D36" s="75">
        <v>19949</v>
      </c>
      <c r="E36" s="75">
        <v>20946</v>
      </c>
      <c r="F36" s="1">
        <v>22370</v>
      </c>
      <c r="G36" s="1">
        <v>24072</v>
      </c>
      <c r="H36" s="1">
        <v>25804</v>
      </c>
      <c r="I36" s="1">
        <v>25846</v>
      </c>
      <c r="J36" s="1">
        <v>26361</v>
      </c>
      <c r="K36" s="1">
        <v>27898</v>
      </c>
      <c r="L36" s="271">
        <f>(K36-J36)*100/J36</f>
        <v>5.83058305830583</v>
      </c>
      <c r="M36" s="271">
        <f>(K36-Z36)*100/Z36</f>
        <v>57.83875530410184</v>
      </c>
      <c r="N36" s="17"/>
      <c r="O36" s="22">
        <v>7893</v>
      </c>
      <c r="P36" s="15">
        <v>8311</v>
      </c>
      <c r="Q36" s="15">
        <v>8689</v>
      </c>
      <c r="R36" s="15">
        <v>10679</v>
      </c>
      <c r="S36" s="15">
        <v>11877</v>
      </c>
      <c r="T36" s="15">
        <v>13741</v>
      </c>
      <c r="U36" s="15">
        <v>14397</v>
      </c>
      <c r="V36" s="15">
        <v>13580</v>
      </c>
      <c r="W36" s="15">
        <v>13947</v>
      </c>
      <c r="X36" s="15">
        <v>16807</v>
      </c>
      <c r="Y36" s="15">
        <v>18550</v>
      </c>
      <c r="Z36" s="15">
        <v>17675</v>
      </c>
      <c r="AA36" s="15"/>
      <c r="AB36" s="1">
        <v>22369792</v>
      </c>
      <c r="AC36" s="3">
        <f>AB36/1000</f>
        <v>22369.792</v>
      </c>
      <c r="AE36" s="3">
        <v>24071992</v>
      </c>
      <c r="AF36" s="3">
        <f>AE36/1000</f>
        <v>24071.992</v>
      </c>
      <c r="AH36" s="3">
        <v>25804352</v>
      </c>
      <c r="AI36" s="3">
        <f>AH36/1000</f>
        <v>25804.352</v>
      </c>
      <c r="AK36" s="3">
        <v>25845786</v>
      </c>
      <c r="AL36" s="3">
        <f>AK36/1000</f>
        <v>25845.786</v>
      </c>
      <c r="AN36" s="3">
        <v>26361280</v>
      </c>
      <c r="AO36" s="3">
        <f>AN36/1000</f>
        <v>26361.28</v>
      </c>
      <c r="AQ36" s="3">
        <v>27897682</v>
      </c>
      <c r="AR36" s="3">
        <f>AQ36/1000</f>
        <v>27897.682</v>
      </c>
    </row>
    <row r="37" spans="1:44" ht="12.75">
      <c r="A37" s="1" t="s">
        <v>27</v>
      </c>
      <c r="B37" s="15">
        <v>48233</v>
      </c>
      <c r="C37" s="75">
        <v>51661</v>
      </c>
      <c r="D37" s="75">
        <v>55841</v>
      </c>
      <c r="E37" s="75">
        <v>60440</v>
      </c>
      <c r="F37" s="1">
        <v>64576</v>
      </c>
      <c r="G37" s="1">
        <v>69564</v>
      </c>
      <c r="H37" s="1">
        <v>72071</v>
      </c>
      <c r="I37" s="1">
        <v>74825</v>
      </c>
      <c r="J37" s="1">
        <v>78817</v>
      </c>
      <c r="K37" s="1">
        <v>81978</v>
      </c>
      <c r="L37" s="271">
        <f>(K37-J37)*100/J37</f>
        <v>4.010556098303666</v>
      </c>
      <c r="M37" s="271">
        <f>(K37-Z37)*100/Z37</f>
        <v>74.28407423942853</v>
      </c>
      <c r="N37" s="17"/>
      <c r="O37" s="22">
        <v>27008</v>
      </c>
      <c r="P37" s="15">
        <v>28416</v>
      </c>
      <c r="Q37" s="15">
        <v>30616</v>
      </c>
      <c r="R37" s="15">
        <v>32715</v>
      </c>
      <c r="S37" s="15">
        <v>34986</v>
      </c>
      <c r="T37" s="15">
        <v>37730</v>
      </c>
      <c r="U37" s="15">
        <v>40501</v>
      </c>
      <c r="V37" s="15">
        <v>41061</v>
      </c>
      <c r="W37" s="15">
        <v>38751</v>
      </c>
      <c r="X37" s="15">
        <v>43223</v>
      </c>
      <c r="Y37" s="15">
        <v>45898</v>
      </c>
      <c r="Z37" s="15">
        <v>47037</v>
      </c>
      <c r="AA37" s="15"/>
      <c r="AB37" s="1">
        <v>64576254</v>
      </c>
      <c r="AC37" s="3">
        <f>AB37/1000</f>
        <v>64576.254</v>
      </c>
      <c r="AE37" s="3">
        <v>69563895</v>
      </c>
      <c r="AF37" s="3">
        <f>AE37/1000</f>
        <v>69563.895</v>
      </c>
      <c r="AH37" s="3">
        <v>72070834</v>
      </c>
      <c r="AI37" s="3">
        <f>AH37/1000</f>
        <v>72070.834</v>
      </c>
      <c r="AK37" s="3">
        <v>74824848</v>
      </c>
      <c r="AL37" s="3">
        <f>AK37/1000</f>
        <v>74824.848</v>
      </c>
      <c r="AN37" s="3">
        <v>78816610</v>
      </c>
      <c r="AO37" s="3">
        <f>AN37/1000</f>
        <v>78816.61</v>
      </c>
      <c r="AQ37" s="3">
        <v>81977719</v>
      </c>
      <c r="AR37" s="3">
        <f>AQ37/1000</f>
        <v>81977.719</v>
      </c>
    </row>
    <row r="38" spans="1:44" ht="12.75">
      <c r="A38" s="1" t="s">
        <v>28</v>
      </c>
      <c r="B38" s="15">
        <v>30343</v>
      </c>
      <c r="C38" s="75">
        <v>31788</v>
      </c>
      <c r="D38" s="75">
        <v>35426</v>
      </c>
      <c r="E38" s="75">
        <v>38144</v>
      </c>
      <c r="F38" s="1">
        <v>42844</v>
      </c>
      <c r="G38" s="1">
        <v>43744</v>
      </c>
      <c r="H38" s="1">
        <v>44665</v>
      </c>
      <c r="I38" s="1">
        <v>45680</v>
      </c>
      <c r="J38" s="1">
        <v>46131</v>
      </c>
      <c r="K38" s="1">
        <v>46925</v>
      </c>
      <c r="L38" s="271">
        <f>(K38-J38)*100/J38</f>
        <v>1.7211853200667664</v>
      </c>
      <c r="M38" s="271">
        <f>(K38-Z38)*100/Z38</f>
        <v>66.67850673107662</v>
      </c>
      <c r="N38" s="17"/>
      <c r="O38" s="22">
        <v>14583</v>
      </c>
      <c r="P38" s="15">
        <v>16325</v>
      </c>
      <c r="Q38" s="15">
        <v>17277</v>
      </c>
      <c r="R38" s="15">
        <v>18115</v>
      </c>
      <c r="S38" s="15">
        <v>20214</v>
      </c>
      <c r="T38" s="15">
        <v>23660</v>
      </c>
      <c r="U38" s="15">
        <v>26121</v>
      </c>
      <c r="V38" s="15">
        <v>23499</v>
      </c>
      <c r="W38" s="15">
        <v>25052</v>
      </c>
      <c r="X38" s="15">
        <v>27313</v>
      </c>
      <c r="Y38" s="15">
        <v>29526</v>
      </c>
      <c r="Z38" s="15">
        <v>28153</v>
      </c>
      <c r="AA38" s="15"/>
      <c r="AB38" s="1">
        <v>42843788</v>
      </c>
      <c r="AC38" s="3">
        <f>AB38/1000</f>
        <v>42843.788</v>
      </c>
      <c r="AE38" s="3">
        <v>43743788</v>
      </c>
      <c r="AF38" s="3">
        <f>AE38/1000</f>
        <v>43743.788</v>
      </c>
      <c r="AH38" s="3">
        <v>44665088</v>
      </c>
      <c r="AI38" s="3">
        <f>AH38/1000</f>
        <v>44665.088</v>
      </c>
      <c r="AK38" s="3">
        <v>45679815</v>
      </c>
      <c r="AL38" s="3">
        <f>AK38/1000</f>
        <v>45679.815</v>
      </c>
      <c r="AN38" s="3">
        <v>46131073</v>
      </c>
      <c r="AO38" s="3">
        <f>AN38/1000</f>
        <v>46131.073</v>
      </c>
      <c r="AQ38" s="3">
        <v>46925458</v>
      </c>
      <c r="AR38" s="3">
        <f>AQ38/1000</f>
        <v>46925.458</v>
      </c>
    </row>
    <row r="39" spans="1:44" ht="12.75">
      <c r="A39" s="1" t="s">
        <v>29</v>
      </c>
      <c r="B39" s="15">
        <v>32438</v>
      </c>
      <c r="C39" s="76">
        <v>35395</v>
      </c>
      <c r="D39" s="75">
        <v>36078</v>
      </c>
      <c r="E39" s="75">
        <v>37548</v>
      </c>
      <c r="F39" s="1">
        <v>40808</v>
      </c>
      <c r="G39" s="1">
        <v>44537</v>
      </c>
      <c r="H39" s="1">
        <v>47480</v>
      </c>
      <c r="I39" s="1">
        <v>48164</v>
      </c>
      <c r="J39" s="1">
        <v>52104</v>
      </c>
      <c r="K39" s="1">
        <v>55067</v>
      </c>
      <c r="L39" s="271">
        <f>(K39-J39)*100/J39</f>
        <v>5.686703516044833</v>
      </c>
      <c r="M39" s="271">
        <f>(K39-Z39)*100/Z39</f>
        <v>76.82550895896217</v>
      </c>
      <c r="N39" s="17"/>
      <c r="O39" s="22">
        <v>12433</v>
      </c>
      <c r="P39" s="15">
        <v>14235</v>
      </c>
      <c r="Q39" s="15">
        <v>17180</v>
      </c>
      <c r="R39" s="15">
        <v>18720</v>
      </c>
      <c r="S39" s="15">
        <v>19824</v>
      </c>
      <c r="T39" s="15">
        <v>22042</v>
      </c>
      <c r="U39" s="15">
        <v>24371</v>
      </c>
      <c r="V39" s="15">
        <v>25873</v>
      </c>
      <c r="W39" s="15">
        <v>26487</v>
      </c>
      <c r="X39" s="15">
        <v>28708</v>
      </c>
      <c r="Y39" s="15">
        <v>30222</v>
      </c>
      <c r="Z39" s="15">
        <v>31142</v>
      </c>
      <c r="AA39" s="15"/>
      <c r="AB39" s="1">
        <v>40808342</v>
      </c>
      <c r="AC39" s="3">
        <f>AB39/1000</f>
        <v>40808.342</v>
      </c>
      <c r="AE39" s="3">
        <v>44536521</v>
      </c>
      <c r="AF39" s="3">
        <f>AE39/1000</f>
        <v>44536.521</v>
      </c>
      <c r="AH39" s="3">
        <v>47479742</v>
      </c>
      <c r="AI39" s="3">
        <f>AH39/1000</f>
        <v>47479.742</v>
      </c>
      <c r="AK39" s="3">
        <v>48163739</v>
      </c>
      <c r="AL39" s="3">
        <f>AK39/1000</f>
        <v>48163.739</v>
      </c>
      <c r="AN39" s="3">
        <v>52104132</v>
      </c>
      <c r="AO39" s="3">
        <f>AN39/1000</f>
        <v>52104.132</v>
      </c>
      <c r="AQ39" s="3">
        <v>55066516</v>
      </c>
      <c r="AR39" s="3">
        <f>AQ39/1000</f>
        <v>55066.516</v>
      </c>
    </row>
    <row r="40" spans="1:26" ht="12.7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S40" s="19"/>
      <c r="T40" s="19"/>
      <c r="Z40" s="19"/>
    </row>
    <row r="42" spans="2:26" ht="12.75">
      <c r="B42" s="15"/>
      <c r="S42" s="15"/>
      <c r="T42" s="15"/>
      <c r="Z42" s="15"/>
    </row>
    <row r="43" spans="2:26" ht="12.75">
      <c r="B43" s="15"/>
      <c r="S43" s="15"/>
      <c r="T43" s="15"/>
      <c r="Z43" s="15"/>
    </row>
    <row r="44" spans="2:26" ht="12.75">
      <c r="B44" s="15"/>
      <c r="S44" s="15"/>
      <c r="T44" s="15"/>
      <c r="Z44" s="15"/>
    </row>
    <row r="45" spans="2:26" ht="12.75">
      <c r="B45" s="15"/>
      <c r="S45" s="15"/>
      <c r="T45" s="15"/>
      <c r="Z45" s="15"/>
    </row>
    <row r="46" spans="2:26" ht="12.75">
      <c r="B46" s="15"/>
      <c r="S46" s="15"/>
      <c r="T46" s="15"/>
      <c r="Z46" s="15"/>
    </row>
    <row r="47" spans="2:26" ht="12.75">
      <c r="B47" s="15"/>
      <c r="Z47" s="15"/>
    </row>
    <row r="48" spans="2:26" ht="12.75">
      <c r="B48" s="15"/>
      <c r="Z48" s="15"/>
    </row>
    <row r="49" spans="2:26" ht="12.75">
      <c r="B49" s="15"/>
      <c r="Z49" s="15"/>
    </row>
    <row r="50" spans="2:26" ht="12.75">
      <c r="B50" s="15"/>
      <c r="Z50" s="15"/>
    </row>
    <row r="51" spans="2:26" ht="12.75">
      <c r="B51" s="15"/>
      <c r="Z51" s="15"/>
    </row>
    <row r="52" ht="12.75">
      <c r="B52" s="15"/>
    </row>
    <row r="53" ht="12.75">
      <c r="B53" s="15"/>
    </row>
  </sheetData>
  <sheetProtection password="CAF5" sheet="1" objects="1" scenarios="1"/>
  <mergeCells count="2">
    <mergeCell ref="L7:M7"/>
    <mergeCell ref="A1:M1"/>
  </mergeCells>
  <printOptions/>
  <pageMargins left="0.4" right="0.41" top="1" bottom="1" header="0.5" footer="0.5"/>
  <pageSetup fitToHeight="1" fitToWidth="1" orientation="landscape" scale="80" r:id="rId1"/>
  <headerFooter alignWithMargins="0">
    <oddFooter>&amp;L&amp;"Lucida Sans,Italic"&amp;10MSDE-DBS  10 / 2007
&amp;C- 4 -&amp;R&amp;"Lucida Sans,Italic"&amp;10Selected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workbookViewId="0" topLeftCell="G19">
      <selection activeCell="N54" sqref="N5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7539062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7.875" style="3" customWidth="1"/>
    <col min="27" max="27" width="13.125" style="3" bestFit="1" customWidth="1"/>
    <col min="28" max="28" width="10.00390625" style="3" customWidth="1"/>
    <col min="29" max="29" width="3.625" style="3" customWidth="1"/>
    <col min="30" max="30" width="13.125" style="3" bestFit="1" customWidth="1"/>
    <col min="31" max="31" width="10.00390625" style="3" customWidth="1"/>
    <col min="32" max="32" width="3.375" style="3" customWidth="1"/>
    <col min="33" max="33" width="10.00390625" style="3" customWidth="1"/>
    <col min="34" max="35" width="7.875" style="3" customWidth="1"/>
    <col min="36" max="16384" width="10.00390625" style="3" customWidth="1"/>
  </cols>
  <sheetData>
    <row r="1" spans="1:25" ht="15.75" customHeight="1">
      <c r="A1" s="123" t="s">
        <v>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0"/>
      <c r="Q1" s="2"/>
      <c r="R1" s="2"/>
      <c r="S1" s="2"/>
      <c r="W1" s="123"/>
      <c r="X1" s="123"/>
      <c r="Y1" s="123"/>
    </row>
    <row r="2" spans="1:25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2"/>
      <c r="Q2" s="2"/>
      <c r="R2" s="2"/>
      <c r="S2" s="2"/>
      <c r="W2" s="123"/>
      <c r="X2" s="123"/>
      <c r="Y2" s="123"/>
    </row>
    <row r="3" spans="1:25" ht="12.75">
      <c r="A3" s="123" t="s">
        <v>236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0"/>
      <c r="Q3" s="2"/>
      <c r="R3" s="2"/>
      <c r="S3" s="2"/>
      <c r="W3" s="123"/>
      <c r="X3" s="123"/>
      <c r="Y3" s="123"/>
    </row>
    <row r="4" spans="1:25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0"/>
      <c r="Q4" s="2"/>
      <c r="R4" s="2"/>
      <c r="S4" s="2"/>
      <c r="W4" s="123"/>
      <c r="X4" s="123"/>
      <c r="Y4" s="123"/>
    </row>
    <row r="5" spans="1:25" ht="13.5" thickBot="1">
      <c r="A5" s="23"/>
      <c r="B5" s="23"/>
      <c r="C5" s="23"/>
      <c r="D5" s="23"/>
      <c r="E5" s="23"/>
      <c r="O5" s="23"/>
      <c r="Q5" s="23"/>
      <c r="R5" s="23"/>
      <c r="S5" s="23"/>
      <c r="T5" s="23"/>
      <c r="W5" s="23"/>
      <c r="X5" s="23"/>
      <c r="Y5" s="23"/>
    </row>
    <row r="6" spans="1:2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</row>
    <row r="7" spans="12:22" ht="12.75">
      <c r="L7" s="6" t="s">
        <v>34</v>
      </c>
      <c r="M7" s="6"/>
      <c r="S7" s="3"/>
      <c r="U7" s="1"/>
      <c r="V7" s="1"/>
    </row>
    <row r="8" spans="1:25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</row>
    <row r="9" spans="1:43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6" t="s">
        <v>181</v>
      </c>
      <c r="X9" s="36" t="s">
        <v>182</v>
      </c>
      <c r="Y9" s="36" t="s">
        <v>183</v>
      </c>
      <c r="AA9" s="9" t="s">
        <v>107</v>
      </c>
      <c r="AB9" s="9" t="s">
        <v>107</v>
      </c>
      <c r="AD9" s="9" t="s">
        <v>163</v>
      </c>
      <c r="AE9" s="9" t="s">
        <v>163</v>
      </c>
      <c r="AG9" s="291" t="s">
        <v>171</v>
      </c>
      <c r="AH9" s="291"/>
      <c r="AI9" s="208"/>
      <c r="AJ9" s="291" t="s">
        <v>187</v>
      </c>
      <c r="AK9" s="291"/>
      <c r="AM9" s="291" t="s">
        <v>197</v>
      </c>
      <c r="AN9" s="291"/>
      <c r="AP9" s="291" t="s">
        <v>213</v>
      </c>
      <c r="AQ9" s="291"/>
    </row>
    <row r="10" spans="1:43" ht="13.5" thickTop="1">
      <c r="A10" s="7" t="s">
        <v>5</v>
      </c>
      <c r="B10" s="24">
        <v>303882</v>
      </c>
      <c r="C10" s="24">
        <v>328358</v>
      </c>
      <c r="D10" s="24">
        <v>362568</v>
      </c>
      <c r="E10" s="24">
        <v>397904</v>
      </c>
      <c r="F10" s="24">
        <v>479697</v>
      </c>
      <c r="G10" s="24">
        <v>529948</v>
      </c>
      <c r="H10" s="24">
        <f>SUM(H12:H39)</f>
        <v>571041</v>
      </c>
      <c r="I10" s="24">
        <f>SUM(I12:I39)</f>
        <v>575837</v>
      </c>
      <c r="J10" s="24">
        <f>SUM(J12:J39)</f>
        <v>648726</v>
      </c>
      <c r="K10" s="24">
        <f>SUM(K12:K39)</f>
        <v>651260</v>
      </c>
      <c r="L10" s="271">
        <f>(K10-J10)*100/J10</f>
        <v>0.39061175288180217</v>
      </c>
      <c r="M10" s="271">
        <f>(K10-Y10)*100/Y10</f>
        <v>139.6311668432827</v>
      </c>
      <c r="N10" s="14">
        <f aca="true" t="shared" si="0" ref="N10:S10">SUM(N12:N39)</f>
        <v>138994</v>
      </c>
      <c r="O10" s="11">
        <f t="shared" si="0"/>
        <v>147408</v>
      </c>
      <c r="P10" s="11">
        <f t="shared" si="0"/>
        <v>153125</v>
      </c>
      <c r="Q10" s="11">
        <f t="shared" si="0"/>
        <v>162056</v>
      </c>
      <c r="R10" s="11">
        <f t="shared" si="0"/>
        <v>177746</v>
      </c>
      <c r="S10" s="11">
        <f t="shared" si="0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4">
        <v>269938</v>
      </c>
      <c r="Y10" s="24">
        <v>271776</v>
      </c>
      <c r="AA10" s="32">
        <f>SUM(AA12:AA39)</f>
        <v>479696621.26</v>
      </c>
      <c r="AB10" s="32">
        <f>SUM(AB12:AB39)</f>
        <v>479696.62126</v>
      </c>
      <c r="AD10" s="139">
        <v>529946907</v>
      </c>
      <c r="AE10" s="32">
        <f>SUM(AE12:AE39)</f>
        <v>529946.90688</v>
      </c>
      <c r="AG10" s="32">
        <f>SUM(AG12:AG39)</f>
        <v>571042256.64</v>
      </c>
      <c r="AH10" s="32">
        <f>SUM(AH12:AH39)</f>
        <v>571042.2566399999</v>
      </c>
      <c r="AI10" s="32"/>
      <c r="AJ10" s="3">
        <v>575840541</v>
      </c>
      <c r="AK10" s="32">
        <f>SUM(AK12:AK39)</f>
        <v>575840.5421600002</v>
      </c>
      <c r="AM10" s="32">
        <f>SUM(AM12:AM39)</f>
        <v>648726085.1800001</v>
      </c>
      <c r="AN10" s="32">
        <f>SUM(AN12:AN39)</f>
        <v>648726.0851799998</v>
      </c>
      <c r="AP10" s="32">
        <f>SUM(AP12:AP39)</f>
        <v>651260796.3700001</v>
      </c>
      <c r="AQ10" s="32">
        <f>SUM(AQ12:AQ39)</f>
        <v>651260.79637</v>
      </c>
    </row>
    <row r="11" spans="2:30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O11" s="15"/>
      <c r="R11" s="15"/>
      <c r="S11" s="15"/>
      <c r="U11" s="1"/>
      <c r="V11" s="1"/>
      <c r="X11" s="15"/>
      <c r="Y11" s="15"/>
      <c r="AD11" s="129"/>
    </row>
    <row r="12" spans="1:43" ht="12.75">
      <c r="A12" s="1" t="s">
        <v>6</v>
      </c>
      <c r="B12" s="15">
        <v>6769</v>
      </c>
      <c r="C12" s="15">
        <v>6681</v>
      </c>
      <c r="D12" s="15">
        <v>8135</v>
      </c>
      <c r="E12" s="15">
        <v>10008</v>
      </c>
      <c r="F12" s="15">
        <v>9702</v>
      </c>
      <c r="G12" s="15">
        <v>10787</v>
      </c>
      <c r="H12" s="15">
        <v>10844</v>
      </c>
      <c r="I12" s="15">
        <v>11710</v>
      </c>
      <c r="J12" s="15">
        <v>12209</v>
      </c>
      <c r="K12" s="15">
        <v>11757</v>
      </c>
      <c r="L12" s="271">
        <f>(K12-J12)*100/J12</f>
        <v>-3.7021869112949464</v>
      </c>
      <c r="M12" s="271">
        <f>(K12-Y12)*100/Y12</f>
        <v>88.77649325626204</v>
      </c>
      <c r="N12" s="15">
        <v>2867</v>
      </c>
      <c r="O12" s="15">
        <v>3078</v>
      </c>
      <c r="P12" s="15">
        <v>3082</v>
      </c>
      <c r="Q12" s="15">
        <v>3417</v>
      </c>
      <c r="R12" s="15">
        <v>3637</v>
      </c>
      <c r="S12" s="15">
        <v>3709</v>
      </c>
      <c r="T12" s="15">
        <v>3989</v>
      </c>
      <c r="U12" s="15">
        <v>4572</v>
      </c>
      <c r="V12" s="15">
        <f>5141765/1000</f>
        <v>5141.765</v>
      </c>
      <c r="W12" s="15">
        <v>5660</v>
      </c>
      <c r="X12" s="15">
        <v>5867</v>
      </c>
      <c r="Y12" s="15">
        <v>6228</v>
      </c>
      <c r="AA12" s="98">
        <v>9701581.53</v>
      </c>
      <c r="AB12" s="3">
        <f>AA12/1000</f>
        <v>9701.58153</v>
      </c>
      <c r="AD12" s="128">
        <v>10786918</v>
      </c>
      <c r="AE12" s="3">
        <f>AD12/1000</f>
        <v>10786.918</v>
      </c>
      <c r="AG12" s="3">
        <v>10844497</v>
      </c>
      <c r="AH12" s="3">
        <f>AG12/1000</f>
        <v>10844.497</v>
      </c>
      <c r="AJ12" s="3">
        <v>11710150</v>
      </c>
      <c r="AK12" s="3">
        <f>AJ12/1000</f>
        <v>11710.15</v>
      </c>
      <c r="AM12" s="3">
        <v>12209097</v>
      </c>
      <c r="AN12" s="3">
        <f>AM12/1000</f>
        <v>12209.097</v>
      </c>
      <c r="AP12" s="3">
        <v>11756739</v>
      </c>
      <c r="AQ12" s="3">
        <f>AP12/1000</f>
        <v>11756.739</v>
      </c>
    </row>
    <row r="13" spans="1:43" ht="12.75">
      <c r="A13" s="1" t="s">
        <v>7</v>
      </c>
      <c r="B13" s="15">
        <v>15365</v>
      </c>
      <c r="C13" s="15">
        <v>18958</v>
      </c>
      <c r="D13" s="15">
        <v>23140</v>
      </c>
      <c r="E13" s="15">
        <v>22160</v>
      </c>
      <c r="F13" s="15">
        <v>29263</v>
      </c>
      <c r="G13" s="15">
        <v>32619</v>
      </c>
      <c r="H13" s="15">
        <v>36241</v>
      </c>
      <c r="I13" s="15">
        <v>39519</v>
      </c>
      <c r="J13" s="15">
        <v>43475</v>
      </c>
      <c r="K13" s="15">
        <v>44315</v>
      </c>
      <c r="L13" s="271">
        <f>(K13-J13)*100/J13</f>
        <v>1.932144910868315</v>
      </c>
      <c r="M13" s="271">
        <f>(K13-Y13)*100/Y13</f>
        <v>147.00406889248092</v>
      </c>
      <c r="N13" s="15">
        <v>10022</v>
      </c>
      <c r="O13" s="15">
        <v>10413</v>
      </c>
      <c r="P13" s="15">
        <v>12924</v>
      </c>
      <c r="Q13" s="15">
        <v>10820</v>
      </c>
      <c r="R13" s="15">
        <v>13425</v>
      </c>
      <c r="S13" s="15">
        <v>14249</v>
      </c>
      <c r="T13" s="15">
        <v>14066</v>
      </c>
      <c r="U13" s="15">
        <v>15669</v>
      </c>
      <c r="V13" s="15">
        <f>17273210/1000</f>
        <v>17273.21</v>
      </c>
      <c r="W13" s="15">
        <v>16818</v>
      </c>
      <c r="X13" s="15">
        <v>16930</v>
      </c>
      <c r="Y13" s="15">
        <v>17941</v>
      </c>
      <c r="AA13" s="98">
        <v>29262682.75</v>
      </c>
      <c r="AB13" s="3">
        <f>AA13/1000</f>
        <v>29262.68275</v>
      </c>
      <c r="AD13" s="128">
        <v>32619037</v>
      </c>
      <c r="AE13" s="3">
        <f>AD13/1000</f>
        <v>32619.037</v>
      </c>
      <c r="AG13" s="3">
        <v>36240602</v>
      </c>
      <c r="AH13" s="3">
        <f>AG13/1000</f>
        <v>36240.602</v>
      </c>
      <c r="AJ13" s="3">
        <v>39518655</v>
      </c>
      <c r="AK13" s="3">
        <f>AJ13/1000</f>
        <v>39518.655</v>
      </c>
      <c r="AM13" s="3">
        <v>43475303</v>
      </c>
      <c r="AN13" s="3">
        <f>AM13/1000</f>
        <v>43475.303</v>
      </c>
      <c r="AP13" s="3">
        <v>44314552</v>
      </c>
      <c r="AQ13" s="3">
        <f>AP13/1000</f>
        <v>44314.552</v>
      </c>
    </row>
    <row r="14" spans="1:43" ht="12.75">
      <c r="A14" s="1" t="s">
        <v>8</v>
      </c>
      <c r="B14" s="15">
        <v>99987</v>
      </c>
      <c r="C14" s="15">
        <v>98507</v>
      </c>
      <c r="D14" s="15">
        <v>107912</v>
      </c>
      <c r="E14" s="15">
        <v>107464</v>
      </c>
      <c r="F14" s="15">
        <v>148228</v>
      </c>
      <c r="G14" s="15">
        <v>150340</v>
      </c>
      <c r="H14" s="15">
        <v>142798</v>
      </c>
      <c r="I14" s="15">
        <v>113610</v>
      </c>
      <c r="J14" s="15">
        <v>147471</v>
      </c>
      <c r="K14" s="15">
        <v>130645</v>
      </c>
      <c r="L14" s="271">
        <f>(K14-J14)*100/J14</f>
        <v>-11.409700890344542</v>
      </c>
      <c r="M14" s="271">
        <f>(K14-Y14)*100/Y14</f>
        <v>63.8058578664928</v>
      </c>
      <c r="N14" s="15">
        <v>45795</v>
      </c>
      <c r="O14" s="15">
        <v>48609</v>
      </c>
      <c r="P14" s="15">
        <v>49575</v>
      </c>
      <c r="Q14" s="15">
        <v>51918</v>
      </c>
      <c r="R14" s="15">
        <v>55495</v>
      </c>
      <c r="S14" s="15">
        <v>61106</v>
      </c>
      <c r="T14" s="15">
        <v>68401</v>
      </c>
      <c r="U14" s="15">
        <v>77236</v>
      </c>
      <c r="V14" s="15">
        <f>83543443/1000</f>
        <v>83543.443</v>
      </c>
      <c r="W14" s="15">
        <v>75897</v>
      </c>
      <c r="X14" s="15">
        <v>78577</v>
      </c>
      <c r="Y14" s="15">
        <v>79756</v>
      </c>
      <c r="AA14" s="98">
        <v>148228409.92</v>
      </c>
      <c r="AB14" s="3">
        <f>AA14/1000</f>
        <v>148228.40991999998</v>
      </c>
      <c r="AD14" s="128">
        <v>150340122</v>
      </c>
      <c r="AE14" s="3">
        <f>AD14/1000</f>
        <v>150340.122</v>
      </c>
      <c r="AG14" s="3">
        <v>142797908</v>
      </c>
      <c r="AH14" s="3">
        <f>AG14/1000</f>
        <v>142797.908</v>
      </c>
      <c r="AJ14" s="3">
        <v>113610304</v>
      </c>
      <c r="AK14" s="3">
        <f>AJ14/1000</f>
        <v>113610.304</v>
      </c>
      <c r="AM14" s="3">
        <v>147471453</v>
      </c>
      <c r="AN14" s="3">
        <f>AM14/1000</f>
        <v>147471.453</v>
      </c>
      <c r="AP14" s="3">
        <v>130645202</v>
      </c>
      <c r="AQ14" s="3">
        <f>AP14/1000</f>
        <v>130645.202</v>
      </c>
    </row>
    <row r="15" spans="1:43" ht="12.75">
      <c r="A15" s="1" t="s">
        <v>9</v>
      </c>
      <c r="B15" s="15">
        <v>34839</v>
      </c>
      <c r="C15" s="15">
        <v>37629</v>
      </c>
      <c r="D15" s="15">
        <v>37275</v>
      </c>
      <c r="E15" s="15">
        <v>42527</v>
      </c>
      <c r="F15" s="15">
        <v>46767</v>
      </c>
      <c r="G15" s="15">
        <v>51438</v>
      </c>
      <c r="H15" s="15">
        <v>61460</v>
      </c>
      <c r="I15" s="15">
        <v>67682</v>
      </c>
      <c r="J15" s="15">
        <v>75162</v>
      </c>
      <c r="K15" s="15">
        <v>84271</v>
      </c>
      <c r="L15" s="271">
        <f>(K15-J15)*100/J15</f>
        <v>12.119155956467363</v>
      </c>
      <c r="M15" s="271">
        <f>(K15-Y15)*100/Y15</f>
        <v>213.15867707172055</v>
      </c>
      <c r="N15" s="15">
        <v>10271</v>
      </c>
      <c r="O15" s="15">
        <v>10596</v>
      </c>
      <c r="P15" s="15">
        <v>10861</v>
      </c>
      <c r="Q15" s="15">
        <v>11208</v>
      </c>
      <c r="R15" s="15">
        <v>12554</v>
      </c>
      <c r="S15" s="15">
        <v>13570</v>
      </c>
      <c r="T15" s="15">
        <v>14633</v>
      </c>
      <c r="U15" s="15">
        <v>15802</v>
      </c>
      <c r="V15" s="15">
        <f>17104138/1000</f>
        <v>17104.138</v>
      </c>
      <c r="W15" s="15">
        <v>25374</v>
      </c>
      <c r="X15" s="15">
        <v>27499</v>
      </c>
      <c r="Y15" s="15">
        <v>26910</v>
      </c>
      <c r="AA15" s="98">
        <v>46767234.05</v>
      </c>
      <c r="AB15" s="3">
        <f>AA15/1000</f>
        <v>46767.23405</v>
      </c>
      <c r="AD15" s="128">
        <v>51437727</v>
      </c>
      <c r="AE15" s="3">
        <f>AD15/1000</f>
        <v>51437.727</v>
      </c>
      <c r="AG15" s="3">
        <v>61459955</v>
      </c>
      <c r="AH15" s="3">
        <f>AG15/1000</f>
        <v>61459.955</v>
      </c>
      <c r="AJ15" s="3">
        <v>67681614</v>
      </c>
      <c r="AK15" s="3">
        <f>AJ15/1000</f>
        <v>67681.614</v>
      </c>
      <c r="AM15" s="3">
        <v>75161578</v>
      </c>
      <c r="AN15" s="3">
        <f>AM15/1000</f>
        <v>75161.578</v>
      </c>
      <c r="AP15" s="3">
        <v>84270817</v>
      </c>
      <c r="AQ15" s="3">
        <f>AP15/1000</f>
        <v>84270.817</v>
      </c>
    </row>
    <row r="16" spans="1:43" ht="12.75">
      <c r="A16" s="1" t="s">
        <v>10</v>
      </c>
      <c r="B16" s="15">
        <v>3145</v>
      </c>
      <c r="C16" s="15">
        <v>3644</v>
      </c>
      <c r="D16" s="15">
        <v>4413</v>
      </c>
      <c r="E16" s="15">
        <v>5110</v>
      </c>
      <c r="F16" s="15">
        <v>6178</v>
      </c>
      <c r="G16" s="15">
        <v>7001</v>
      </c>
      <c r="H16" s="15">
        <v>7545</v>
      </c>
      <c r="I16" s="15">
        <v>8781</v>
      </c>
      <c r="J16" s="15">
        <v>8236</v>
      </c>
      <c r="K16" s="15">
        <v>8337</v>
      </c>
      <c r="L16" s="271">
        <f>(K16-J16)*100/J16</f>
        <v>1.2263234579893152</v>
      </c>
      <c r="M16" s="271">
        <f>(K16-Y16)*100/Y16</f>
        <v>194.07407407407408</v>
      </c>
      <c r="N16" s="15">
        <v>1578</v>
      </c>
      <c r="O16" s="15">
        <v>1737</v>
      </c>
      <c r="P16" s="15">
        <v>1619</v>
      </c>
      <c r="Q16" s="15">
        <v>1632</v>
      </c>
      <c r="R16" s="15">
        <v>1861</v>
      </c>
      <c r="S16" s="15">
        <v>1918</v>
      </c>
      <c r="T16" s="15">
        <v>2355</v>
      </c>
      <c r="U16" s="15">
        <v>2330</v>
      </c>
      <c r="V16" s="15">
        <f>2701527/1000</f>
        <v>2701.527</v>
      </c>
      <c r="W16" s="15">
        <v>2770</v>
      </c>
      <c r="X16" s="15">
        <v>2791</v>
      </c>
      <c r="Y16" s="15">
        <v>2835</v>
      </c>
      <c r="AA16" s="98">
        <v>6178363.54</v>
      </c>
      <c r="AB16" s="3">
        <f>AA16/1000</f>
        <v>6178.36354</v>
      </c>
      <c r="AD16" s="128">
        <v>7000997</v>
      </c>
      <c r="AE16" s="3">
        <f>AD16/1000</f>
        <v>7000.997</v>
      </c>
      <c r="AG16" s="3">
        <v>7545469</v>
      </c>
      <c r="AH16" s="3">
        <f>AG16/1000</f>
        <v>7545.469</v>
      </c>
      <c r="AJ16" s="3">
        <v>8781393</v>
      </c>
      <c r="AK16" s="3">
        <f>AJ16/1000</f>
        <v>8781.393</v>
      </c>
      <c r="AM16" s="3">
        <v>8236236</v>
      </c>
      <c r="AN16" s="3">
        <f>AM16/1000</f>
        <v>8236.236</v>
      </c>
      <c r="AP16" s="3">
        <v>8337300</v>
      </c>
      <c r="AQ16" s="3">
        <f>AP16/1000</f>
        <v>8337.3</v>
      </c>
    </row>
    <row r="17" spans="2:30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32"/>
      <c r="AD17" s="128"/>
    </row>
    <row r="18" spans="1:43" ht="12.75">
      <c r="A18" s="1" t="s">
        <v>11</v>
      </c>
      <c r="B18" s="15">
        <v>2455</v>
      </c>
      <c r="C18" s="15">
        <v>2437</v>
      </c>
      <c r="D18" s="15">
        <v>3092</v>
      </c>
      <c r="E18" s="15">
        <v>3248</v>
      </c>
      <c r="F18" s="15">
        <v>3549</v>
      </c>
      <c r="G18" s="15">
        <v>4620</v>
      </c>
      <c r="H18" s="15">
        <v>4723</v>
      </c>
      <c r="I18" s="15">
        <v>4924</v>
      </c>
      <c r="J18" s="15">
        <v>5025</v>
      </c>
      <c r="K18" s="15">
        <v>5459</v>
      </c>
      <c r="L18" s="271">
        <f>(K18-J18)*100/J18</f>
        <v>8.63681592039801</v>
      </c>
      <c r="M18" s="271">
        <f>(K18-Y18)*100/Y18</f>
        <v>118.09828206152616</v>
      </c>
      <c r="N18" s="15">
        <v>1157</v>
      </c>
      <c r="O18" s="15">
        <v>1134</v>
      </c>
      <c r="P18" s="15">
        <v>1180</v>
      </c>
      <c r="Q18" s="15">
        <v>1274</v>
      </c>
      <c r="R18" s="15">
        <v>1469</v>
      </c>
      <c r="S18" s="15">
        <v>1497</v>
      </c>
      <c r="T18" s="15">
        <v>1587</v>
      </c>
      <c r="U18" s="15">
        <v>1666</v>
      </c>
      <c r="V18" s="15">
        <f>1889535/1000</f>
        <v>1889.535</v>
      </c>
      <c r="W18" s="15">
        <v>2119</v>
      </c>
      <c r="X18" s="15">
        <v>2198</v>
      </c>
      <c r="Y18" s="15">
        <v>2503</v>
      </c>
      <c r="AA18" s="98">
        <v>3548623.45</v>
      </c>
      <c r="AB18" s="3">
        <f>AA18/1000</f>
        <v>3548.62345</v>
      </c>
      <c r="AD18" s="128">
        <v>4619511.04</v>
      </c>
      <c r="AE18" s="3">
        <f>AD18/1000</f>
        <v>4619.51104</v>
      </c>
      <c r="AG18" s="3">
        <v>4723428.42</v>
      </c>
      <c r="AH18" s="3">
        <f>AG18/1000</f>
        <v>4723.42842</v>
      </c>
      <c r="AJ18" s="3">
        <v>4924429.5</v>
      </c>
      <c r="AK18" s="3">
        <f>AJ18/1000</f>
        <v>4924.4295</v>
      </c>
      <c r="AM18" s="3">
        <v>5024730.95</v>
      </c>
      <c r="AN18" s="3">
        <f>AM18/1000</f>
        <v>5024.73095</v>
      </c>
      <c r="AP18" s="3">
        <v>5458530</v>
      </c>
      <c r="AQ18" s="3">
        <f>AP18/1000</f>
        <v>5458.53</v>
      </c>
    </row>
    <row r="19" spans="1:43" ht="12.75">
      <c r="A19" s="1" t="s">
        <v>12</v>
      </c>
      <c r="B19" s="15">
        <v>4633</v>
      </c>
      <c r="C19" s="15">
        <v>4990</v>
      </c>
      <c r="D19" s="15">
        <v>6397</v>
      </c>
      <c r="E19" s="15">
        <v>6924</v>
      </c>
      <c r="F19" s="15">
        <v>8639</v>
      </c>
      <c r="G19" s="15">
        <v>9611</v>
      </c>
      <c r="H19" s="15">
        <v>11984</v>
      </c>
      <c r="I19" s="15">
        <v>13144</v>
      </c>
      <c r="J19" s="15">
        <v>13046</v>
      </c>
      <c r="K19" s="15">
        <v>13604</v>
      </c>
      <c r="L19" s="271">
        <f>(K19-J19)*100/J19</f>
        <v>4.277173079871225</v>
      </c>
      <c r="M19" s="271">
        <f>(K19-Y19)*100/Y19</f>
        <v>200.57445868316395</v>
      </c>
      <c r="N19" s="15">
        <v>2234</v>
      </c>
      <c r="O19" s="15">
        <v>2423</v>
      </c>
      <c r="P19" s="15">
        <v>2461</v>
      </c>
      <c r="Q19" s="15">
        <v>2486</v>
      </c>
      <c r="R19" s="15">
        <v>2628</v>
      </c>
      <c r="S19" s="15">
        <v>2922</v>
      </c>
      <c r="T19" s="15">
        <v>3230</v>
      </c>
      <c r="U19" s="15">
        <v>3768</v>
      </c>
      <c r="V19" s="15">
        <f>4308882/1000</f>
        <v>4308.882</v>
      </c>
      <c r="W19" s="15">
        <v>4525</v>
      </c>
      <c r="X19" s="15">
        <v>4786</v>
      </c>
      <c r="Y19" s="15">
        <v>4526</v>
      </c>
      <c r="AA19" s="98">
        <v>8638568.32</v>
      </c>
      <c r="AB19" s="3">
        <f>AA19/1000</f>
        <v>8638.56832</v>
      </c>
      <c r="AD19" s="128">
        <v>9611031</v>
      </c>
      <c r="AE19" s="3">
        <f>AD19/1000</f>
        <v>9611.031</v>
      </c>
      <c r="AG19" s="3">
        <v>11983586</v>
      </c>
      <c r="AH19" s="3">
        <f>AG19/1000</f>
        <v>11983.586</v>
      </c>
      <c r="AJ19" s="3">
        <v>13143958</v>
      </c>
      <c r="AK19" s="3">
        <f>AJ19/1000</f>
        <v>13143.958</v>
      </c>
      <c r="AM19" s="3">
        <v>13045698</v>
      </c>
      <c r="AN19" s="3">
        <f>AM19/1000</f>
        <v>13045.698</v>
      </c>
      <c r="AP19" s="3">
        <v>13603656</v>
      </c>
      <c r="AQ19" s="3">
        <f>AP19/1000</f>
        <v>13603.656</v>
      </c>
    </row>
    <row r="20" spans="1:43" ht="12.75">
      <c r="A20" s="1" t="s">
        <v>13</v>
      </c>
      <c r="B20" s="15">
        <v>3914</v>
      </c>
      <c r="C20" s="15">
        <v>4527</v>
      </c>
      <c r="D20" s="15">
        <v>5495</v>
      </c>
      <c r="E20" s="15">
        <v>5975</v>
      </c>
      <c r="F20" s="15">
        <v>7167</v>
      </c>
      <c r="G20" s="15">
        <v>8469</v>
      </c>
      <c r="H20" s="15">
        <v>9014</v>
      </c>
      <c r="I20" s="15">
        <v>9789</v>
      </c>
      <c r="J20" s="15">
        <v>10176</v>
      </c>
      <c r="K20" s="15">
        <v>9985</v>
      </c>
      <c r="L20" s="271">
        <f>(K20-J20)*100/J20</f>
        <v>-1.8769654088050314</v>
      </c>
      <c r="M20" s="271">
        <f>(K20-Y20)*100/Y20</f>
        <v>171.92265795206973</v>
      </c>
      <c r="N20" s="15">
        <v>1843</v>
      </c>
      <c r="O20" s="15">
        <v>2009</v>
      </c>
      <c r="P20" s="15">
        <v>2080</v>
      </c>
      <c r="Q20" s="15">
        <v>2141</v>
      </c>
      <c r="R20" s="15">
        <v>2143</v>
      </c>
      <c r="S20" s="15">
        <v>2404</v>
      </c>
      <c r="T20" s="15">
        <v>2441</v>
      </c>
      <c r="U20" s="15">
        <v>2714</v>
      </c>
      <c r="V20" s="15">
        <f>3030411/1000</f>
        <v>3030.411</v>
      </c>
      <c r="W20" s="15">
        <v>3502</v>
      </c>
      <c r="X20" s="15">
        <v>3774</v>
      </c>
      <c r="Y20" s="15">
        <v>3672</v>
      </c>
      <c r="AA20" s="98">
        <v>7167279.97</v>
      </c>
      <c r="AB20" s="3">
        <f>AA20/1000</f>
        <v>7167.27997</v>
      </c>
      <c r="AD20" s="128">
        <v>8468708</v>
      </c>
      <c r="AE20" s="3">
        <f>AD20/1000</f>
        <v>8468.708</v>
      </c>
      <c r="AG20" s="3">
        <v>9014282</v>
      </c>
      <c r="AH20" s="3">
        <f>AG20/1000</f>
        <v>9014.282</v>
      </c>
      <c r="AJ20" s="3">
        <v>9789152</v>
      </c>
      <c r="AK20" s="3">
        <f>AJ20/1000</f>
        <v>9789.152</v>
      </c>
      <c r="AM20" s="3">
        <v>10175706</v>
      </c>
      <c r="AN20" s="3">
        <f>AM20/1000</f>
        <v>10175.706</v>
      </c>
      <c r="AP20" s="3">
        <v>9985010</v>
      </c>
      <c r="AQ20" s="3">
        <f>AP20/1000</f>
        <v>9985.01</v>
      </c>
    </row>
    <row r="21" spans="1:43" ht="12.75">
      <c r="A21" s="1" t="s">
        <v>14</v>
      </c>
      <c r="B21" s="15">
        <v>4982</v>
      </c>
      <c r="C21" s="15">
        <v>5929</v>
      </c>
      <c r="D21" s="15">
        <v>7204</v>
      </c>
      <c r="E21" s="15">
        <v>8237</v>
      </c>
      <c r="F21" s="15">
        <v>9045</v>
      </c>
      <c r="G21" s="15">
        <v>10022</v>
      </c>
      <c r="H21" s="15">
        <v>12243</v>
      </c>
      <c r="I21" s="15">
        <v>13581</v>
      </c>
      <c r="J21" s="15">
        <v>14384</v>
      </c>
      <c r="K21" s="15">
        <v>14364</v>
      </c>
      <c r="L21" s="271">
        <f>(K21-J21)*100/J21</f>
        <v>-0.13904338153503892</v>
      </c>
      <c r="M21" s="271">
        <f>(K21-Y21)*100/Y21</f>
        <v>182.47787610619469</v>
      </c>
      <c r="N21" s="15">
        <v>3077</v>
      </c>
      <c r="O21" s="15">
        <v>3389</v>
      </c>
      <c r="P21" s="15">
        <v>3387</v>
      </c>
      <c r="Q21" s="15">
        <v>3378</v>
      </c>
      <c r="R21" s="15">
        <v>3452</v>
      </c>
      <c r="S21" s="15">
        <v>4055</v>
      </c>
      <c r="T21" s="15">
        <v>3792</v>
      </c>
      <c r="U21" s="15">
        <v>4697</v>
      </c>
      <c r="V21" s="15">
        <f>5160627/1000</f>
        <v>5160.627</v>
      </c>
      <c r="W21" s="15">
        <v>5468</v>
      </c>
      <c r="X21" s="15">
        <v>5570</v>
      </c>
      <c r="Y21" s="15">
        <v>5085</v>
      </c>
      <c r="AA21" s="98">
        <v>9045458.01</v>
      </c>
      <c r="AB21" s="3">
        <f>AA21/1000</f>
        <v>9045.45801</v>
      </c>
      <c r="AD21" s="128">
        <v>10021550</v>
      </c>
      <c r="AE21" s="3">
        <f>AD21/1000</f>
        <v>10021.55</v>
      </c>
      <c r="AG21" s="3">
        <v>12243450</v>
      </c>
      <c r="AH21" s="3">
        <f>AG21/1000</f>
        <v>12243.45</v>
      </c>
      <c r="AJ21" s="3">
        <v>13580722</v>
      </c>
      <c r="AK21" s="3">
        <f>AJ21/1000</f>
        <v>13580.722</v>
      </c>
      <c r="AM21" s="3">
        <v>14384371</v>
      </c>
      <c r="AN21" s="3">
        <f>AM21/1000</f>
        <v>14384.371</v>
      </c>
      <c r="AP21" s="3">
        <v>14363549</v>
      </c>
      <c r="AQ21" s="3">
        <f>AP21/1000</f>
        <v>14363.549</v>
      </c>
    </row>
    <row r="22" spans="1:43" ht="12.75">
      <c r="A22" s="1" t="s">
        <v>15</v>
      </c>
      <c r="B22" s="15">
        <v>3325</v>
      </c>
      <c r="C22" s="15">
        <v>3445</v>
      </c>
      <c r="D22" s="15">
        <v>3624</v>
      </c>
      <c r="E22" s="15">
        <v>4898</v>
      </c>
      <c r="F22" s="15">
        <v>5291</v>
      </c>
      <c r="G22" s="15">
        <v>5086</v>
      </c>
      <c r="H22" s="15">
        <v>5616</v>
      </c>
      <c r="I22" s="15">
        <v>5182</v>
      </c>
      <c r="J22" s="15">
        <v>6099</v>
      </c>
      <c r="K22" s="15">
        <v>5757</v>
      </c>
      <c r="L22" s="271">
        <f>(K22-J22)*100/J22</f>
        <v>-5.607476635514018</v>
      </c>
      <c r="M22" s="271">
        <f>(K22-Y22)*100/Y22</f>
        <v>93.38259993281828</v>
      </c>
      <c r="N22" s="15">
        <v>1672</v>
      </c>
      <c r="O22" s="15">
        <v>1929</v>
      </c>
      <c r="P22" s="15">
        <v>1857</v>
      </c>
      <c r="Q22" s="15">
        <v>1998</v>
      </c>
      <c r="R22" s="15">
        <v>2331</v>
      </c>
      <c r="S22" s="15">
        <v>2610</v>
      </c>
      <c r="T22" s="15">
        <v>2865</v>
      </c>
      <c r="U22" s="15">
        <v>3145</v>
      </c>
      <c r="V22" s="15">
        <f>3241113/1000</f>
        <v>3241.113</v>
      </c>
      <c r="W22" s="15">
        <v>3078</v>
      </c>
      <c r="X22" s="15">
        <v>2968</v>
      </c>
      <c r="Y22" s="15">
        <v>2977</v>
      </c>
      <c r="AA22" s="98">
        <v>5291435.5</v>
      </c>
      <c r="AB22" s="3">
        <f>AA22/1000</f>
        <v>5291.4355</v>
      </c>
      <c r="AD22" s="128">
        <v>5086031.85</v>
      </c>
      <c r="AE22" s="3">
        <f>AD22/1000</f>
        <v>5086.031849999999</v>
      </c>
      <c r="AG22" s="3">
        <v>5616463</v>
      </c>
      <c r="AH22" s="3">
        <f>AG22/1000</f>
        <v>5616.463</v>
      </c>
      <c r="AJ22" s="3">
        <v>5182023.92</v>
      </c>
      <c r="AK22" s="3">
        <f>AJ22/1000</f>
        <v>5182.02392</v>
      </c>
      <c r="AM22" s="3">
        <v>6098517</v>
      </c>
      <c r="AN22" s="3">
        <f>AM22/1000</f>
        <v>6098.517</v>
      </c>
      <c r="AP22" s="3">
        <v>5757479</v>
      </c>
      <c r="AQ22" s="3">
        <f>AP22/1000</f>
        <v>5757.479</v>
      </c>
    </row>
    <row r="23" spans="2:30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32"/>
      <c r="AD23" s="128"/>
    </row>
    <row r="24" spans="1:43" ht="12.75">
      <c r="A24" s="1" t="s">
        <v>16</v>
      </c>
      <c r="B24" s="15">
        <v>5971</v>
      </c>
      <c r="C24" s="15">
        <v>7285</v>
      </c>
      <c r="D24" s="15">
        <v>8922</v>
      </c>
      <c r="E24" s="15">
        <v>9939</v>
      </c>
      <c r="F24" s="15">
        <v>10691</v>
      </c>
      <c r="G24" s="15">
        <v>13395</v>
      </c>
      <c r="H24" s="15">
        <v>14906</v>
      </c>
      <c r="I24" s="15">
        <v>15571</v>
      </c>
      <c r="J24" s="15">
        <v>16917</v>
      </c>
      <c r="K24" s="15">
        <v>16593</v>
      </c>
      <c r="L24" s="271">
        <f>(K24-J24)*100/J24</f>
        <v>-1.915233197375421</v>
      </c>
      <c r="M24" s="271">
        <f>(K24-Y24)*100/Y24</f>
        <v>161.1014948859166</v>
      </c>
      <c r="N24" s="15">
        <v>3150</v>
      </c>
      <c r="O24" s="15">
        <v>3346</v>
      </c>
      <c r="P24" s="15">
        <v>3382</v>
      </c>
      <c r="Q24" s="15">
        <v>3761</v>
      </c>
      <c r="R24" s="15">
        <v>4075</v>
      </c>
      <c r="S24" s="15">
        <v>4007</v>
      </c>
      <c r="T24" s="15">
        <v>4593</v>
      </c>
      <c r="U24" s="15">
        <v>5002</v>
      </c>
      <c r="V24" s="15">
        <f>5526644/1000</f>
        <v>5526.644</v>
      </c>
      <c r="W24" s="15">
        <v>5726</v>
      </c>
      <c r="X24" s="15">
        <v>6265</v>
      </c>
      <c r="Y24" s="15">
        <v>6355</v>
      </c>
      <c r="AA24" s="98">
        <v>10690803.43</v>
      </c>
      <c r="AB24" s="3">
        <f>AA24/1000</f>
        <v>10690.80343</v>
      </c>
      <c r="AD24" s="128">
        <v>13394817</v>
      </c>
      <c r="AE24" s="3">
        <f>AD24/1000</f>
        <v>13394.817</v>
      </c>
      <c r="AG24" s="3">
        <v>14905849</v>
      </c>
      <c r="AH24" s="3">
        <f>AG24/1000</f>
        <v>14905.849</v>
      </c>
      <c r="AJ24" s="3">
        <v>15571457</v>
      </c>
      <c r="AK24" s="3">
        <f>AJ24/1000</f>
        <v>15571.457</v>
      </c>
      <c r="AM24" s="3">
        <v>16916810</v>
      </c>
      <c r="AN24" s="3">
        <f>AM24/1000</f>
        <v>16916.81</v>
      </c>
      <c r="AP24" s="3">
        <v>16592598</v>
      </c>
      <c r="AQ24" s="3">
        <f>AP24/1000</f>
        <v>16592.598</v>
      </c>
    </row>
    <row r="25" spans="1:43" ht="12.75">
      <c r="A25" s="1" t="s">
        <v>17</v>
      </c>
      <c r="B25" s="15">
        <v>3035</v>
      </c>
      <c r="C25" s="15">
        <v>3226</v>
      </c>
      <c r="D25" s="15">
        <v>3768</v>
      </c>
      <c r="E25" s="15">
        <v>3998</v>
      </c>
      <c r="F25" s="15">
        <v>4597</v>
      </c>
      <c r="G25" s="15">
        <v>5006</v>
      </c>
      <c r="H25" s="15">
        <v>4798</v>
      </c>
      <c r="I25" s="15">
        <v>5111</v>
      </c>
      <c r="J25" s="15">
        <v>5040</v>
      </c>
      <c r="K25" s="15">
        <v>5274</v>
      </c>
      <c r="L25" s="271">
        <f>(K25-J25)*100/J25</f>
        <v>4.642857142857143</v>
      </c>
      <c r="M25" s="271">
        <f>(K25-Y25)*100/Y25</f>
        <v>91.78181818181818</v>
      </c>
      <c r="N25" s="15">
        <v>1605</v>
      </c>
      <c r="O25" s="15">
        <v>1885</v>
      </c>
      <c r="P25" s="15">
        <v>1680</v>
      </c>
      <c r="Q25" s="15">
        <v>1864</v>
      </c>
      <c r="R25" s="15">
        <v>2024</v>
      </c>
      <c r="S25" s="15">
        <v>2066</v>
      </c>
      <c r="T25" s="15">
        <v>2771</v>
      </c>
      <c r="U25" s="15">
        <v>2290</v>
      </c>
      <c r="V25" s="15">
        <f>2608540/1000</f>
        <v>2608.54</v>
      </c>
      <c r="W25" s="15">
        <v>2565</v>
      </c>
      <c r="X25" s="15">
        <v>2750</v>
      </c>
      <c r="Y25" s="15">
        <v>2750</v>
      </c>
      <c r="AA25" s="98">
        <v>4596795.36</v>
      </c>
      <c r="AB25" s="3">
        <f>AA25/1000</f>
        <v>4596.79536</v>
      </c>
      <c r="AD25" s="128">
        <v>5005541.56</v>
      </c>
      <c r="AE25" s="3">
        <f>AD25/1000</f>
        <v>5005.54156</v>
      </c>
      <c r="AG25" s="3">
        <v>4798107.44</v>
      </c>
      <c r="AH25" s="3">
        <f>AG25/1000</f>
        <v>4798.107440000001</v>
      </c>
      <c r="AJ25" s="3">
        <v>5111040.61</v>
      </c>
      <c r="AK25" s="3">
        <f>AJ25/1000</f>
        <v>5111.04061</v>
      </c>
      <c r="AM25" s="3">
        <v>5040398.08</v>
      </c>
      <c r="AN25" s="3">
        <f>AM25/1000</f>
        <v>5040.39808</v>
      </c>
      <c r="AP25" s="3">
        <v>5274181.94</v>
      </c>
      <c r="AQ25" s="3">
        <f>AP25/1000</f>
        <v>5274.18194</v>
      </c>
    </row>
    <row r="26" spans="1:43" ht="12.75">
      <c r="A26" s="1" t="s">
        <v>18</v>
      </c>
      <c r="B26" s="15">
        <v>8890</v>
      </c>
      <c r="C26" s="15">
        <v>8683</v>
      </c>
      <c r="D26" s="15">
        <v>10459</v>
      </c>
      <c r="E26" s="15">
        <v>11452</v>
      </c>
      <c r="F26" s="15">
        <v>14522</v>
      </c>
      <c r="G26" s="15">
        <v>17580</v>
      </c>
      <c r="H26" s="15">
        <v>18815</v>
      </c>
      <c r="I26" s="15">
        <v>19675</v>
      </c>
      <c r="J26" s="15">
        <v>21412</v>
      </c>
      <c r="K26" s="15">
        <v>23031</v>
      </c>
      <c r="L26" s="271">
        <f>(K26-J26)*100/J26</f>
        <v>7.561180646366523</v>
      </c>
      <c r="M26" s="271">
        <f>(K26-Y26)*100/Y26</f>
        <v>191.8271667511404</v>
      </c>
      <c r="N26" s="15">
        <v>4877</v>
      </c>
      <c r="O26" s="15">
        <v>5228</v>
      </c>
      <c r="P26" s="15">
        <v>5578</v>
      </c>
      <c r="Q26" s="15">
        <v>6032</v>
      </c>
      <c r="R26" s="15">
        <v>6854</v>
      </c>
      <c r="S26" s="15">
        <v>7267</v>
      </c>
      <c r="T26" s="15">
        <v>7207</v>
      </c>
      <c r="U26" s="15">
        <v>7680</v>
      </c>
      <c r="V26" s="15">
        <f>8356638/1000</f>
        <v>8356.638</v>
      </c>
      <c r="W26" s="15">
        <v>8620</v>
      </c>
      <c r="X26" s="15">
        <v>8297</v>
      </c>
      <c r="Y26" s="15">
        <v>7892</v>
      </c>
      <c r="AA26" s="98">
        <v>14521833.67</v>
      </c>
      <c r="AB26" s="3">
        <f>AA26/1000</f>
        <v>14521.83367</v>
      </c>
      <c r="AD26" s="128">
        <v>17580365</v>
      </c>
      <c r="AE26" s="3">
        <f>AD26/1000</f>
        <v>17580.365</v>
      </c>
      <c r="AG26" s="3">
        <v>18815235</v>
      </c>
      <c r="AH26" s="3">
        <f>AG26/1000</f>
        <v>18815.235</v>
      </c>
      <c r="AJ26" s="3">
        <v>19675189</v>
      </c>
      <c r="AK26" s="3">
        <f>AJ26/1000</f>
        <v>19675.189</v>
      </c>
      <c r="AM26" s="3">
        <v>21412103</v>
      </c>
      <c r="AN26" s="3">
        <f>AM26/1000</f>
        <v>21412.103</v>
      </c>
      <c r="AP26" s="3">
        <v>23031331</v>
      </c>
      <c r="AQ26" s="3">
        <f>AP26/1000</f>
        <v>23031.331</v>
      </c>
    </row>
    <row r="27" spans="1:43" ht="12.75">
      <c r="A27" s="1" t="s">
        <v>19</v>
      </c>
      <c r="B27" s="15">
        <v>5407</v>
      </c>
      <c r="C27" s="15">
        <v>7342</v>
      </c>
      <c r="D27" s="15">
        <v>7309</v>
      </c>
      <c r="E27" s="15">
        <v>9140</v>
      </c>
      <c r="F27" s="15">
        <v>10152</v>
      </c>
      <c r="G27" s="15">
        <v>11280</v>
      </c>
      <c r="H27" s="15">
        <v>14474</v>
      </c>
      <c r="I27" s="15">
        <v>17975</v>
      </c>
      <c r="J27" s="15">
        <v>18545</v>
      </c>
      <c r="K27" s="15">
        <v>17491</v>
      </c>
      <c r="L27" s="271">
        <f>(K27-J27)*100/J27</f>
        <v>-5.68347263413319</v>
      </c>
      <c r="M27" s="271">
        <f>(K27-Y27)*100/Y27</f>
        <v>276.1505376344086</v>
      </c>
      <c r="N27" s="15">
        <v>2507</v>
      </c>
      <c r="O27" s="15">
        <v>2733</v>
      </c>
      <c r="P27" s="15">
        <v>2763</v>
      </c>
      <c r="Q27" s="15">
        <v>2744</v>
      </c>
      <c r="R27" s="15">
        <v>2918</v>
      </c>
      <c r="S27" s="15">
        <v>3260</v>
      </c>
      <c r="T27" s="15">
        <v>3385</v>
      </c>
      <c r="U27" s="15">
        <v>4075</v>
      </c>
      <c r="V27" s="15">
        <f>4092302/1000</f>
        <v>4092.302</v>
      </c>
      <c r="W27" s="15">
        <v>4566</v>
      </c>
      <c r="X27" s="15">
        <v>4694</v>
      </c>
      <c r="Y27" s="15">
        <v>4650</v>
      </c>
      <c r="AA27" s="98">
        <v>10151898.94</v>
      </c>
      <c r="AB27" s="3">
        <f>AA27/1000</f>
        <v>10151.89894</v>
      </c>
      <c r="AD27" s="128">
        <v>11279746</v>
      </c>
      <c r="AE27" s="3">
        <f>AD27/1000</f>
        <v>11279.746</v>
      </c>
      <c r="AG27" s="3">
        <v>14473857</v>
      </c>
      <c r="AH27" s="3">
        <f>AG27/1000</f>
        <v>14473.857</v>
      </c>
      <c r="AJ27" s="3">
        <v>17975285</v>
      </c>
      <c r="AK27" s="3">
        <f>AJ27/1000</f>
        <v>17975.285</v>
      </c>
      <c r="AM27" s="3">
        <v>18544975</v>
      </c>
      <c r="AN27" s="3">
        <f>AM27/1000</f>
        <v>18544.975</v>
      </c>
      <c r="AP27" s="3">
        <v>17491257</v>
      </c>
      <c r="AQ27" s="3">
        <f>AP27/1000</f>
        <v>17491.257</v>
      </c>
    </row>
    <row r="28" spans="1:43" ht="12.75">
      <c r="A28" s="1" t="s">
        <v>20</v>
      </c>
      <c r="B28" s="15">
        <v>1346</v>
      </c>
      <c r="C28" s="15">
        <v>1809</v>
      </c>
      <c r="D28" s="15">
        <v>2242</v>
      </c>
      <c r="E28" s="15">
        <v>2339</v>
      </c>
      <c r="F28" s="15">
        <v>2721</v>
      </c>
      <c r="G28" s="15">
        <v>3290</v>
      </c>
      <c r="H28" s="15">
        <v>3141</v>
      </c>
      <c r="I28" s="15">
        <v>2671</v>
      </c>
      <c r="J28" s="15">
        <v>2947</v>
      </c>
      <c r="K28" s="15">
        <v>3208</v>
      </c>
      <c r="L28" s="271">
        <f>(K28-J28)*100/J28</f>
        <v>8.856464200882254</v>
      </c>
      <c r="M28" s="271">
        <f>(K28-Y28)*100/Y28</f>
        <v>130.12912482065997</v>
      </c>
      <c r="N28" s="15">
        <v>622</v>
      </c>
      <c r="O28" s="15">
        <v>635</v>
      </c>
      <c r="P28" s="15">
        <v>625</v>
      </c>
      <c r="Q28" s="15">
        <v>694</v>
      </c>
      <c r="R28" s="15">
        <v>736</v>
      </c>
      <c r="S28" s="15">
        <v>893</v>
      </c>
      <c r="T28" s="15">
        <v>965</v>
      </c>
      <c r="U28" s="15">
        <v>944</v>
      </c>
      <c r="V28" s="15">
        <f>1069453/1000</f>
        <v>1069.453</v>
      </c>
      <c r="W28" s="15">
        <v>1116</v>
      </c>
      <c r="X28" s="229">
        <v>1202</v>
      </c>
      <c r="Y28" s="15">
        <v>1394</v>
      </c>
      <c r="AA28" s="98">
        <v>2720608.44</v>
      </c>
      <c r="AB28" s="3">
        <f>AA28/1000</f>
        <v>2720.60844</v>
      </c>
      <c r="AD28" s="128">
        <v>3290197.51</v>
      </c>
      <c r="AE28" s="3">
        <f>AD28/1000</f>
        <v>3290.19751</v>
      </c>
      <c r="AG28" s="3">
        <v>3140879.15</v>
      </c>
      <c r="AH28" s="3">
        <f>AG28/1000</f>
        <v>3140.8791499999998</v>
      </c>
      <c r="AJ28" s="3">
        <v>2671228.45</v>
      </c>
      <c r="AK28" s="3">
        <f>AJ28/1000</f>
        <v>2671.22845</v>
      </c>
      <c r="AM28" s="3">
        <v>2947051.49</v>
      </c>
      <c r="AN28" s="3">
        <f>AM28/1000</f>
        <v>2947.0514900000003</v>
      </c>
      <c r="AP28" s="3">
        <v>3208194.51</v>
      </c>
      <c r="AQ28" s="3">
        <f>AP28/1000</f>
        <v>3208.19451</v>
      </c>
    </row>
    <row r="29" spans="2:30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29"/>
      <c r="Y29" s="15"/>
      <c r="AA29" s="32"/>
      <c r="AD29" s="128"/>
    </row>
    <row r="30" spans="1:43" ht="12.75">
      <c r="A30" s="1" t="s">
        <v>21</v>
      </c>
      <c r="B30" s="15">
        <v>30528</v>
      </c>
      <c r="C30" s="15">
        <v>34007</v>
      </c>
      <c r="D30" s="15">
        <v>36902</v>
      </c>
      <c r="E30" s="15">
        <v>44300</v>
      </c>
      <c r="F30" s="15">
        <v>48939</v>
      </c>
      <c r="G30" s="15">
        <v>55404</v>
      </c>
      <c r="H30" s="15">
        <v>68993</v>
      </c>
      <c r="I30" s="15">
        <v>74629</v>
      </c>
      <c r="J30" s="15">
        <v>84599</v>
      </c>
      <c r="K30" s="15">
        <v>89107</v>
      </c>
      <c r="L30" s="271">
        <f>(K30-J30)*100/J30</f>
        <v>5.328668187567229</v>
      </c>
      <c r="M30" s="271">
        <f>(K30-Y30)*100/Y30</f>
        <v>201.45471768327752</v>
      </c>
      <c r="N30" s="15">
        <v>11648</v>
      </c>
      <c r="O30" s="15">
        <v>12238</v>
      </c>
      <c r="P30" s="15">
        <v>12657</v>
      </c>
      <c r="Q30" s="15">
        <v>13854</v>
      </c>
      <c r="R30" s="15">
        <v>15287</v>
      </c>
      <c r="S30" s="15">
        <v>16399</v>
      </c>
      <c r="T30" s="15">
        <v>17883</v>
      </c>
      <c r="U30" s="15">
        <v>21701</v>
      </c>
      <c r="V30" s="15">
        <f>24332744/1000</f>
        <v>24332.744</v>
      </c>
      <c r="W30" s="15">
        <v>26023</v>
      </c>
      <c r="X30" s="229">
        <v>29313</v>
      </c>
      <c r="Y30" s="15">
        <v>29559</v>
      </c>
      <c r="AA30" s="98">
        <v>48938846.97</v>
      </c>
      <c r="AB30" s="3">
        <f>AA30/1000</f>
        <v>48938.84697</v>
      </c>
      <c r="AD30" s="128">
        <v>55403842</v>
      </c>
      <c r="AE30" s="3">
        <f>AD30/1000</f>
        <v>55403.842</v>
      </c>
      <c r="AG30" s="3">
        <v>68992786</v>
      </c>
      <c r="AH30" s="3">
        <f>AG30/1000</f>
        <v>68992.786</v>
      </c>
      <c r="AJ30" s="3">
        <v>74629364</v>
      </c>
      <c r="AK30" s="3">
        <f>AJ30/1000</f>
        <v>74629.364</v>
      </c>
      <c r="AM30" s="3">
        <v>84598931</v>
      </c>
      <c r="AN30" s="3">
        <f>AM30/1000</f>
        <v>84598.931</v>
      </c>
      <c r="AP30" s="3">
        <v>89107499</v>
      </c>
      <c r="AQ30" s="3">
        <f>AP30/1000</f>
        <v>89107.499</v>
      </c>
    </row>
    <row r="31" spans="1:43" ht="12.75">
      <c r="A31" s="1" t="s">
        <v>22</v>
      </c>
      <c r="B31" s="15">
        <v>42276</v>
      </c>
      <c r="C31" s="15">
        <v>49353</v>
      </c>
      <c r="D31" s="15">
        <v>51654</v>
      </c>
      <c r="E31" s="15">
        <v>61040</v>
      </c>
      <c r="F31" s="15">
        <v>70195</v>
      </c>
      <c r="G31" s="15">
        <v>83055</v>
      </c>
      <c r="H31" s="15">
        <v>87536</v>
      </c>
      <c r="I31" s="15">
        <v>94808</v>
      </c>
      <c r="J31" s="15">
        <v>102773</v>
      </c>
      <c r="K31" s="15">
        <v>105327</v>
      </c>
      <c r="L31" s="271">
        <f>(K31-J31)*100/J31</f>
        <v>2.48508849600576</v>
      </c>
      <c r="M31" s="271">
        <f>(K31-Y31)*100/Y31</f>
        <v>154.66524819265456</v>
      </c>
      <c r="N31" s="15">
        <v>18674</v>
      </c>
      <c r="O31" s="15">
        <v>19927</v>
      </c>
      <c r="P31" s="15">
        <v>21398</v>
      </c>
      <c r="Q31" s="15">
        <v>25414</v>
      </c>
      <c r="R31" s="15">
        <v>28463</v>
      </c>
      <c r="S31" s="15">
        <v>25831</v>
      </c>
      <c r="T31" s="15">
        <v>29004</v>
      </c>
      <c r="U31" s="15">
        <v>31986</v>
      </c>
      <c r="V31" s="15">
        <f>38162085/1000</f>
        <v>38162.085</v>
      </c>
      <c r="W31" s="15">
        <v>39823</v>
      </c>
      <c r="X31" s="229">
        <v>40610</v>
      </c>
      <c r="Y31" s="15">
        <v>41359</v>
      </c>
      <c r="AA31" s="98">
        <v>70194991.77</v>
      </c>
      <c r="AB31" s="3">
        <f>AA31/1000</f>
        <v>70194.99177</v>
      </c>
      <c r="AD31" s="128">
        <v>83055271</v>
      </c>
      <c r="AE31" s="3">
        <f>AD31/1000</f>
        <v>83055.271</v>
      </c>
      <c r="AG31" s="3">
        <v>87535581</v>
      </c>
      <c r="AH31" s="3">
        <f>AG31/1000</f>
        <v>87535.581</v>
      </c>
      <c r="AJ31" s="3">
        <v>94808277</v>
      </c>
      <c r="AK31" s="3">
        <f>AJ31/1000</f>
        <v>94808.277</v>
      </c>
      <c r="AM31" s="3">
        <v>102773407</v>
      </c>
      <c r="AN31" s="3">
        <f>AM31/1000</f>
        <v>102773.407</v>
      </c>
      <c r="AP31" s="3">
        <v>105326829</v>
      </c>
      <c r="AQ31" s="3">
        <f>AP31/1000</f>
        <v>105326.829</v>
      </c>
    </row>
    <row r="32" spans="1:43" ht="12.75">
      <c r="A32" s="1" t="s">
        <v>23</v>
      </c>
      <c r="B32" s="15">
        <v>1972</v>
      </c>
      <c r="C32" s="15">
        <v>2261</v>
      </c>
      <c r="D32" s="15">
        <v>2490</v>
      </c>
      <c r="E32" s="15">
        <v>2698</v>
      </c>
      <c r="F32" s="15">
        <v>3443</v>
      </c>
      <c r="G32" s="15">
        <v>4280</v>
      </c>
      <c r="H32" s="15">
        <v>4607</v>
      </c>
      <c r="I32" s="15">
        <v>4453</v>
      </c>
      <c r="J32" s="15">
        <v>4735</v>
      </c>
      <c r="K32" s="15">
        <v>5529</v>
      </c>
      <c r="L32" s="271">
        <f>(K32-J32)*100/J32</f>
        <v>16.768743400211193</v>
      </c>
      <c r="M32" s="271">
        <f>(K32-Y32)*100/Y32</f>
        <v>227.74155305275636</v>
      </c>
      <c r="N32" s="15">
        <v>1253</v>
      </c>
      <c r="O32" s="15">
        <v>1412</v>
      </c>
      <c r="P32" s="15">
        <v>1393</v>
      </c>
      <c r="Q32" s="15">
        <v>1465</v>
      </c>
      <c r="R32" s="15">
        <v>1591</v>
      </c>
      <c r="S32" s="15">
        <v>1624</v>
      </c>
      <c r="T32" s="15">
        <v>1724</v>
      </c>
      <c r="U32" s="15">
        <v>2018</v>
      </c>
      <c r="V32" s="15">
        <f>1744062/1000</f>
        <v>1744.062</v>
      </c>
      <c r="W32" s="15">
        <v>1808</v>
      </c>
      <c r="X32" s="15">
        <v>1798</v>
      </c>
      <c r="Y32" s="15">
        <v>1687</v>
      </c>
      <c r="AA32" s="98">
        <v>3443457.22</v>
      </c>
      <c r="AB32" s="3">
        <f>AA32/1000</f>
        <v>3443.4572200000002</v>
      </c>
      <c r="AD32" s="128">
        <v>4279865.55</v>
      </c>
      <c r="AE32" s="3">
        <f>AD32/1000</f>
        <v>4279.8655499999995</v>
      </c>
      <c r="AG32" s="3">
        <v>4607058.5</v>
      </c>
      <c r="AH32" s="3">
        <f>AG32/1000</f>
        <v>4607.0585</v>
      </c>
      <c r="AJ32" s="3">
        <v>4453155.9</v>
      </c>
      <c r="AK32" s="3">
        <f>AJ32/1000</f>
        <v>4453.155900000001</v>
      </c>
      <c r="AM32" s="3">
        <v>4735390.99</v>
      </c>
      <c r="AN32" s="3">
        <f>AM32/1000</f>
        <v>4735.39099</v>
      </c>
      <c r="AP32" s="3">
        <v>5529258</v>
      </c>
      <c r="AQ32" s="3">
        <f>AP32/1000</f>
        <v>5529.258</v>
      </c>
    </row>
    <row r="33" spans="1:43" ht="12.75">
      <c r="A33" s="1" t="s">
        <v>24</v>
      </c>
      <c r="B33" s="15">
        <v>5597</v>
      </c>
      <c r="C33" s="15">
        <v>5662</v>
      </c>
      <c r="D33" s="15">
        <v>6128</v>
      </c>
      <c r="E33" s="15">
        <v>7820</v>
      </c>
      <c r="F33" s="15">
        <v>9269</v>
      </c>
      <c r="G33" s="15">
        <v>11272</v>
      </c>
      <c r="H33" s="15">
        <v>12053</v>
      </c>
      <c r="I33" s="15">
        <v>13069</v>
      </c>
      <c r="J33" s="15">
        <v>13832</v>
      </c>
      <c r="K33" s="15">
        <v>13006</v>
      </c>
      <c r="L33" s="271">
        <f>(K33-J33)*100/J33</f>
        <v>-5.97165991902834</v>
      </c>
      <c r="M33" s="271">
        <f>(K33-Y33)*100/Y33</f>
        <v>144.70366886171215</v>
      </c>
      <c r="N33" s="15">
        <v>3379</v>
      </c>
      <c r="O33" s="15">
        <v>3837</v>
      </c>
      <c r="P33" s="15">
        <v>3886</v>
      </c>
      <c r="Q33" s="15">
        <v>4107</v>
      </c>
      <c r="R33" s="15">
        <v>4041</v>
      </c>
      <c r="S33" s="15">
        <v>4172</v>
      </c>
      <c r="T33" s="15">
        <v>4371</v>
      </c>
      <c r="U33" s="15">
        <v>6033</v>
      </c>
      <c r="V33" s="15">
        <f>5272740/1000</f>
        <v>5272.74</v>
      </c>
      <c r="W33" s="15">
        <v>5264</v>
      </c>
      <c r="X33" s="15">
        <v>5623</v>
      </c>
      <c r="Y33" s="15">
        <v>5315</v>
      </c>
      <c r="AA33" s="98">
        <v>9269128.35</v>
      </c>
      <c r="AB33" s="3">
        <f>AA33/1000</f>
        <v>9269.128349999999</v>
      </c>
      <c r="AD33" s="128">
        <v>11271973</v>
      </c>
      <c r="AE33" s="3">
        <f>AD33/1000</f>
        <v>11271.973</v>
      </c>
      <c r="AG33" s="3">
        <v>12052986</v>
      </c>
      <c r="AH33" s="3">
        <f>AG33/1000</f>
        <v>12052.986</v>
      </c>
      <c r="AJ33" s="3">
        <v>13069164</v>
      </c>
      <c r="AK33" s="3">
        <f>AJ33/1000</f>
        <v>13069.164</v>
      </c>
      <c r="AM33" s="3">
        <v>13832065</v>
      </c>
      <c r="AN33" s="3">
        <f>AM33/1000</f>
        <v>13832.065</v>
      </c>
      <c r="AP33" s="3">
        <v>13005687</v>
      </c>
      <c r="AQ33" s="3">
        <f>AP33/1000</f>
        <v>13005.687</v>
      </c>
    </row>
    <row r="34" spans="1:43" ht="12.75">
      <c r="A34" s="1" t="s">
        <v>25</v>
      </c>
      <c r="B34" s="15">
        <v>2697</v>
      </c>
      <c r="C34" s="15">
        <v>3062</v>
      </c>
      <c r="D34" s="15">
        <v>3255</v>
      </c>
      <c r="E34" s="15">
        <v>3488</v>
      </c>
      <c r="F34" s="15">
        <v>3796</v>
      </c>
      <c r="G34" s="15">
        <v>4611</v>
      </c>
      <c r="H34" s="15">
        <v>3989</v>
      </c>
      <c r="I34" s="15">
        <v>4212</v>
      </c>
      <c r="J34" s="15">
        <v>4501</v>
      </c>
      <c r="K34" s="15">
        <v>4208</v>
      </c>
      <c r="L34" s="271">
        <f>(K34-J34)*100/J34</f>
        <v>-6.509664518995779</v>
      </c>
      <c r="M34" s="271">
        <f>(K34-Y34)*100/Y34</f>
        <v>70.15770319450061</v>
      </c>
      <c r="N34" s="15">
        <v>1608</v>
      </c>
      <c r="O34" s="15">
        <v>1615</v>
      </c>
      <c r="P34" s="15">
        <v>1432</v>
      </c>
      <c r="Q34" s="15">
        <v>1763</v>
      </c>
      <c r="R34" s="15">
        <v>2205</v>
      </c>
      <c r="S34" s="15">
        <v>2002</v>
      </c>
      <c r="T34" s="15">
        <v>2233</v>
      </c>
      <c r="U34" s="15">
        <v>2305</v>
      </c>
      <c r="V34" s="15">
        <f>2453963/1000</f>
        <v>2453.963</v>
      </c>
      <c r="W34" s="15">
        <v>2364</v>
      </c>
      <c r="X34" s="15">
        <v>2575</v>
      </c>
      <c r="Y34" s="15">
        <v>2473</v>
      </c>
      <c r="AA34" s="98">
        <v>3796042.4</v>
      </c>
      <c r="AB34" s="3">
        <f>AA34/1000</f>
        <v>3796.0424</v>
      </c>
      <c r="AD34" s="128">
        <v>4610949.21</v>
      </c>
      <c r="AE34" s="3">
        <f>AD34/1000</f>
        <v>4610.94921</v>
      </c>
      <c r="AG34" s="3">
        <v>3988880.69</v>
      </c>
      <c r="AH34" s="3">
        <f>AG34/1000</f>
        <v>3988.88069</v>
      </c>
      <c r="AJ34" s="3">
        <v>4212302.31</v>
      </c>
      <c r="AK34" s="3">
        <f>AJ34/1000</f>
        <v>4212.30231</v>
      </c>
      <c r="AM34" s="3">
        <v>4500996.32</v>
      </c>
      <c r="AN34" s="3">
        <f>AM34/1000</f>
        <v>4500.99632</v>
      </c>
      <c r="AP34" s="3">
        <v>4208363.35</v>
      </c>
      <c r="AQ34" s="3">
        <f>AP34/1000</f>
        <v>4208.36335</v>
      </c>
    </row>
    <row r="35" spans="2:30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32"/>
      <c r="AD35" s="128"/>
    </row>
    <row r="36" spans="1:43" ht="12.75">
      <c r="A36" s="1" t="s">
        <v>26</v>
      </c>
      <c r="B36" s="15">
        <v>1450</v>
      </c>
      <c r="C36" s="15">
        <v>1675</v>
      </c>
      <c r="D36" s="15">
        <v>2181</v>
      </c>
      <c r="E36" s="15">
        <v>2518</v>
      </c>
      <c r="F36" s="15">
        <v>3121</v>
      </c>
      <c r="G36" s="15">
        <v>3433</v>
      </c>
      <c r="H36" s="15">
        <v>4135</v>
      </c>
      <c r="I36" s="15">
        <v>3308</v>
      </c>
      <c r="J36" s="15">
        <v>3079</v>
      </c>
      <c r="K36" s="15">
        <v>3204</v>
      </c>
      <c r="L36" s="271">
        <f>(K36-J36)*100/J36</f>
        <v>4.059759662227996</v>
      </c>
      <c r="M36" s="271">
        <f>(K36-Y36)*100/Y36</f>
        <v>130.33788641265278</v>
      </c>
      <c r="N36" s="15">
        <v>911</v>
      </c>
      <c r="O36" s="15">
        <v>919</v>
      </c>
      <c r="P36" s="15">
        <v>770</v>
      </c>
      <c r="Q36" s="15">
        <v>828</v>
      </c>
      <c r="R36" s="15">
        <v>933</v>
      </c>
      <c r="S36" s="15">
        <v>1399</v>
      </c>
      <c r="T36" s="15">
        <v>1283</v>
      </c>
      <c r="U36" s="15">
        <v>1285</v>
      </c>
      <c r="V36" s="15">
        <f>1472053/1000</f>
        <v>1472.053</v>
      </c>
      <c r="W36" s="15">
        <v>1392</v>
      </c>
      <c r="X36" s="15">
        <v>1295</v>
      </c>
      <c r="Y36" s="15">
        <v>1391</v>
      </c>
      <c r="AA36" s="98">
        <v>3121132.02</v>
      </c>
      <c r="AB36" s="3">
        <f>AA36/1000</f>
        <v>3121.13202</v>
      </c>
      <c r="AD36" s="128">
        <v>3433428.16</v>
      </c>
      <c r="AE36" s="3">
        <f>AD36/1000</f>
        <v>3433.42816</v>
      </c>
      <c r="AG36" s="3">
        <v>4134635.44</v>
      </c>
      <c r="AH36" s="3">
        <f>AG36/1000</f>
        <v>4134.63544</v>
      </c>
      <c r="AJ36" s="3">
        <v>3308308.47</v>
      </c>
      <c r="AK36" s="3">
        <f>AJ36/1000</f>
        <v>3308.3084700000004</v>
      </c>
      <c r="AM36" s="3">
        <v>3078642.35</v>
      </c>
      <c r="AN36" s="3">
        <f>AM36/1000</f>
        <v>3078.64235</v>
      </c>
      <c r="AP36" s="3">
        <v>3204280.57</v>
      </c>
      <c r="AQ36" s="3">
        <f>AP36/1000</f>
        <v>3204.28057</v>
      </c>
    </row>
    <row r="37" spans="1:43" ht="12.75">
      <c r="A37" s="1" t="s">
        <v>27</v>
      </c>
      <c r="B37" s="15">
        <v>6995</v>
      </c>
      <c r="C37" s="15">
        <v>7222</v>
      </c>
      <c r="D37" s="15">
        <v>8684</v>
      </c>
      <c r="E37" s="15">
        <v>9776</v>
      </c>
      <c r="F37" s="15">
        <v>10092</v>
      </c>
      <c r="G37" s="15">
        <v>11026</v>
      </c>
      <c r="H37" s="15">
        <v>12325</v>
      </c>
      <c r="I37" s="15">
        <v>13012</v>
      </c>
      <c r="J37" s="15">
        <v>14252</v>
      </c>
      <c r="K37" s="15">
        <v>15466</v>
      </c>
      <c r="L37" s="271">
        <f>(K37-J37)*100/J37</f>
        <v>8.518102722424922</v>
      </c>
      <c r="M37" s="271">
        <f>(K37-Y37)*100/Y37</f>
        <v>114.62669997224535</v>
      </c>
      <c r="N37" s="15">
        <v>4598</v>
      </c>
      <c r="O37" s="15">
        <v>4515</v>
      </c>
      <c r="P37" s="15">
        <v>4625</v>
      </c>
      <c r="Q37" s="15">
        <v>5045</v>
      </c>
      <c r="R37" s="15">
        <v>5106</v>
      </c>
      <c r="S37" s="15">
        <v>5237</v>
      </c>
      <c r="T37" s="15">
        <v>5515</v>
      </c>
      <c r="U37" s="15">
        <v>6641</v>
      </c>
      <c r="V37" s="15">
        <f>6673421/1000</f>
        <v>6673.421</v>
      </c>
      <c r="W37" s="15">
        <v>7261</v>
      </c>
      <c r="X37" s="15">
        <v>7633</v>
      </c>
      <c r="Y37" s="15">
        <v>7206</v>
      </c>
      <c r="AA37" s="98">
        <v>10092108.57</v>
      </c>
      <c r="AB37" s="3">
        <f>AA37/1000</f>
        <v>10092.10857</v>
      </c>
      <c r="AD37" s="128">
        <v>11026455</v>
      </c>
      <c r="AE37" s="3">
        <f>AD37/1000</f>
        <v>11026.455</v>
      </c>
      <c r="AG37" s="3">
        <v>12324931</v>
      </c>
      <c r="AH37" s="3">
        <f>AG37/1000</f>
        <v>12324.931</v>
      </c>
      <c r="AJ37" s="3">
        <v>13012358</v>
      </c>
      <c r="AK37" s="3">
        <f>AJ37/1000</f>
        <v>13012.358</v>
      </c>
      <c r="AM37" s="3">
        <v>14251701</v>
      </c>
      <c r="AN37" s="3">
        <f>AM37/1000</f>
        <v>14251.701</v>
      </c>
      <c r="AP37" s="3">
        <v>15466229</v>
      </c>
      <c r="AQ37" s="3">
        <f>AP37/1000</f>
        <v>15466.229</v>
      </c>
    </row>
    <row r="38" spans="1:43" ht="12.75">
      <c r="A38" s="1" t="s">
        <v>28</v>
      </c>
      <c r="B38" s="15">
        <v>5375</v>
      </c>
      <c r="C38" s="15">
        <v>6382</v>
      </c>
      <c r="D38" s="15">
        <v>7733</v>
      </c>
      <c r="E38" s="15">
        <v>8579</v>
      </c>
      <c r="F38" s="15">
        <v>9419</v>
      </c>
      <c r="G38" s="15">
        <v>10270</v>
      </c>
      <c r="H38" s="15">
        <v>11796</v>
      </c>
      <c r="I38" s="15">
        <v>12652</v>
      </c>
      <c r="J38" s="15">
        <v>13443</v>
      </c>
      <c r="K38" s="15">
        <v>13981</v>
      </c>
      <c r="L38" s="271">
        <f>(K38-J38)*100/J38</f>
        <v>4.002082868407349</v>
      </c>
      <c r="M38" s="271">
        <f>(K38-Y38)*100/Y38</f>
        <v>196.20762711864407</v>
      </c>
      <c r="N38" s="15">
        <v>2263</v>
      </c>
      <c r="O38" s="15">
        <v>2319</v>
      </c>
      <c r="P38" s="15">
        <v>2328</v>
      </c>
      <c r="Q38" s="15">
        <v>2519</v>
      </c>
      <c r="R38" s="15">
        <v>2670</v>
      </c>
      <c r="S38" s="15">
        <v>2985</v>
      </c>
      <c r="T38" s="15">
        <v>3668</v>
      </c>
      <c r="U38" s="15">
        <v>4203</v>
      </c>
      <c r="V38" s="15">
        <f>4554038/1000</f>
        <v>4554.038</v>
      </c>
      <c r="W38" s="15">
        <v>4213</v>
      </c>
      <c r="X38" s="15">
        <v>4479</v>
      </c>
      <c r="Y38" s="15">
        <v>4720</v>
      </c>
      <c r="AA38" s="98">
        <v>9418669.05</v>
      </c>
      <c r="AB38" s="3">
        <f>AA38/1000</f>
        <v>9418.66905</v>
      </c>
      <c r="AD38" s="128">
        <v>10270028</v>
      </c>
      <c r="AE38" s="3">
        <f>AD38/1000</f>
        <v>10270.028</v>
      </c>
      <c r="AG38" s="3">
        <v>11796343</v>
      </c>
      <c r="AH38" s="3">
        <f>AG38/1000</f>
        <v>11796.343</v>
      </c>
      <c r="AJ38" s="3">
        <v>12651976</v>
      </c>
      <c r="AK38" s="3">
        <f>AJ38/1000</f>
        <v>12651.976</v>
      </c>
      <c r="AM38" s="3">
        <v>13442515</v>
      </c>
      <c r="AN38" s="3">
        <f>AM38/1000</f>
        <v>13442.515</v>
      </c>
      <c r="AP38" s="3">
        <v>13980766</v>
      </c>
      <c r="AQ38" s="3">
        <f>AP38/1000</f>
        <v>13980.766</v>
      </c>
    </row>
    <row r="39" spans="1:43" ht="12.75">
      <c r="A39" s="18" t="s">
        <v>29</v>
      </c>
      <c r="B39" s="15">
        <v>2929</v>
      </c>
      <c r="C39" s="15">
        <v>3642</v>
      </c>
      <c r="D39" s="15">
        <v>4154</v>
      </c>
      <c r="E39" s="15">
        <v>4266</v>
      </c>
      <c r="F39" s="15">
        <v>4911</v>
      </c>
      <c r="G39" s="15">
        <v>6053</v>
      </c>
      <c r="H39" s="15">
        <v>7005</v>
      </c>
      <c r="I39" s="15">
        <v>6769</v>
      </c>
      <c r="J39" s="15">
        <v>7368</v>
      </c>
      <c r="K39" s="15">
        <v>7341</v>
      </c>
      <c r="L39" s="271">
        <f>(K39-J39)*100/J39</f>
        <v>-0.36644951140065146</v>
      </c>
      <c r="M39" s="271">
        <f>(K39-Y39)*100/Y39</f>
        <v>183.21759259259258</v>
      </c>
      <c r="N39" s="25">
        <v>1383</v>
      </c>
      <c r="O39" s="25">
        <v>1482</v>
      </c>
      <c r="P39" s="25">
        <v>1582</v>
      </c>
      <c r="Q39" s="25">
        <v>1694</v>
      </c>
      <c r="R39" s="25">
        <v>1848</v>
      </c>
      <c r="S39" s="25">
        <v>2060</v>
      </c>
      <c r="T39" s="25">
        <v>2258</v>
      </c>
      <c r="U39" s="25">
        <v>2299</v>
      </c>
      <c r="V39" s="25">
        <v>2299</v>
      </c>
      <c r="W39" s="25">
        <v>2433</v>
      </c>
      <c r="X39" s="15">
        <v>2444</v>
      </c>
      <c r="Y39" s="15">
        <v>2592</v>
      </c>
      <c r="AA39" s="99">
        <v>4910668.03</v>
      </c>
      <c r="AB39" s="3">
        <f>AA39/1000</f>
        <v>4910.66803</v>
      </c>
      <c r="AD39" s="130">
        <v>6052795</v>
      </c>
      <c r="AE39" s="3">
        <f>AD39/1000</f>
        <v>6052.795</v>
      </c>
      <c r="AG39" s="3">
        <v>7005487</v>
      </c>
      <c r="AH39" s="3">
        <f>AG39/1000</f>
        <v>7005.487</v>
      </c>
      <c r="AJ39" s="3">
        <v>6769035</v>
      </c>
      <c r="AK39" s="3">
        <f>AJ39/1000</f>
        <v>6769.035</v>
      </c>
      <c r="AM39" s="3">
        <v>7368409</v>
      </c>
      <c r="AN39" s="3">
        <f>AM39/1000</f>
        <v>7368.409</v>
      </c>
      <c r="AP39" s="3">
        <v>7341488</v>
      </c>
      <c r="AQ39" s="3">
        <f>AP39/1000</f>
        <v>7341.488</v>
      </c>
    </row>
    <row r="40" spans="1:25" ht="12.75">
      <c r="A40" s="1" t="s">
        <v>237</v>
      </c>
      <c r="B40" s="20"/>
      <c r="C40" s="20"/>
      <c r="D40" s="20"/>
      <c r="E40" s="20"/>
      <c r="F40" s="19"/>
      <c r="G40" s="19"/>
      <c r="H40" s="19"/>
      <c r="I40" s="19"/>
      <c r="J40" s="19"/>
      <c r="K40" s="19"/>
      <c r="L40" s="19"/>
      <c r="M40" s="19"/>
      <c r="N40" s="19"/>
      <c r="O40" s="26"/>
      <c r="Q40" s="20"/>
      <c r="R40" s="20"/>
      <c r="S40" s="20"/>
      <c r="W40" s="20"/>
      <c r="X40" s="20"/>
      <c r="Y40" s="20"/>
    </row>
    <row r="41" spans="2:25" ht="12.75">
      <c r="B41" s="15"/>
      <c r="C41" s="15"/>
      <c r="D41" s="15"/>
      <c r="E41" s="15"/>
      <c r="O41" s="16"/>
      <c r="Q41" s="15"/>
      <c r="R41" s="15"/>
      <c r="S41" s="15"/>
      <c r="W41" s="15"/>
      <c r="X41" s="15"/>
      <c r="Y41" s="15"/>
    </row>
    <row r="42" spans="1:25" ht="12.75">
      <c r="A42" s="3"/>
      <c r="B42" s="15"/>
      <c r="C42" s="15"/>
      <c r="D42" s="15"/>
      <c r="E42" s="15"/>
      <c r="O42" s="16"/>
      <c r="Q42" s="15"/>
      <c r="R42" s="15"/>
      <c r="S42" s="15"/>
      <c r="W42" s="15"/>
      <c r="X42" s="15"/>
      <c r="Y42" s="15"/>
    </row>
    <row r="43" spans="2:25" ht="12.75">
      <c r="B43" s="15"/>
      <c r="C43" s="15"/>
      <c r="D43" s="15"/>
      <c r="E43" s="15"/>
      <c r="O43" s="16"/>
      <c r="Q43" s="15"/>
      <c r="R43" s="15"/>
      <c r="S43" s="15"/>
      <c r="W43" s="15"/>
      <c r="X43" s="15"/>
      <c r="Y43" s="15"/>
    </row>
    <row r="44" spans="2:25" ht="12.75">
      <c r="B44" s="15"/>
      <c r="C44" s="15"/>
      <c r="D44" s="15"/>
      <c r="E44" s="15"/>
      <c r="O44" s="16"/>
      <c r="Q44" s="15"/>
      <c r="R44" s="15"/>
      <c r="S44" s="15"/>
      <c r="W44" s="15"/>
      <c r="X44" s="15"/>
      <c r="Y44" s="15"/>
    </row>
    <row r="45" spans="2:25" ht="12.75">
      <c r="B45" s="15"/>
      <c r="C45" s="15"/>
      <c r="D45" s="15"/>
      <c r="E45" s="15"/>
      <c r="O45" s="16"/>
      <c r="Q45" s="15"/>
      <c r="R45" s="15"/>
      <c r="S45" s="15"/>
      <c r="W45" s="15"/>
      <c r="X45" s="15"/>
      <c r="Y45" s="15"/>
    </row>
    <row r="46" spans="2:25" ht="12.75">
      <c r="B46" s="15"/>
      <c r="C46" s="15"/>
      <c r="D46" s="15"/>
      <c r="E46" s="15"/>
      <c r="O46" s="16"/>
      <c r="Y46" s="15"/>
    </row>
    <row r="47" spans="2:25" ht="12.75">
      <c r="B47" s="15"/>
      <c r="C47" s="15"/>
      <c r="D47" s="15"/>
      <c r="E47" s="15"/>
      <c r="O47" s="16"/>
      <c r="Y47" s="15"/>
    </row>
    <row r="48" spans="2:25" ht="12.75">
      <c r="B48" s="15"/>
      <c r="C48" s="15"/>
      <c r="D48" s="15"/>
      <c r="E48" s="15"/>
      <c r="O48" s="16"/>
      <c r="Y48" s="15"/>
    </row>
    <row r="49" spans="2:25" ht="12.75">
      <c r="B49" s="15"/>
      <c r="C49" s="15"/>
      <c r="D49" s="15"/>
      <c r="E49" s="15"/>
      <c r="O49" s="16"/>
      <c r="Y49" s="15"/>
    </row>
    <row r="50" spans="2:25" ht="12.75">
      <c r="B50" s="15"/>
      <c r="C50" s="15"/>
      <c r="D50" s="15"/>
      <c r="E50" s="15"/>
      <c r="O50" s="16"/>
      <c r="Y50" s="15"/>
    </row>
    <row r="51" spans="2:25" ht="12.75">
      <c r="B51" s="15"/>
      <c r="C51" s="15"/>
      <c r="D51" s="15"/>
      <c r="E51" s="15"/>
      <c r="O51" s="16"/>
      <c r="Y51" s="15"/>
    </row>
    <row r="52" spans="2:25" ht="12.75">
      <c r="B52" s="15"/>
      <c r="C52" s="15"/>
      <c r="D52" s="15"/>
      <c r="E52" s="15"/>
      <c r="O52" s="16"/>
      <c r="Y52" s="15"/>
    </row>
    <row r="53" ht="12.75">
      <c r="O53" s="17"/>
    </row>
    <row r="54" ht="12.75">
      <c r="O54" s="17"/>
    </row>
    <row r="55" ht="12.75">
      <c r="O55" s="17"/>
    </row>
    <row r="56" ht="12.75">
      <c r="O56" s="17"/>
    </row>
    <row r="57" ht="12.75">
      <c r="O57" s="17"/>
    </row>
    <row r="58" ht="12.75">
      <c r="O58" s="17"/>
    </row>
  </sheetData>
  <sheetProtection password="CAF5" sheet="1" objects="1" scenarios="1"/>
  <mergeCells count="4">
    <mergeCell ref="AG9:AH9"/>
    <mergeCell ref="AJ9:AK9"/>
    <mergeCell ref="AM9:AN9"/>
    <mergeCell ref="AP9:AQ9"/>
  </mergeCells>
  <printOptions/>
  <pageMargins left="0.54" right="0.45" top="1" bottom="0.87" header="0.5" footer="0.5"/>
  <pageSetup fitToHeight="1" fitToWidth="1" orientation="landscape" scale="76" r:id="rId1"/>
  <headerFooter alignWithMargins="0">
    <oddFooter>&amp;L&amp;"Lucida Sans,Italic"&amp;10MSDE-DBS  10 / 2007
&amp;C- 5 -&amp;R&amp;"Lucida Sans,Italic"&amp;10Selected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workbookViewId="0" topLeftCell="C1">
      <selection activeCell="F8" sqref="F8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0390625" style="3" bestFit="1" customWidth="1"/>
    <col min="24" max="24" width="10.125" style="1" customWidth="1"/>
    <col min="25" max="25" width="12.625" style="1" customWidth="1"/>
    <col min="26" max="26" width="4.375" style="3" customWidth="1"/>
    <col min="27" max="27" width="12.50390625" style="3" bestFit="1" customWidth="1"/>
    <col min="28" max="28" width="12.875" style="3" customWidth="1"/>
    <col min="29" max="29" width="3.125" style="3" customWidth="1"/>
    <col min="30" max="31" width="12.875" style="3" customWidth="1"/>
    <col min="32" max="32" width="5.625" style="3" customWidth="1"/>
    <col min="33" max="36" width="12.875" style="3" customWidth="1"/>
    <col min="37" max="37" width="5.75390625" style="3" customWidth="1"/>
    <col min="38" max="39" width="12.875" style="3" customWidth="1"/>
    <col min="40" max="40" width="10.125" style="3" customWidth="1"/>
    <col min="41" max="41" width="13.375" style="3" customWidth="1"/>
    <col min="42" max="16384" width="12.875" style="3" customWidth="1"/>
  </cols>
  <sheetData>
    <row r="1" spans="1:25" s="134" customFormat="1" ht="15.75" customHeight="1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02"/>
      <c r="Q1" s="2"/>
      <c r="R1" s="2"/>
      <c r="S1" s="2"/>
      <c r="T1" s="102"/>
      <c r="U1" s="102"/>
      <c r="V1" s="102"/>
      <c r="X1" s="10"/>
      <c r="Y1" s="123"/>
    </row>
    <row r="2" spans="1:25" s="134" customFormat="1" ht="12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02"/>
      <c r="Q2" s="2"/>
      <c r="R2" s="2"/>
      <c r="S2" s="2"/>
      <c r="T2" s="102"/>
      <c r="U2" s="102"/>
      <c r="V2" s="102"/>
      <c r="X2" s="2"/>
      <c r="Y2" s="123"/>
    </row>
    <row r="3" spans="1:25" s="231" customFormat="1" ht="12.75">
      <c r="A3" s="230" t="s">
        <v>190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119"/>
      <c r="P3" s="119"/>
      <c r="Q3" s="119"/>
      <c r="R3" s="119"/>
      <c r="S3" s="119"/>
      <c r="T3" s="119"/>
      <c r="U3" s="119"/>
      <c r="V3" s="119"/>
      <c r="X3" s="119"/>
      <c r="Y3" s="119"/>
    </row>
    <row r="4" spans="1:25" s="231" customFormat="1" ht="12.75">
      <c r="A4" s="230" t="s">
        <v>215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119"/>
      <c r="P4" s="119"/>
      <c r="Q4" s="119"/>
      <c r="R4" s="119"/>
      <c r="S4" s="119"/>
      <c r="T4" s="119"/>
      <c r="U4" s="119"/>
      <c r="V4" s="119"/>
      <c r="X4" s="119"/>
      <c r="Y4" s="119"/>
    </row>
    <row r="5" ht="13.5" thickBot="1"/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5"/>
      <c r="Y6" s="5"/>
      <c r="Z6" s="7"/>
    </row>
    <row r="7" spans="12:26" ht="12.75">
      <c r="L7" s="6" t="s">
        <v>34</v>
      </c>
      <c r="M7" s="6"/>
      <c r="W7" s="1"/>
      <c r="Z7" s="1"/>
    </row>
    <row r="8" spans="3:42" ht="12.75"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W8" s="1"/>
      <c r="Z8" s="1"/>
      <c r="AP8" s="3" t="s">
        <v>216</v>
      </c>
    </row>
    <row r="9" spans="1:42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6" t="s">
        <v>181</v>
      </c>
      <c r="X9" s="36" t="s">
        <v>182</v>
      </c>
      <c r="Y9" s="36" t="s">
        <v>183</v>
      </c>
      <c r="Z9" s="7"/>
      <c r="AA9" s="291" t="s">
        <v>107</v>
      </c>
      <c r="AB9" s="291"/>
      <c r="AD9" s="291" t="s">
        <v>163</v>
      </c>
      <c r="AE9" s="291"/>
      <c r="AG9" s="291" t="s">
        <v>171</v>
      </c>
      <c r="AH9" s="291"/>
      <c r="AI9" s="291" t="s">
        <v>187</v>
      </c>
      <c r="AJ9" s="291"/>
      <c r="AL9" s="291" t="s">
        <v>197</v>
      </c>
      <c r="AM9" s="291"/>
      <c r="AO9" s="21" t="s">
        <v>217</v>
      </c>
      <c r="AP9" s="21" t="s">
        <v>217</v>
      </c>
    </row>
    <row r="10" spans="1:45" ht="13.5" thickTop="1">
      <c r="A10" s="7" t="s">
        <v>5</v>
      </c>
      <c r="B10" s="13">
        <f aca="true" t="shared" si="0" ref="B10:K10">SUM(B12:B39)</f>
        <v>6121487</v>
      </c>
      <c r="C10" s="13">
        <f t="shared" si="0"/>
        <v>6416894</v>
      </c>
      <c r="D10" s="13">
        <f t="shared" si="0"/>
        <v>6762380</v>
      </c>
      <c r="E10" s="13">
        <f t="shared" si="0"/>
        <v>7264200</v>
      </c>
      <c r="F10" s="13">
        <f t="shared" si="0"/>
        <v>7837675</v>
      </c>
      <c r="G10" s="13">
        <f t="shared" si="0"/>
        <v>8400373</v>
      </c>
      <c r="H10" s="13">
        <f t="shared" si="0"/>
        <v>8611075</v>
      </c>
      <c r="I10" s="13">
        <f t="shared" si="0"/>
        <v>8819712</v>
      </c>
      <c r="J10" s="13">
        <f t="shared" si="0"/>
        <v>9585235</v>
      </c>
      <c r="K10" s="13">
        <f t="shared" si="0"/>
        <v>10433445.607500002</v>
      </c>
      <c r="L10" s="271">
        <f>(K10-J10)*100/J10</f>
        <v>8.84913731901202</v>
      </c>
      <c r="M10" s="271">
        <f>(K10-Y10)*100/Y10</f>
        <v>81.81641016887662</v>
      </c>
      <c r="N10" s="14">
        <v>2652857</v>
      </c>
      <c r="O10" s="11">
        <v>2879791</v>
      </c>
      <c r="P10" s="11">
        <v>3125899</v>
      </c>
      <c r="Q10" s="11">
        <v>3471375</v>
      </c>
      <c r="R10" s="11">
        <f aca="true" t="shared" si="1" ref="R10:W10">SUM(R12:R39)</f>
        <v>3811804</v>
      </c>
      <c r="S10" s="11">
        <f t="shared" si="1"/>
        <v>4272192</v>
      </c>
      <c r="T10" s="11">
        <f t="shared" si="1"/>
        <v>4588943</v>
      </c>
      <c r="U10" s="11">
        <f t="shared" si="1"/>
        <v>4666881</v>
      </c>
      <c r="V10" s="11">
        <f t="shared" si="1"/>
        <v>5073317.250000001</v>
      </c>
      <c r="W10" s="11">
        <f t="shared" si="1"/>
        <v>5279159</v>
      </c>
      <c r="X10" s="13">
        <f>SUM(X12:X39)</f>
        <v>5547321</v>
      </c>
      <c r="Y10" s="13">
        <f>SUM(Y12:Y39)</f>
        <v>5738451</v>
      </c>
      <c r="Z10" s="11"/>
      <c r="AA10" s="11">
        <f>SUM(AA12:AA39)</f>
        <v>7837675131</v>
      </c>
      <c r="AB10" s="11">
        <f>SUM(AB12:AB39)</f>
        <v>7837675.131</v>
      </c>
      <c r="AD10" s="11">
        <f>SUM(AD12:AD39)</f>
        <v>8400371689</v>
      </c>
      <c r="AE10" s="11">
        <f>SUM(AE12:AE39)</f>
        <v>8400371.689000001</v>
      </c>
      <c r="AG10" s="11">
        <f>SUM(AG12:AG39)</f>
        <v>8611076595</v>
      </c>
      <c r="AI10" s="11">
        <f>SUM(AI12:AI39)</f>
        <v>8819713939</v>
      </c>
      <c r="AJ10" s="11">
        <f>SUM(AJ12:AJ39)</f>
        <v>8819713.939</v>
      </c>
      <c r="AL10" s="246">
        <v>9585238198</v>
      </c>
      <c r="AM10" s="68">
        <f>SUM(AM12:AM39)</f>
        <v>9585238.199000001</v>
      </c>
      <c r="AO10" s="68">
        <f>SUM(AO12:AO39)</f>
        <v>10433445607.5</v>
      </c>
      <c r="AP10" s="68">
        <f>SUM(AP12:AP39)</f>
        <v>10433445.607500002</v>
      </c>
      <c r="AR10" s="68"/>
      <c r="AS10" s="68"/>
    </row>
    <row r="11" spans="2:41" ht="12.75">
      <c r="B11" s="97"/>
      <c r="C11" s="97"/>
      <c r="D11" s="97"/>
      <c r="E11" s="97"/>
      <c r="F11" s="15"/>
      <c r="G11" s="15"/>
      <c r="H11" s="15"/>
      <c r="I11" s="15"/>
      <c r="J11" s="15"/>
      <c r="K11" s="15"/>
      <c r="M11" s="15"/>
      <c r="P11" s="15"/>
      <c r="V11" s="97"/>
      <c r="W11" s="97"/>
      <c r="X11" s="97"/>
      <c r="Y11" s="97"/>
      <c r="Z11" s="1"/>
      <c r="AO11" s="243"/>
    </row>
    <row r="12" spans="1:42" ht="12.75">
      <c r="A12" s="1" t="s">
        <v>6</v>
      </c>
      <c r="B12" s="15">
        <v>77377</v>
      </c>
      <c r="C12" s="15">
        <v>77932</v>
      </c>
      <c r="D12" s="15">
        <v>84129</v>
      </c>
      <c r="E12" s="15">
        <v>87910</v>
      </c>
      <c r="F12" s="15">
        <v>83612</v>
      </c>
      <c r="G12" s="15">
        <v>88498</v>
      </c>
      <c r="H12" s="15">
        <v>92659</v>
      </c>
      <c r="I12" s="15">
        <v>95889</v>
      </c>
      <c r="J12" s="15">
        <v>99718</v>
      </c>
      <c r="K12" s="15">
        <v>119301.969</v>
      </c>
      <c r="L12" s="271">
        <f>(K12-J12)*100/J12</f>
        <v>19.639351972562622</v>
      </c>
      <c r="M12" s="271">
        <f>(K12-Y12)*100/Y12</f>
        <v>60.158368908578325</v>
      </c>
      <c r="N12" s="15">
        <v>39947</v>
      </c>
      <c r="O12" s="15">
        <v>44482</v>
      </c>
      <c r="P12" s="15">
        <v>44210</v>
      </c>
      <c r="Q12" s="15">
        <v>46611</v>
      </c>
      <c r="R12" s="15">
        <v>50341</v>
      </c>
      <c r="S12" s="15">
        <v>52581</v>
      </c>
      <c r="T12" s="15">
        <v>55879</v>
      </c>
      <c r="U12" s="15">
        <v>68200</v>
      </c>
      <c r="V12" s="15">
        <f>61349939/1000</f>
        <v>61349.939</v>
      </c>
      <c r="W12" s="15">
        <v>66569</v>
      </c>
      <c r="X12" s="15">
        <v>69015</v>
      </c>
      <c r="Y12" s="15">
        <v>74490</v>
      </c>
      <c r="Z12" s="15"/>
      <c r="AA12" s="3">
        <v>83612137</v>
      </c>
      <c r="AB12" s="3">
        <f>AA12/1000</f>
        <v>83612.137</v>
      </c>
      <c r="AD12" s="3">
        <v>88497640</v>
      </c>
      <c r="AE12" s="3">
        <f>AD12/1000</f>
        <v>88497.64</v>
      </c>
      <c r="AG12" s="3">
        <v>92659169</v>
      </c>
      <c r="AH12" s="3">
        <f>AG12/1000</f>
        <v>92659.169</v>
      </c>
      <c r="AI12" s="3">
        <v>95889217</v>
      </c>
      <c r="AJ12" s="3">
        <f>AI12/1000</f>
        <v>95889.217</v>
      </c>
      <c r="AL12" s="3">
        <v>99718433</v>
      </c>
      <c r="AM12" s="3">
        <f>AL12/1000</f>
        <v>99718.433</v>
      </c>
      <c r="AO12" s="243">
        <v>119301969</v>
      </c>
      <c r="AP12" s="3">
        <f>AO12/1000</f>
        <v>119301.969</v>
      </c>
    </row>
    <row r="13" spans="1:42" ht="12.75">
      <c r="A13" s="1" t="s">
        <v>7</v>
      </c>
      <c r="B13" s="15">
        <v>528511</v>
      </c>
      <c r="C13" s="15">
        <v>541341</v>
      </c>
      <c r="D13" s="15">
        <v>552841</v>
      </c>
      <c r="E13" s="15">
        <v>602766</v>
      </c>
      <c r="F13" s="15">
        <v>679587</v>
      </c>
      <c r="G13" s="15">
        <v>702504</v>
      </c>
      <c r="H13" s="15">
        <v>697026</v>
      </c>
      <c r="I13" s="15">
        <v>721240</v>
      </c>
      <c r="J13" s="15">
        <v>710658</v>
      </c>
      <c r="K13" s="15">
        <v>840121.586</v>
      </c>
      <c r="L13" s="271">
        <f>(K13-J13)*100/J13</f>
        <v>18.217424696548836</v>
      </c>
      <c r="M13" s="271">
        <f>(K13-Y13)*100/Y13</f>
        <v>69.45793129878774</v>
      </c>
      <c r="N13" s="15">
        <v>240771</v>
      </c>
      <c r="O13" s="15">
        <v>255201</v>
      </c>
      <c r="P13" s="15">
        <v>280444</v>
      </c>
      <c r="Q13" s="15">
        <v>314069</v>
      </c>
      <c r="R13" s="15">
        <v>347406</v>
      </c>
      <c r="S13" s="15">
        <v>369668</v>
      </c>
      <c r="T13" s="15">
        <v>401420</v>
      </c>
      <c r="U13" s="15">
        <v>402470</v>
      </c>
      <c r="V13" s="15">
        <f>430188126/1000</f>
        <v>430188.126</v>
      </c>
      <c r="W13" s="15">
        <v>449722</v>
      </c>
      <c r="X13" s="15">
        <v>487550</v>
      </c>
      <c r="Y13" s="15">
        <v>495770</v>
      </c>
      <c r="Z13" s="15"/>
      <c r="AA13" s="3">
        <v>679586781</v>
      </c>
      <c r="AB13" s="3">
        <f aca="true" t="shared" si="2" ref="AB13:AB39">AA13/1000</f>
        <v>679586.781</v>
      </c>
      <c r="AD13" s="3">
        <v>702504147</v>
      </c>
      <c r="AE13" s="3">
        <f aca="true" t="shared" si="3" ref="AE13:AE39">AD13/1000</f>
        <v>702504.147</v>
      </c>
      <c r="AG13" s="3">
        <v>697025670</v>
      </c>
      <c r="AH13" s="3">
        <f>AG13/1000</f>
        <v>697025.67</v>
      </c>
      <c r="AI13" s="3">
        <v>721240245</v>
      </c>
      <c r="AJ13" s="3">
        <f>AI13/1000</f>
        <v>721240.245</v>
      </c>
      <c r="AL13" s="3">
        <v>710658181</v>
      </c>
      <c r="AM13" s="3">
        <f>AL13/1000</f>
        <v>710658.181</v>
      </c>
      <c r="AO13" s="243">
        <v>840121586</v>
      </c>
      <c r="AP13" s="3">
        <f>AO13/1000</f>
        <v>840121.586</v>
      </c>
    </row>
    <row r="14" spans="1:42" ht="12.75">
      <c r="A14" s="1" t="s">
        <v>8</v>
      </c>
      <c r="B14" s="15">
        <v>766520</v>
      </c>
      <c r="C14" s="15">
        <v>834709</v>
      </c>
      <c r="D14" s="15">
        <v>859391</v>
      </c>
      <c r="E14" s="15">
        <v>914471</v>
      </c>
      <c r="F14" s="15">
        <v>979019</v>
      </c>
      <c r="G14" s="15">
        <v>1016083</v>
      </c>
      <c r="H14" s="15">
        <v>1062589</v>
      </c>
      <c r="I14" s="15">
        <v>975457</v>
      </c>
      <c r="J14" s="15">
        <v>964583</v>
      </c>
      <c r="K14" s="15">
        <v>1068652.694</v>
      </c>
      <c r="L14" s="271">
        <f>(K14-J14)*100/J14</f>
        <v>10.78908647571022</v>
      </c>
      <c r="M14" s="271">
        <f>(K14-Y14)*100/Y14</f>
        <v>48.294845183430525</v>
      </c>
      <c r="N14" s="15">
        <v>387361</v>
      </c>
      <c r="O14" s="15">
        <v>414827</v>
      </c>
      <c r="P14" s="15">
        <v>435488</v>
      </c>
      <c r="Q14" s="15">
        <v>458529</v>
      </c>
      <c r="R14" s="15">
        <v>510962</v>
      </c>
      <c r="S14" s="15">
        <v>553922</v>
      </c>
      <c r="T14" s="15">
        <v>593452</v>
      </c>
      <c r="U14" s="15">
        <v>614636</v>
      </c>
      <c r="V14" s="15">
        <f>652603813/1000</f>
        <v>652603.813</v>
      </c>
      <c r="W14" s="15">
        <v>680866</v>
      </c>
      <c r="X14" s="15">
        <v>696617</v>
      </c>
      <c r="Y14" s="15">
        <v>720627</v>
      </c>
      <c r="Z14" s="15"/>
      <c r="AA14" s="3">
        <v>979019191</v>
      </c>
      <c r="AB14" s="3">
        <f t="shared" si="2"/>
        <v>979019.191</v>
      </c>
      <c r="AD14" s="3">
        <v>1016082531</v>
      </c>
      <c r="AE14" s="3">
        <f t="shared" si="3"/>
        <v>1016082.531</v>
      </c>
      <c r="AG14" s="3">
        <v>1062589377</v>
      </c>
      <c r="AH14" s="3">
        <f>AG14/1000</f>
        <v>1062589.377</v>
      </c>
      <c r="AI14" s="3">
        <v>975456841</v>
      </c>
      <c r="AJ14" s="3">
        <f>AI14/1000</f>
        <v>975456.841</v>
      </c>
      <c r="AL14" s="3">
        <v>964583221</v>
      </c>
      <c r="AM14" s="3">
        <f>AL14/1000</f>
        <v>964583.221</v>
      </c>
      <c r="AO14" s="243">
        <v>1068652694</v>
      </c>
      <c r="AP14" s="3">
        <f>AO14/1000</f>
        <v>1068652.694</v>
      </c>
    </row>
    <row r="15" spans="1:42" ht="12.75">
      <c r="A15" s="1" t="s">
        <v>9</v>
      </c>
      <c r="B15" s="15">
        <v>755038</v>
      </c>
      <c r="C15" s="15">
        <v>814182</v>
      </c>
      <c r="D15" s="15">
        <v>842137</v>
      </c>
      <c r="E15" s="15">
        <v>887067</v>
      </c>
      <c r="F15" s="15">
        <v>1007333</v>
      </c>
      <c r="G15" s="15">
        <v>1107094</v>
      </c>
      <c r="H15" s="15">
        <v>981919</v>
      </c>
      <c r="I15" s="15">
        <v>1067202</v>
      </c>
      <c r="J15" s="15">
        <v>1136202</v>
      </c>
      <c r="K15" s="15">
        <v>1216816.755</v>
      </c>
      <c r="L15" s="271">
        <f>(K15-J15)*100/J15</f>
        <v>7.095107648111858</v>
      </c>
      <c r="M15" s="271">
        <f>(K15-Y15)*100/Y15</f>
        <v>73.40784984637483</v>
      </c>
      <c r="N15" s="15">
        <v>364778</v>
      </c>
      <c r="O15" s="15">
        <v>390774</v>
      </c>
      <c r="P15" s="15">
        <v>413653</v>
      </c>
      <c r="Q15" s="15">
        <v>437691</v>
      </c>
      <c r="R15" s="15">
        <v>486218</v>
      </c>
      <c r="S15" s="15">
        <v>536742</v>
      </c>
      <c r="T15" s="15">
        <v>557131</v>
      </c>
      <c r="U15" s="15">
        <v>583666</v>
      </c>
      <c r="V15" s="15">
        <f>607021644/1000</f>
        <v>607021.644</v>
      </c>
      <c r="W15" s="15">
        <v>635208</v>
      </c>
      <c r="X15" s="15">
        <v>693762</v>
      </c>
      <c r="Y15" s="15">
        <v>701708</v>
      </c>
      <c r="Z15" s="15"/>
      <c r="AA15" s="3">
        <v>1007333051</v>
      </c>
      <c r="AB15" s="3">
        <f t="shared" si="2"/>
        <v>1007333.051</v>
      </c>
      <c r="AD15" s="3">
        <v>1107094426</v>
      </c>
      <c r="AE15" s="3">
        <f t="shared" si="3"/>
        <v>1107094.426</v>
      </c>
      <c r="AG15" s="3">
        <v>981918653</v>
      </c>
      <c r="AH15" s="3">
        <f>AG15/1000</f>
        <v>981918.653</v>
      </c>
      <c r="AI15" s="3">
        <v>1067201659</v>
      </c>
      <c r="AJ15" s="3">
        <f>AI15/1000</f>
        <v>1067201.659</v>
      </c>
      <c r="AL15" s="3">
        <v>1136201804</v>
      </c>
      <c r="AM15" s="3">
        <f>AL15/1000</f>
        <v>1136201.804</v>
      </c>
      <c r="AO15" s="243">
        <v>1216816755</v>
      </c>
      <c r="AP15" s="3">
        <f>AO15/1000</f>
        <v>1216816.755</v>
      </c>
    </row>
    <row r="16" spans="1:42" ht="12.75">
      <c r="A16" s="1" t="s">
        <v>10</v>
      </c>
      <c r="B16" s="15">
        <v>99389</v>
      </c>
      <c r="C16" s="15">
        <v>96406</v>
      </c>
      <c r="D16" s="15">
        <v>119213</v>
      </c>
      <c r="E16" s="15">
        <v>124208</v>
      </c>
      <c r="F16" s="15">
        <v>122464</v>
      </c>
      <c r="G16" s="15">
        <v>133731</v>
      </c>
      <c r="H16" s="15">
        <v>181447</v>
      </c>
      <c r="I16" s="15">
        <v>157222</v>
      </c>
      <c r="J16" s="15">
        <v>173449</v>
      </c>
      <c r="K16" s="15">
        <v>187252.09350000002</v>
      </c>
      <c r="L16" s="271">
        <f>(K16-J16)*100/J16</f>
        <v>7.958012729966744</v>
      </c>
      <c r="M16" s="271">
        <f>(K16-Y16)*100/Y16</f>
        <v>98.68017729819202</v>
      </c>
      <c r="N16" s="15">
        <v>29819</v>
      </c>
      <c r="O16" s="15">
        <v>35914</v>
      </c>
      <c r="P16" s="15">
        <v>35146</v>
      </c>
      <c r="Q16" s="15">
        <v>43777</v>
      </c>
      <c r="R16" s="15">
        <v>48350</v>
      </c>
      <c r="S16" s="15">
        <v>54245</v>
      </c>
      <c r="T16" s="15">
        <v>69943</v>
      </c>
      <c r="U16" s="15">
        <v>67644</v>
      </c>
      <c r="V16" s="15">
        <f>69798782/1000</f>
        <v>69798.782</v>
      </c>
      <c r="W16" s="15">
        <v>91485</v>
      </c>
      <c r="X16" s="15">
        <v>83181</v>
      </c>
      <c r="Y16" s="15">
        <v>94248</v>
      </c>
      <c r="Z16" s="15"/>
      <c r="AA16" s="3">
        <v>122464449</v>
      </c>
      <c r="AB16" s="3">
        <f t="shared" si="2"/>
        <v>122464.449</v>
      </c>
      <c r="AD16" s="3">
        <v>133731454</v>
      </c>
      <c r="AE16" s="3">
        <f t="shared" si="3"/>
        <v>133731.454</v>
      </c>
      <c r="AG16" s="3">
        <v>181446657</v>
      </c>
      <c r="AH16" s="3">
        <f>AG16/1000</f>
        <v>181446.657</v>
      </c>
      <c r="AI16" s="3">
        <v>157222190</v>
      </c>
      <c r="AJ16" s="3">
        <f>AI16/1000</f>
        <v>157222.19</v>
      </c>
      <c r="AL16" s="3">
        <v>173449465</v>
      </c>
      <c r="AM16" s="3">
        <f>AL16/1000</f>
        <v>173449.465</v>
      </c>
      <c r="AO16" s="243">
        <v>187252093.50000003</v>
      </c>
      <c r="AP16" s="3">
        <f>AO16/1000</f>
        <v>187252.09350000002</v>
      </c>
    </row>
    <row r="17" spans="2:41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O17" s="243"/>
    </row>
    <row r="18" spans="1:42" ht="12.75">
      <c r="A18" s="1" t="s">
        <v>11</v>
      </c>
      <c r="B18" s="15">
        <v>34303</v>
      </c>
      <c r="C18" s="15">
        <v>36615</v>
      </c>
      <c r="D18" s="15">
        <v>40663</v>
      </c>
      <c r="E18" s="15">
        <v>41160</v>
      </c>
      <c r="F18" s="15">
        <v>45441</v>
      </c>
      <c r="G18" s="15">
        <v>48226</v>
      </c>
      <c r="H18" s="15">
        <v>47127</v>
      </c>
      <c r="I18" s="15">
        <v>49553</v>
      </c>
      <c r="J18" s="15">
        <v>51130</v>
      </c>
      <c r="K18" s="15">
        <v>63231.484</v>
      </c>
      <c r="L18" s="271">
        <f>(K18-J18)*100/J18</f>
        <v>23.668069626442396</v>
      </c>
      <c r="M18" s="271">
        <f>(K18-Y18)*100/Y18</f>
        <v>93.71797432676694</v>
      </c>
      <c r="N18" s="15">
        <v>13828</v>
      </c>
      <c r="O18" s="15">
        <v>14869</v>
      </c>
      <c r="P18" s="15">
        <v>16543</v>
      </c>
      <c r="Q18" s="15">
        <v>18599</v>
      </c>
      <c r="R18" s="15">
        <v>21267</v>
      </c>
      <c r="S18" s="15">
        <v>22287</v>
      </c>
      <c r="T18" s="15">
        <v>24090</v>
      </c>
      <c r="U18" s="15">
        <v>25206</v>
      </c>
      <c r="V18" s="15">
        <f>26929578/1000</f>
        <v>26929.578</v>
      </c>
      <c r="W18" s="15">
        <v>28267</v>
      </c>
      <c r="X18" s="15">
        <v>31246</v>
      </c>
      <c r="Y18" s="15">
        <v>32641</v>
      </c>
      <c r="Z18" s="15"/>
      <c r="AA18" s="3">
        <v>45440709</v>
      </c>
      <c r="AB18" s="3">
        <f t="shared" si="2"/>
        <v>45440.709</v>
      </c>
      <c r="AD18" s="3">
        <v>48226020</v>
      </c>
      <c r="AE18" s="3">
        <f t="shared" si="3"/>
        <v>48226.02</v>
      </c>
      <c r="AG18" s="3">
        <v>47127427</v>
      </c>
      <c r="AH18" s="3">
        <f>AG18/1000</f>
        <v>47127.427</v>
      </c>
      <c r="AI18" s="3">
        <v>49553281</v>
      </c>
      <c r="AJ18" s="3">
        <f>AI18/1000</f>
        <v>49553.281</v>
      </c>
      <c r="AL18" s="3">
        <v>51130171</v>
      </c>
      <c r="AM18" s="3">
        <f>AL18/1000</f>
        <v>51130.171</v>
      </c>
      <c r="AO18" s="243">
        <v>63231484</v>
      </c>
      <c r="AP18" s="3">
        <f>AO18/1000</f>
        <v>63231.484</v>
      </c>
    </row>
    <row r="19" spans="1:42" ht="12.75">
      <c r="A19" s="1" t="s">
        <v>12</v>
      </c>
      <c r="B19" s="15">
        <v>182880</v>
      </c>
      <c r="C19" s="15">
        <v>192782</v>
      </c>
      <c r="D19" s="15">
        <v>203761</v>
      </c>
      <c r="E19" s="15">
        <v>222617</v>
      </c>
      <c r="F19" s="15">
        <v>235922</v>
      </c>
      <c r="G19" s="15">
        <v>225348</v>
      </c>
      <c r="H19" s="15">
        <v>238511</v>
      </c>
      <c r="I19" s="15">
        <v>262253</v>
      </c>
      <c r="J19" s="15">
        <v>285174</v>
      </c>
      <c r="K19" s="15">
        <v>300409.355</v>
      </c>
      <c r="L19" s="271">
        <f>(K19-J19)*100/J19</f>
        <v>5.342476873768289</v>
      </c>
      <c r="M19" s="271">
        <f>(K19-Y19)*100/Y19</f>
        <v>81.89870846250726</v>
      </c>
      <c r="N19" s="15">
        <v>64832</v>
      </c>
      <c r="O19" s="15">
        <v>68750</v>
      </c>
      <c r="P19" s="15">
        <v>76226</v>
      </c>
      <c r="Q19" s="15">
        <v>86421</v>
      </c>
      <c r="R19" s="15">
        <v>96860</v>
      </c>
      <c r="S19" s="15">
        <v>107577</v>
      </c>
      <c r="T19" s="15">
        <v>125662</v>
      </c>
      <c r="U19" s="15">
        <v>135579</v>
      </c>
      <c r="V19" s="15">
        <f>136266614/1000</f>
        <v>136266.614</v>
      </c>
      <c r="W19" s="15">
        <v>145259</v>
      </c>
      <c r="X19" s="15">
        <v>163157</v>
      </c>
      <c r="Y19" s="15">
        <v>165152</v>
      </c>
      <c r="Z19" s="15"/>
      <c r="AA19" s="3">
        <v>235921972</v>
      </c>
      <c r="AB19" s="3">
        <f t="shared" si="2"/>
        <v>235921.972</v>
      </c>
      <c r="AD19" s="3">
        <v>225347743</v>
      </c>
      <c r="AE19" s="3">
        <f t="shared" si="3"/>
        <v>225347.743</v>
      </c>
      <c r="AG19" s="3">
        <v>238511102</v>
      </c>
      <c r="AH19" s="3">
        <f>AG19/1000</f>
        <v>238511.102</v>
      </c>
      <c r="AI19" s="3">
        <v>262252899</v>
      </c>
      <c r="AJ19" s="3">
        <f>AI19/1000</f>
        <v>262252.899</v>
      </c>
      <c r="AL19" s="3">
        <v>285174198</v>
      </c>
      <c r="AM19" s="3">
        <f>AL19/1000</f>
        <v>285174.198</v>
      </c>
      <c r="AO19" s="243">
        <v>300409355</v>
      </c>
      <c r="AP19" s="3">
        <f>AO19/1000</f>
        <v>300409.355</v>
      </c>
    </row>
    <row r="20" spans="1:42" ht="12.75">
      <c r="A20" s="1" t="s">
        <v>13</v>
      </c>
      <c r="B20" s="15">
        <v>99974</v>
      </c>
      <c r="C20" s="15">
        <v>104385</v>
      </c>
      <c r="D20" s="15">
        <v>122282</v>
      </c>
      <c r="E20" s="15">
        <v>118925</v>
      </c>
      <c r="F20" s="15">
        <v>129914</v>
      </c>
      <c r="G20" s="15">
        <v>131766</v>
      </c>
      <c r="H20" s="15">
        <v>138489</v>
      </c>
      <c r="I20" s="15">
        <v>138988</v>
      </c>
      <c r="J20" s="15">
        <v>150554</v>
      </c>
      <c r="K20" s="15">
        <v>184066.089</v>
      </c>
      <c r="L20" s="271">
        <f>(K20-J20)*100/J20</f>
        <v>22.25918208749021</v>
      </c>
      <c r="M20" s="271">
        <f>(K20-Y20)*100/Y20</f>
        <v>89.03001725306551</v>
      </c>
      <c r="N20" s="15">
        <v>38536</v>
      </c>
      <c r="O20" s="15">
        <v>41722</v>
      </c>
      <c r="P20" s="15">
        <v>44919</v>
      </c>
      <c r="Q20" s="15">
        <v>49123</v>
      </c>
      <c r="R20" s="15">
        <v>54923</v>
      </c>
      <c r="S20" s="15">
        <v>69490</v>
      </c>
      <c r="T20" s="15">
        <v>78817</v>
      </c>
      <c r="U20" s="15">
        <v>75114</v>
      </c>
      <c r="V20" s="15">
        <f>72614769/1000</f>
        <v>72614.769</v>
      </c>
      <c r="W20" s="15">
        <v>80029</v>
      </c>
      <c r="X20" s="15">
        <v>91219</v>
      </c>
      <c r="Y20" s="15">
        <v>97374</v>
      </c>
      <c r="Z20" s="15"/>
      <c r="AA20" s="3">
        <v>129913700</v>
      </c>
      <c r="AB20" s="3">
        <f t="shared" si="2"/>
        <v>129913.7</v>
      </c>
      <c r="AD20" s="3">
        <v>131765686</v>
      </c>
      <c r="AE20" s="3">
        <f t="shared" si="3"/>
        <v>131765.686</v>
      </c>
      <c r="AG20" s="3">
        <v>138489272</v>
      </c>
      <c r="AH20" s="3">
        <f>AG20/1000</f>
        <v>138489.272</v>
      </c>
      <c r="AI20" s="3">
        <v>138988326</v>
      </c>
      <c r="AJ20" s="3">
        <f>AI20/1000</f>
        <v>138988.326</v>
      </c>
      <c r="AL20" s="3">
        <v>150553820</v>
      </c>
      <c r="AM20" s="3">
        <f>AL20/1000</f>
        <v>150553.82</v>
      </c>
      <c r="AO20" s="244">
        <v>184066089</v>
      </c>
      <c r="AP20" s="3">
        <f>AO20/1000</f>
        <v>184066.089</v>
      </c>
    </row>
    <row r="21" spans="1:42" ht="12.75">
      <c r="A21" s="1" t="s">
        <v>14</v>
      </c>
      <c r="B21" s="15">
        <v>151268</v>
      </c>
      <c r="C21" s="15">
        <v>154376</v>
      </c>
      <c r="D21" s="15">
        <v>162922</v>
      </c>
      <c r="E21" s="15">
        <v>174773</v>
      </c>
      <c r="F21" s="15">
        <v>193026</v>
      </c>
      <c r="G21" s="15">
        <v>190735</v>
      </c>
      <c r="H21" s="15">
        <v>224631</v>
      </c>
      <c r="I21" s="15">
        <v>235249</v>
      </c>
      <c r="J21" s="15">
        <v>268895</v>
      </c>
      <c r="K21" s="15">
        <v>293864.894</v>
      </c>
      <c r="L21" s="271">
        <f>(K21-J21)*100/J21</f>
        <v>9.286113166849503</v>
      </c>
      <c r="M21" s="271">
        <f>(K21-Y21)*100/Y21</f>
        <v>110.66187847680217</v>
      </c>
      <c r="N21" s="15">
        <v>57780</v>
      </c>
      <c r="O21" s="15">
        <v>61950</v>
      </c>
      <c r="P21" s="15">
        <v>73169</v>
      </c>
      <c r="Q21" s="15">
        <v>79400</v>
      </c>
      <c r="R21" s="15">
        <v>90388</v>
      </c>
      <c r="S21" s="15">
        <v>98807</v>
      </c>
      <c r="T21" s="15">
        <v>111774</v>
      </c>
      <c r="U21" s="15">
        <v>129491</v>
      </c>
      <c r="V21" s="15">
        <f>116368157/1000</f>
        <v>116368.157</v>
      </c>
      <c r="W21" s="15">
        <v>127331</v>
      </c>
      <c r="X21" s="15">
        <v>144735</v>
      </c>
      <c r="Y21" s="15">
        <v>139496</v>
      </c>
      <c r="Z21" s="15"/>
      <c r="AA21" s="3">
        <v>193026278</v>
      </c>
      <c r="AB21" s="3">
        <f t="shared" si="2"/>
        <v>193026.278</v>
      </c>
      <c r="AD21" s="3">
        <v>190735199</v>
      </c>
      <c r="AE21" s="3">
        <f t="shared" si="3"/>
        <v>190735.199</v>
      </c>
      <c r="AG21" s="3">
        <v>224631049</v>
      </c>
      <c r="AH21" s="3">
        <f>AG21/1000</f>
        <v>224631.049</v>
      </c>
      <c r="AI21" s="3">
        <v>235248920</v>
      </c>
      <c r="AJ21" s="3">
        <f>AI21/1000</f>
        <v>235248.92</v>
      </c>
      <c r="AL21" s="3">
        <v>268895283</v>
      </c>
      <c r="AM21" s="3">
        <f>AL21/1000</f>
        <v>268895.283</v>
      </c>
      <c r="AO21" s="244">
        <v>293864894</v>
      </c>
      <c r="AP21" s="3">
        <f>AO21/1000</f>
        <v>293864.894</v>
      </c>
    </row>
    <row r="22" spans="1:42" ht="12.75">
      <c r="A22" s="1" t="s">
        <v>15</v>
      </c>
      <c r="B22" s="15">
        <v>39220</v>
      </c>
      <c r="C22" s="15">
        <v>38249</v>
      </c>
      <c r="D22" s="15">
        <v>37334</v>
      </c>
      <c r="E22" s="15">
        <v>39858</v>
      </c>
      <c r="F22" s="15">
        <v>43245</v>
      </c>
      <c r="G22" s="15">
        <v>44401</v>
      </c>
      <c r="H22" s="15">
        <v>51112</v>
      </c>
      <c r="I22" s="15">
        <v>51085</v>
      </c>
      <c r="J22" s="15">
        <v>48913</v>
      </c>
      <c r="K22" s="15">
        <v>52471.853</v>
      </c>
      <c r="L22" s="271">
        <f>(K22-J22)*100/J22</f>
        <v>7.275883711896639</v>
      </c>
      <c r="M22" s="271">
        <f>(K22-Y22)*100/Y22</f>
        <v>56.06404437570639</v>
      </c>
      <c r="N22" s="15">
        <v>18775</v>
      </c>
      <c r="O22" s="15">
        <v>19142</v>
      </c>
      <c r="P22" s="15">
        <v>19905</v>
      </c>
      <c r="Q22" s="15">
        <v>21627</v>
      </c>
      <c r="R22" s="15">
        <v>23616</v>
      </c>
      <c r="S22" s="15">
        <v>25813</v>
      </c>
      <c r="T22" s="15">
        <v>27149</v>
      </c>
      <c r="U22" s="15">
        <v>27058</v>
      </c>
      <c r="V22" s="15">
        <f>27640157/1000</f>
        <v>27640.157</v>
      </c>
      <c r="W22" s="15">
        <v>29909</v>
      </c>
      <c r="X22" s="15">
        <v>32010</v>
      </c>
      <c r="Y22" s="15">
        <v>33622</v>
      </c>
      <c r="Z22" s="15"/>
      <c r="AA22" s="3">
        <v>43244842</v>
      </c>
      <c r="AB22" s="3">
        <f t="shared" si="2"/>
        <v>43244.842</v>
      </c>
      <c r="AD22" s="3">
        <v>44401024</v>
      </c>
      <c r="AE22" s="3">
        <f t="shared" si="3"/>
        <v>44401.024</v>
      </c>
      <c r="AG22" s="3">
        <v>51112170</v>
      </c>
      <c r="AH22" s="3">
        <f>AG22/1000</f>
        <v>51112.17</v>
      </c>
      <c r="AI22" s="3">
        <v>51085251</v>
      </c>
      <c r="AJ22" s="3">
        <f>AI22/1000</f>
        <v>51085.251</v>
      </c>
      <c r="AL22" s="3">
        <v>48912847</v>
      </c>
      <c r="AM22" s="3">
        <f>AL22/1000</f>
        <v>48912.847</v>
      </c>
      <c r="AO22" s="244">
        <v>52471853</v>
      </c>
      <c r="AP22" s="3">
        <f>AO22/1000</f>
        <v>52471.853</v>
      </c>
    </row>
    <row r="23" spans="2:41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O23" s="244"/>
    </row>
    <row r="24" spans="1:42" ht="12.75">
      <c r="A24" s="1" t="s">
        <v>16</v>
      </c>
      <c r="B24" s="15">
        <v>219254</v>
      </c>
      <c r="C24" s="15">
        <v>240691</v>
      </c>
      <c r="D24" s="15">
        <v>252220</v>
      </c>
      <c r="E24" s="15">
        <v>290723</v>
      </c>
      <c r="F24" s="15">
        <v>338378</v>
      </c>
      <c r="G24" s="15">
        <v>359465</v>
      </c>
      <c r="H24" s="15">
        <v>350497</v>
      </c>
      <c r="I24" s="15">
        <v>377518</v>
      </c>
      <c r="J24" s="15">
        <v>396166</v>
      </c>
      <c r="K24" s="15">
        <v>440368.366</v>
      </c>
      <c r="L24" s="271">
        <f>(K24-J24)*100/J24</f>
        <v>11.157536487230095</v>
      </c>
      <c r="M24" s="271">
        <f>(K24-Y24)*100/Y24</f>
        <v>101.46137052981192</v>
      </c>
      <c r="N24" s="15">
        <v>86150</v>
      </c>
      <c r="O24" s="15">
        <v>91678</v>
      </c>
      <c r="P24" s="15">
        <v>97977</v>
      </c>
      <c r="Q24" s="15">
        <v>112541</v>
      </c>
      <c r="R24" s="15">
        <v>125361</v>
      </c>
      <c r="S24" s="15">
        <v>148929</v>
      </c>
      <c r="T24" s="15">
        <v>161159</v>
      </c>
      <c r="U24" s="15">
        <v>165576</v>
      </c>
      <c r="V24" s="15">
        <f>173442674/1000</f>
        <v>173442.674</v>
      </c>
      <c r="W24" s="15">
        <v>182278</v>
      </c>
      <c r="X24" s="15">
        <v>220537</v>
      </c>
      <c r="Y24" s="15">
        <v>218587</v>
      </c>
      <c r="Z24" s="229"/>
      <c r="AA24" s="3">
        <v>338377780</v>
      </c>
      <c r="AB24" s="3">
        <f t="shared" si="2"/>
        <v>338377.78</v>
      </c>
      <c r="AD24" s="3">
        <v>359464606</v>
      </c>
      <c r="AE24" s="3">
        <f t="shared" si="3"/>
        <v>359464.606</v>
      </c>
      <c r="AG24" s="3">
        <v>350496739</v>
      </c>
      <c r="AH24" s="3">
        <f>AG24/1000</f>
        <v>350496.739</v>
      </c>
      <c r="AI24" s="3">
        <v>377518408</v>
      </c>
      <c r="AJ24" s="3">
        <f>AI24/1000</f>
        <v>377518.408</v>
      </c>
      <c r="AL24" s="3">
        <v>396166408</v>
      </c>
      <c r="AM24" s="3">
        <f>AL24/1000</f>
        <v>396166.408</v>
      </c>
      <c r="AO24" s="244">
        <v>440368366</v>
      </c>
      <c r="AP24" s="3">
        <f>AO24/1000</f>
        <v>440368.366</v>
      </c>
    </row>
    <row r="25" spans="1:42" ht="12.75">
      <c r="A25" s="1" t="s">
        <v>17</v>
      </c>
      <c r="B25" s="15">
        <v>34181</v>
      </c>
      <c r="C25" s="15">
        <v>35463</v>
      </c>
      <c r="D25" s="15">
        <v>37240</v>
      </c>
      <c r="E25" s="15">
        <v>38426</v>
      </c>
      <c r="F25" s="15">
        <v>40972</v>
      </c>
      <c r="G25" s="15">
        <v>41720</v>
      </c>
      <c r="H25" s="15">
        <v>44336</v>
      </c>
      <c r="I25" s="15">
        <v>46409</v>
      </c>
      <c r="J25" s="15">
        <v>48299</v>
      </c>
      <c r="K25" s="15">
        <v>49938.799</v>
      </c>
      <c r="L25" s="271">
        <f>(K25-J25)*100/J25</f>
        <v>3.39509927741775</v>
      </c>
      <c r="M25" s="271">
        <f>(K25-Y25)*100/Y25</f>
        <v>51.58233115799059</v>
      </c>
      <c r="N25" s="15">
        <v>16848</v>
      </c>
      <c r="O25" s="15">
        <v>21350</v>
      </c>
      <c r="P25" s="15">
        <v>22084</v>
      </c>
      <c r="Q25" s="15">
        <v>21373</v>
      </c>
      <c r="R25" s="15">
        <v>23169</v>
      </c>
      <c r="S25" s="15">
        <v>25651</v>
      </c>
      <c r="T25" s="15">
        <v>34256</v>
      </c>
      <c r="U25" s="15">
        <v>28253</v>
      </c>
      <c r="V25" s="15">
        <f>28510910/1000</f>
        <v>28510.91</v>
      </c>
      <c r="W25" s="15">
        <v>30212</v>
      </c>
      <c r="X25" s="15">
        <v>31674</v>
      </c>
      <c r="Y25" s="15">
        <v>32945</v>
      </c>
      <c r="Z25" s="229"/>
      <c r="AA25" s="3">
        <v>40972486</v>
      </c>
      <c r="AB25" s="3">
        <f t="shared" si="2"/>
        <v>40972.486</v>
      </c>
      <c r="AD25" s="3">
        <v>41719661</v>
      </c>
      <c r="AE25" s="3">
        <f t="shared" si="3"/>
        <v>41719.661</v>
      </c>
      <c r="AG25" s="3">
        <v>44336148</v>
      </c>
      <c r="AH25" s="3">
        <f>AG25/1000</f>
        <v>44336.148</v>
      </c>
      <c r="AI25" s="3">
        <v>46409099</v>
      </c>
      <c r="AJ25" s="3">
        <f>AI25/1000</f>
        <v>46409.099</v>
      </c>
      <c r="AL25" s="3">
        <v>48299481</v>
      </c>
      <c r="AM25" s="3">
        <f>AL25/1000</f>
        <v>48299.481</v>
      </c>
      <c r="AO25" s="243">
        <v>49938799</v>
      </c>
      <c r="AP25" s="3">
        <f>AO25/1000</f>
        <v>49938.799</v>
      </c>
    </row>
    <row r="26" spans="1:42" ht="12.75">
      <c r="A26" s="1" t="s">
        <v>18</v>
      </c>
      <c r="B26" s="15">
        <v>245819</v>
      </c>
      <c r="C26" s="15">
        <v>255607</v>
      </c>
      <c r="D26" s="15">
        <v>264957</v>
      </c>
      <c r="E26" s="15">
        <v>281629</v>
      </c>
      <c r="F26" s="15">
        <v>299817</v>
      </c>
      <c r="G26" s="15">
        <v>319097</v>
      </c>
      <c r="H26" s="15">
        <v>342783</v>
      </c>
      <c r="I26" s="15">
        <v>348590</v>
      </c>
      <c r="J26" s="15">
        <v>387571</v>
      </c>
      <c r="K26" s="15">
        <v>456305.252</v>
      </c>
      <c r="L26" s="271">
        <f>(K26-J26)*100/J26</f>
        <v>17.734622043444936</v>
      </c>
      <c r="M26" s="271">
        <f>(K26-Y26)*100/Y26</f>
        <v>98.00188843808986</v>
      </c>
      <c r="N26" s="15">
        <v>90384</v>
      </c>
      <c r="O26" s="15">
        <v>98640</v>
      </c>
      <c r="P26" s="15">
        <v>108161</v>
      </c>
      <c r="Q26" s="15">
        <v>117074</v>
      </c>
      <c r="R26" s="15">
        <v>129310</v>
      </c>
      <c r="S26" s="15">
        <v>146332</v>
      </c>
      <c r="T26" s="15">
        <v>163371</v>
      </c>
      <c r="U26" s="15">
        <v>171092</v>
      </c>
      <c r="V26" s="15">
        <f>190435504/1000</f>
        <v>190435.504</v>
      </c>
      <c r="W26" s="15">
        <v>206446</v>
      </c>
      <c r="X26" s="15">
        <v>218888</v>
      </c>
      <c r="Y26" s="15">
        <v>230455</v>
      </c>
      <c r="Z26" s="229"/>
      <c r="AA26" s="3">
        <v>299816598</v>
      </c>
      <c r="AB26" s="3">
        <f t="shared" si="2"/>
        <v>299816.598</v>
      </c>
      <c r="AD26" s="3">
        <v>319096855</v>
      </c>
      <c r="AE26" s="3">
        <f t="shared" si="3"/>
        <v>319096.855</v>
      </c>
      <c r="AG26" s="3">
        <v>342783293</v>
      </c>
      <c r="AH26" s="3">
        <f>AG26/1000</f>
        <v>342783.293</v>
      </c>
      <c r="AI26" s="3">
        <v>348590314</v>
      </c>
      <c r="AJ26" s="3">
        <f>AI26/1000</f>
        <v>348590.314</v>
      </c>
      <c r="AL26" s="3">
        <v>387571428</v>
      </c>
      <c r="AM26" s="3">
        <f>AL26/1000</f>
        <v>387571.428</v>
      </c>
      <c r="AO26" s="243">
        <v>456305252</v>
      </c>
      <c r="AP26" s="3">
        <f>AO26/1000</f>
        <v>456305.252</v>
      </c>
    </row>
    <row r="27" spans="1:42" ht="12.75">
      <c r="A27" s="1" t="s">
        <v>19</v>
      </c>
      <c r="B27" s="15">
        <v>330228</v>
      </c>
      <c r="C27" s="15">
        <v>328174</v>
      </c>
      <c r="D27" s="15">
        <v>351613</v>
      </c>
      <c r="E27" s="15">
        <v>383699</v>
      </c>
      <c r="F27" s="15">
        <v>434396</v>
      </c>
      <c r="G27" s="15">
        <v>483102</v>
      </c>
      <c r="H27" s="15">
        <v>512538</v>
      </c>
      <c r="I27" s="15">
        <v>539622</v>
      </c>
      <c r="J27" s="15">
        <v>613508</v>
      </c>
      <c r="K27" s="15">
        <v>674917.568</v>
      </c>
      <c r="L27" s="271">
        <f>(K27-J27)*100/J27</f>
        <v>10.009579011194633</v>
      </c>
      <c r="M27" s="271">
        <f>(K27-Y27)*100/Y27</f>
        <v>108.1203261258372</v>
      </c>
      <c r="N27" s="15">
        <v>104868</v>
      </c>
      <c r="O27" s="15">
        <v>122907</v>
      </c>
      <c r="P27" s="15">
        <v>140188</v>
      </c>
      <c r="Q27" s="15">
        <v>156347</v>
      </c>
      <c r="R27" s="15">
        <v>181399</v>
      </c>
      <c r="S27" s="15">
        <v>206180</v>
      </c>
      <c r="T27" s="15">
        <v>236698</v>
      </c>
      <c r="U27" s="15">
        <v>240813</v>
      </c>
      <c r="V27" s="15">
        <f>252892130/1000</f>
        <v>252892.13</v>
      </c>
      <c r="W27" s="15">
        <v>275142</v>
      </c>
      <c r="X27" s="15">
        <v>296185</v>
      </c>
      <c r="Y27" s="15">
        <v>324292</v>
      </c>
      <c r="Z27" s="229"/>
      <c r="AA27" s="3">
        <v>434395821</v>
      </c>
      <c r="AB27" s="3">
        <f t="shared" si="2"/>
        <v>434395.821</v>
      </c>
      <c r="AD27" s="3">
        <v>483101821</v>
      </c>
      <c r="AE27" s="3">
        <f t="shared" si="3"/>
        <v>483101.821</v>
      </c>
      <c r="AG27" s="3">
        <v>512538486</v>
      </c>
      <c r="AH27" s="3">
        <f>AG27/1000</f>
        <v>512538.486</v>
      </c>
      <c r="AI27" s="3">
        <v>539622391</v>
      </c>
      <c r="AJ27" s="3">
        <f>AI27/1000</f>
        <v>539622.391</v>
      </c>
      <c r="AL27" s="3">
        <v>613508175</v>
      </c>
      <c r="AM27" s="3">
        <f>AL27/1000</f>
        <v>613508.175</v>
      </c>
      <c r="AO27" s="243">
        <v>674917568</v>
      </c>
      <c r="AP27" s="3">
        <f>AO27/1000</f>
        <v>674917.568</v>
      </c>
    </row>
    <row r="28" spans="1:42" ht="12.75">
      <c r="A28" s="1" t="s">
        <v>20</v>
      </c>
      <c r="B28" s="15">
        <v>20672</v>
      </c>
      <c r="C28" s="15">
        <v>23544</v>
      </c>
      <c r="D28" s="15">
        <v>22938</v>
      </c>
      <c r="E28" s="15">
        <v>23761</v>
      </c>
      <c r="F28" s="15">
        <v>25456</v>
      </c>
      <c r="G28" s="15">
        <v>27932</v>
      </c>
      <c r="H28" s="15">
        <v>27945</v>
      </c>
      <c r="I28" s="15">
        <v>27525</v>
      </c>
      <c r="J28" s="15">
        <v>29174</v>
      </c>
      <c r="K28" s="15">
        <v>35978.318</v>
      </c>
      <c r="L28" s="271">
        <f>(K28-J28)*100/J28</f>
        <v>23.3232261602797</v>
      </c>
      <c r="M28" s="271">
        <f>(K28-Y28)*100/Y28</f>
        <v>76.7194754162778</v>
      </c>
      <c r="N28" s="15">
        <v>8860</v>
      </c>
      <c r="O28" s="15">
        <v>9950</v>
      </c>
      <c r="P28" s="15">
        <v>10603</v>
      </c>
      <c r="Q28" s="15">
        <v>11388</v>
      </c>
      <c r="R28" s="15">
        <v>13108</v>
      </c>
      <c r="S28" s="15">
        <v>14566</v>
      </c>
      <c r="T28" s="15">
        <v>15449</v>
      </c>
      <c r="U28" s="15">
        <v>16213</v>
      </c>
      <c r="V28" s="15">
        <f>16456918/1000</f>
        <v>16456.918</v>
      </c>
      <c r="W28" s="15">
        <v>18958</v>
      </c>
      <c r="X28" s="15">
        <v>19559</v>
      </c>
      <c r="Y28" s="15">
        <v>20359</v>
      </c>
      <c r="Z28" s="229"/>
      <c r="AA28" s="3">
        <v>25456174</v>
      </c>
      <c r="AB28" s="3">
        <f t="shared" si="2"/>
        <v>25456.174</v>
      </c>
      <c r="AD28" s="3">
        <v>27932071</v>
      </c>
      <c r="AE28" s="3">
        <f t="shared" si="3"/>
        <v>27932.071</v>
      </c>
      <c r="AG28" s="3">
        <v>27945110</v>
      </c>
      <c r="AH28" s="3">
        <f>AG28/1000</f>
        <v>27945.11</v>
      </c>
      <c r="AI28" s="3">
        <v>27525186</v>
      </c>
      <c r="AJ28" s="3">
        <f>AI28/1000</f>
        <v>27525.186</v>
      </c>
      <c r="AL28" s="3">
        <v>29174233</v>
      </c>
      <c r="AM28" s="3">
        <f>AL28/1000</f>
        <v>29174.233</v>
      </c>
      <c r="AO28" s="243">
        <v>35978318</v>
      </c>
      <c r="AP28" s="3">
        <f>AO28/1000</f>
        <v>35978.318</v>
      </c>
    </row>
    <row r="29" spans="2:41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229"/>
      <c r="AO29" s="243"/>
    </row>
    <row r="30" spans="1:42" ht="12.75">
      <c r="A30" s="1" t="s">
        <v>21</v>
      </c>
      <c r="B30" s="15">
        <v>1179936</v>
      </c>
      <c r="C30" s="15">
        <v>1183321</v>
      </c>
      <c r="D30" s="15">
        <v>1237973</v>
      </c>
      <c r="E30" s="15">
        <v>1378930</v>
      </c>
      <c r="F30" s="15">
        <v>1428000</v>
      </c>
      <c r="G30" s="15">
        <v>1576992</v>
      </c>
      <c r="H30" s="15">
        <v>1646230</v>
      </c>
      <c r="I30" s="15">
        <v>1688225</v>
      </c>
      <c r="J30" s="15">
        <v>1969194</v>
      </c>
      <c r="K30" s="15">
        <v>2064855.344</v>
      </c>
      <c r="L30" s="271">
        <f>(K30-J30)*100/J30</f>
        <v>4.857893330977041</v>
      </c>
      <c r="M30" s="271">
        <f>(K30-Y30)*100/Y30</f>
        <v>87.33230488404543</v>
      </c>
      <c r="N30" s="15">
        <v>492113</v>
      </c>
      <c r="O30" s="15">
        <v>534596</v>
      </c>
      <c r="P30" s="15">
        <v>600543</v>
      </c>
      <c r="Q30" s="15">
        <v>706791</v>
      </c>
      <c r="R30" s="15">
        <v>741761</v>
      </c>
      <c r="S30" s="15">
        <v>881319</v>
      </c>
      <c r="T30" s="15">
        <v>905501</v>
      </c>
      <c r="U30" s="15">
        <v>886390</v>
      </c>
      <c r="V30" s="15">
        <f>1114941556/1000</f>
        <v>1114941.556</v>
      </c>
      <c r="W30" s="15">
        <v>1067738</v>
      </c>
      <c r="X30" s="15">
        <v>1015499</v>
      </c>
      <c r="Y30" s="15">
        <v>1102242</v>
      </c>
      <c r="Z30" s="229"/>
      <c r="AA30" s="3">
        <v>1427999712</v>
      </c>
      <c r="AB30" s="3">
        <f t="shared" si="2"/>
        <v>1427999.712</v>
      </c>
      <c r="AD30" s="3">
        <v>1576992223</v>
      </c>
      <c r="AE30" s="3">
        <f t="shared" si="3"/>
        <v>1576992.223</v>
      </c>
      <c r="AG30" s="3">
        <v>1646230393</v>
      </c>
      <c r="AH30" s="3">
        <f>AG30/1000</f>
        <v>1646230.393</v>
      </c>
      <c r="AI30" s="3">
        <v>1688224640</v>
      </c>
      <c r="AJ30" s="3">
        <f>AI30/1000</f>
        <v>1688224.64</v>
      </c>
      <c r="AL30" s="3">
        <v>1969194495</v>
      </c>
      <c r="AM30" s="3">
        <f>AL30/1000</f>
        <v>1969194.495</v>
      </c>
      <c r="AO30" s="243">
        <v>2064855344</v>
      </c>
      <c r="AP30" s="3">
        <f>AO30/1000</f>
        <v>2064855.344</v>
      </c>
    </row>
    <row r="31" spans="1:42" ht="12.75">
      <c r="A31" s="1" t="s">
        <v>22</v>
      </c>
      <c r="B31" s="15">
        <v>859239</v>
      </c>
      <c r="C31" s="15">
        <v>945164</v>
      </c>
      <c r="D31" s="15">
        <v>1024886</v>
      </c>
      <c r="E31" s="15">
        <v>1083849</v>
      </c>
      <c r="F31" s="15">
        <v>1146780</v>
      </c>
      <c r="G31" s="15">
        <v>1252257</v>
      </c>
      <c r="H31" s="15">
        <v>1287429</v>
      </c>
      <c r="I31" s="15">
        <v>1339181</v>
      </c>
      <c r="J31" s="15">
        <v>1497806</v>
      </c>
      <c r="K31" s="15">
        <v>1564106.889</v>
      </c>
      <c r="L31" s="271">
        <f>(K31-J31)*100/J31</f>
        <v>4.426533810119599</v>
      </c>
      <c r="M31" s="271">
        <f>(K31-Y31)*100/Y31</f>
        <v>90.33969041490973</v>
      </c>
      <c r="N31" s="15">
        <v>395902</v>
      </c>
      <c r="O31" s="15">
        <v>432442</v>
      </c>
      <c r="P31" s="15">
        <v>468527</v>
      </c>
      <c r="Q31" s="15">
        <v>531025</v>
      </c>
      <c r="R31" s="15">
        <v>580693</v>
      </c>
      <c r="S31" s="15">
        <v>640323</v>
      </c>
      <c r="T31" s="15">
        <v>675182</v>
      </c>
      <c r="U31" s="15">
        <v>664194</v>
      </c>
      <c r="V31" s="15">
        <f>711133024/1000</f>
        <v>711133.024</v>
      </c>
      <c r="W31" s="15">
        <v>763950</v>
      </c>
      <c r="X31" s="15">
        <v>826347</v>
      </c>
      <c r="Y31" s="15">
        <v>821745</v>
      </c>
      <c r="Z31" s="229"/>
      <c r="AA31" s="3">
        <v>1146780049</v>
      </c>
      <c r="AB31" s="3">
        <f t="shared" si="2"/>
        <v>1146780.049</v>
      </c>
      <c r="AD31" s="3">
        <v>1252257452</v>
      </c>
      <c r="AE31" s="3">
        <f t="shared" si="3"/>
        <v>1252257.452</v>
      </c>
      <c r="AG31" s="3">
        <v>1287428817</v>
      </c>
      <c r="AH31" s="3">
        <f>AG31/1000</f>
        <v>1287428.817</v>
      </c>
      <c r="AI31" s="3">
        <v>1339181147</v>
      </c>
      <c r="AJ31" s="3">
        <f>AI31/1000</f>
        <v>1339181.147</v>
      </c>
      <c r="AL31" s="3">
        <v>1497805561</v>
      </c>
      <c r="AM31" s="3">
        <f>AL31/1000</f>
        <v>1497805.561</v>
      </c>
      <c r="AO31" s="243">
        <v>1564106889</v>
      </c>
      <c r="AP31" s="3">
        <f>AO31/1000</f>
        <v>1564106.889</v>
      </c>
    </row>
    <row r="32" spans="1:42" ht="12.75">
      <c r="A32" s="1" t="s">
        <v>23</v>
      </c>
      <c r="B32" s="15">
        <v>50019</v>
      </c>
      <c r="C32" s="15">
        <v>60237</v>
      </c>
      <c r="D32" s="15">
        <v>57468</v>
      </c>
      <c r="E32" s="15">
        <v>54876</v>
      </c>
      <c r="F32" s="15">
        <v>67339</v>
      </c>
      <c r="G32" s="15">
        <v>66049</v>
      </c>
      <c r="H32" s="15">
        <v>78934</v>
      </c>
      <c r="I32" s="15">
        <v>78182</v>
      </c>
      <c r="J32" s="15">
        <v>72774</v>
      </c>
      <c r="K32" s="15">
        <v>82685.971</v>
      </c>
      <c r="L32" s="271">
        <f>(K32-J32)*100/J32</f>
        <v>13.620209140627155</v>
      </c>
      <c r="M32" s="271">
        <f>(K32-Y32)*100/Y32</f>
        <v>98.61634599216931</v>
      </c>
      <c r="N32" s="15">
        <v>16469</v>
      </c>
      <c r="O32" s="15">
        <v>18756</v>
      </c>
      <c r="P32" s="15">
        <v>21273</v>
      </c>
      <c r="Q32" s="15">
        <v>22874</v>
      </c>
      <c r="R32" s="15">
        <v>25813</v>
      </c>
      <c r="S32" s="15">
        <v>29112</v>
      </c>
      <c r="T32" s="15">
        <v>36028</v>
      </c>
      <c r="U32" s="15">
        <v>34293</v>
      </c>
      <c r="V32" s="15">
        <f>34947367/1000</f>
        <v>34947.367</v>
      </c>
      <c r="W32" s="15">
        <v>37589</v>
      </c>
      <c r="X32" s="15">
        <v>44283</v>
      </c>
      <c r="Y32" s="15">
        <v>41631</v>
      </c>
      <c r="Z32" s="229"/>
      <c r="AA32" s="3">
        <v>67339094</v>
      </c>
      <c r="AB32" s="3">
        <f t="shared" si="2"/>
        <v>67339.094</v>
      </c>
      <c r="AD32" s="3">
        <v>66048987</v>
      </c>
      <c r="AE32" s="3">
        <f t="shared" si="3"/>
        <v>66048.987</v>
      </c>
      <c r="AG32" s="3">
        <v>78934081</v>
      </c>
      <c r="AH32" s="3">
        <f>AG32/1000</f>
        <v>78934.081</v>
      </c>
      <c r="AI32" s="3">
        <v>78182479</v>
      </c>
      <c r="AJ32" s="3">
        <f>AI32/1000</f>
        <v>78182.479</v>
      </c>
      <c r="AL32" s="3">
        <v>72774055</v>
      </c>
      <c r="AM32" s="3">
        <f>AL32/1000</f>
        <v>72774.055</v>
      </c>
      <c r="AO32" s="243">
        <v>82685971</v>
      </c>
      <c r="AP32" s="3">
        <f>AO32/1000</f>
        <v>82685.971</v>
      </c>
    </row>
    <row r="33" spans="1:42" ht="12.75">
      <c r="A33" s="1" t="s">
        <v>24</v>
      </c>
      <c r="B33" s="15">
        <v>106212</v>
      </c>
      <c r="C33" s="15">
        <v>111050</v>
      </c>
      <c r="D33" s="15">
        <v>117312</v>
      </c>
      <c r="E33" s="15">
        <v>125397</v>
      </c>
      <c r="F33" s="15">
        <v>131234</v>
      </c>
      <c r="G33" s="15">
        <v>151608</v>
      </c>
      <c r="H33" s="15">
        <v>148416</v>
      </c>
      <c r="I33" s="15">
        <v>153351</v>
      </c>
      <c r="J33" s="15">
        <v>164853</v>
      </c>
      <c r="K33" s="15">
        <v>178967.586</v>
      </c>
      <c r="L33" s="271">
        <f>(K33-J33)*100/J33</f>
        <v>8.561922439992</v>
      </c>
      <c r="M33" s="271">
        <f>(K33-Y33)*100/Y33</f>
        <v>97.01407529722592</v>
      </c>
      <c r="N33" s="15">
        <v>39904</v>
      </c>
      <c r="O33" s="15">
        <v>42081</v>
      </c>
      <c r="P33" s="15">
        <v>46974</v>
      </c>
      <c r="Q33" s="15">
        <v>51579</v>
      </c>
      <c r="R33" s="15">
        <v>58136</v>
      </c>
      <c r="S33" s="15">
        <v>62134</v>
      </c>
      <c r="T33" s="15">
        <v>71488</v>
      </c>
      <c r="U33" s="15">
        <v>79262</v>
      </c>
      <c r="V33" s="15">
        <f>82513977/1000</f>
        <v>82513.977</v>
      </c>
      <c r="W33" s="15">
        <v>83070</v>
      </c>
      <c r="X33" s="15">
        <v>84343</v>
      </c>
      <c r="Y33" s="15">
        <v>90840</v>
      </c>
      <c r="Z33" s="229"/>
      <c r="AA33" s="3">
        <v>131233743</v>
      </c>
      <c r="AB33" s="3">
        <f t="shared" si="2"/>
        <v>131233.743</v>
      </c>
      <c r="AD33" s="3">
        <v>151607580</v>
      </c>
      <c r="AE33" s="3">
        <f t="shared" si="3"/>
        <v>151607.58</v>
      </c>
      <c r="AG33" s="3">
        <v>148415509</v>
      </c>
      <c r="AH33" s="3">
        <f>AG33/1000</f>
        <v>148415.509</v>
      </c>
      <c r="AI33" s="3">
        <v>153350968</v>
      </c>
      <c r="AJ33" s="3">
        <f>AI33/1000</f>
        <v>153350.968</v>
      </c>
      <c r="AL33" s="3">
        <v>164853300</v>
      </c>
      <c r="AM33" s="3">
        <f>AL33/1000</f>
        <v>164853.3</v>
      </c>
      <c r="AO33" s="243">
        <v>178967586</v>
      </c>
      <c r="AP33" s="3">
        <f>AO33/1000</f>
        <v>178967.586</v>
      </c>
    </row>
    <row r="34" spans="1:42" ht="12.75">
      <c r="A34" s="1" t="s">
        <v>25</v>
      </c>
      <c r="B34" s="15">
        <v>24780</v>
      </c>
      <c r="C34" s="15">
        <v>25183</v>
      </c>
      <c r="D34" s="15">
        <v>24663</v>
      </c>
      <c r="E34" s="15">
        <v>26077</v>
      </c>
      <c r="F34" s="15">
        <v>26565</v>
      </c>
      <c r="G34" s="15">
        <v>27851</v>
      </c>
      <c r="H34" s="15">
        <v>35520</v>
      </c>
      <c r="I34" s="15">
        <v>30398</v>
      </c>
      <c r="J34" s="15">
        <v>32610</v>
      </c>
      <c r="K34" s="15">
        <v>36621.817</v>
      </c>
      <c r="L34" s="271">
        <f>(K34-J34)*100/J34</f>
        <v>12.302413370131871</v>
      </c>
      <c r="M34" s="271">
        <f>(K34-Y34)*100/Y34</f>
        <v>52.22303183972068</v>
      </c>
      <c r="N34" s="15">
        <v>10709</v>
      </c>
      <c r="O34" s="15">
        <v>11891</v>
      </c>
      <c r="P34" s="15">
        <v>12405</v>
      </c>
      <c r="Q34" s="15">
        <v>13549</v>
      </c>
      <c r="R34" s="15">
        <v>15646</v>
      </c>
      <c r="S34" s="15">
        <v>16856</v>
      </c>
      <c r="T34" s="15">
        <v>17828</v>
      </c>
      <c r="U34" s="15">
        <v>17937</v>
      </c>
      <c r="V34" s="15">
        <f>19243068/1000</f>
        <v>19243.068</v>
      </c>
      <c r="W34" s="15">
        <v>20480</v>
      </c>
      <c r="X34" s="15">
        <v>21340</v>
      </c>
      <c r="Y34" s="15">
        <v>24058</v>
      </c>
      <c r="Z34" s="229"/>
      <c r="AA34" s="3">
        <v>26565331</v>
      </c>
      <c r="AB34" s="3">
        <f t="shared" si="2"/>
        <v>26565.331</v>
      </c>
      <c r="AD34" s="3">
        <v>27851049</v>
      </c>
      <c r="AE34" s="3">
        <f t="shared" si="3"/>
        <v>27851.049</v>
      </c>
      <c r="AG34" s="3">
        <v>35520050</v>
      </c>
      <c r="AH34" s="3">
        <f>AG34/1000</f>
        <v>35520.05</v>
      </c>
      <c r="AI34" s="3">
        <v>30398367</v>
      </c>
      <c r="AJ34" s="3">
        <f>AI34/1000</f>
        <v>30398.367</v>
      </c>
      <c r="AL34" s="3">
        <v>32610484</v>
      </c>
      <c r="AM34" s="3">
        <f>AL34/1000</f>
        <v>32610.484</v>
      </c>
      <c r="AO34" s="243">
        <v>36621817</v>
      </c>
      <c r="AP34" s="3">
        <f>AO34/1000</f>
        <v>36621.817</v>
      </c>
    </row>
    <row r="35" spans="2:41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229"/>
      <c r="AO35" s="243"/>
    </row>
    <row r="36" spans="1:42" ht="12.75">
      <c r="A36" s="1" t="s">
        <v>26</v>
      </c>
      <c r="B36" s="15">
        <v>35210</v>
      </c>
      <c r="C36" s="15">
        <v>34454</v>
      </c>
      <c r="D36" s="15">
        <v>33752</v>
      </c>
      <c r="E36" s="15">
        <v>33717</v>
      </c>
      <c r="F36" s="15">
        <v>41669</v>
      </c>
      <c r="G36" s="15">
        <v>45254</v>
      </c>
      <c r="H36" s="15">
        <v>46402</v>
      </c>
      <c r="I36" s="15">
        <v>42924</v>
      </c>
      <c r="J36" s="15">
        <v>43510</v>
      </c>
      <c r="K36" s="15">
        <v>46882.443</v>
      </c>
      <c r="L36" s="271">
        <f>(K36-J36)*100/J36</f>
        <v>7.750960698689955</v>
      </c>
      <c r="M36" s="271">
        <f>(K36-Y36)*100/Y36</f>
        <v>58.499080428682504</v>
      </c>
      <c r="N36" s="15">
        <v>13227</v>
      </c>
      <c r="O36" s="15">
        <v>14159</v>
      </c>
      <c r="P36" s="15">
        <v>14928</v>
      </c>
      <c r="Q36" s="15">
        <v>16827</v>
      </c>
      <c r="R36" s="15">
        <v>18561</v>
      </c>
      <c r="S36" s="15">
        <v>22468</v>
      </c>
      <c r="T36" s="15">
        <v>22001</v>
      </c>
      <c r="U36" s="15">
        <v>24187</v>
      </c>
      <c r="V36" s="15">
        <f>23330622/1000</f>
        <v>23330.622</v>
      </c>
      <c r="W36" s="15">
        <v>28560</v>
      </c>
      <c r="X36" s="15">
        <v>28062</v>
      </c>
      <c r="Y36" s="15">
        <v>29579</v>
      </c>
      <c r="Z36" s="229"/>
      <c r="AA36" s="3">
        <v>41668758</v>
      </c>
      <c r="AB36" s="3">
        <f t="shared" si="2"/>
        <v>41668.758</v>
      </c>
      <c r="AD36" s="3">
        <v>45253749</v>
      </c>
      <c r="AE36" s="3">
        <f t="shared" si="3"/>
        <v>45253.749</v>
      </c>
      <c r="AG36" s="3">
        <v>46402211</v>
      </c>
      <c r="AH36" s="3">
        <f>AG36/1000</f>
        <v>46402.211</v>
      </c>
      <c r="AI36" s="3">
        <v>42923896</v>
      </c>
      <c r="AJ36" s="3">
        <f>AI36/1000</f>
        <v>42923.896</v>
      </c>
      <c r="AL36" s="3">
        <v>43510095</v>
      </c>
      <c r="AM36" s="3">
        <f>AL36/1000</f>
        <v>43510.095</v>
      </c>
      <c r="AO36" s="243">
        <v>46882443</v>
      </c>
      <c r="AP36" s="3">
        <f>AO36/1000</f>
        <v>46882.443</v>
      </c>
    </row>
    <row r="37" spans="1:42" ht="12.75">
      <c r="A37" s="1" t="s">
        <v>27</v>
      </c>
      <c r="B37" s="15">
        <v>132147</v>
      </c>
      <c r="C37" s="15">
        <v>133133</v>
      </c>
      <c r="D37" s="15">
        <v>142354</v>
      </c>
      <c r="E37" s="15">
        <v>151647</v>
      </c>
      <c r="F37" s="15">
        <v>154921</v>
      </c>
      <c r="G37" s="15">
        <v>166028</v>
      </c>
      <c r="H37" s="15">
        <v>170801</v>
      </c>
      <c r="I37" s="15">
        <v>182887</v>
      </c>
      <c r="J37" s="15">
        <v>197473</v>
      </c>
      <c r="K37" s="15">
        <v>217420.878</v>
      </c>
      <c r="L37" s="271">
        <f>(K37-J37)*100/J37</f>
        <v>10.101572366855216</v>
      </c>
      <c r="M37" s="271">
        <f>(K37-Y37)*100/Y37</f>
        <v>78.2664376373356</v>
      </c>
      <c r="N37" s="15">
        <v>62225</v>
      </c>
      <c r="O37" s="15">
        <v>68136</v>
      </c>
      <c r="P37" s="15">
        <v>72445</v>
      </c>
      <c r="Q37" s="15">
        <v>79258</v>
      </c>
      <c r="R37" s="15">
        <v>84925</v>
      </c>
      <c r="S37" s="15">
        <v>94217</v>
      </c>
      <c r="T37" s="15">
        <v>101062</v>
      </c>
      <c r="U37" s="15">
        <v>105017</v>
      </c>
      <c r="V37" s="15">
        <f>116866349/1000</f>
        <v>116866.349</v>
      </c>
      <c r="W37" s="15">
        <v>112882</v>
      </c>
      <c r="X37" s="15">
        <v>123671</v>
      </c>
      <c r="Y37" s="15">
        <v>121964</v>
      </c>
      <c r="Z37" s="229"/>
      <c r="AA37" s="3">
        <v>154920905</v>
      </c>
      <c r="AB37" s="3">
        <f t="shared" si="2"/>
        <v>154920.905</v>
      </c>
      <c r="AD37" s="3">
        <v>166028475</v>
      </c>
      <c r="AE37" s="3">
        <f t="shared" si="3"/>
        <v>166028.475</v>
      </c>
      <c r="AG37" s="3">
        <v>170801070</v>
      </c>
      <c r="AH37" s="3">
        <f>AG37/1000</f>
        <v>170801.07</v>
      </c>
      <c r="AI37" s="3">
        <v>182886879</v>
      </c>
      <c r="AJ37" s="3">
        <f>AI37/1000</f>
        <v>182886.879</v>
      </c>
      <c r="AL37" s="3">
        <v>197472528</v>
      </c>
      <c r="AM37" s="3">
        <f>AL37/1000</f>
        <v>197472.528</v>
      </c>
      <c r="AO37" s="244">
        <v>217420878</v>
      </c>
      <c r="AP37" s="3">
        <f>AO37/1000</f>
        <v>217420.878</v>
      </c>
    </row>
    <row r="38" spans="1:42" ht="12.75">
      <c r="A38" s="1" t="s">
        <v>28</v>
      </c>
      <c r="B38" s="15">
        <v>95747</v>
      </c>
      <c r="C38" s="15">
        <v>98242</v>
      </c>
      <c r="D38" s="15">
        <v>115399</v>
      </c>
      <c r="E38" s="15">
        <v>112003</v>
      </c>
      <c r="F38" s="15">
        <v>117318</v>
      </c>
      <c r="G38" s="15">
        <v>122077</v>
      </c>
      <c r="H38" s="15">
        <v>130994</v>
      </c>
      <c r="I38" s="15">
        <v>134582</v>
      </c>
      <c r="J38" s="15">
        <v>151669</v>
      </c>
      <c r="K38" s="15">
        <v>163271.31</v>
      </c>
      <c r="L38" s="271">
        <f>(K38-J38)*100/J38</f>
        <v>7.649757036704928</v>
      </c>
      <c r="M38" s="271">
        <f>(K38-Y38)*100/Y38</f>
        <v>101.32345651610994</v>
      </c>
      <c r="N38" s="15">
        <v>38183</v>
      </c>
      <c r="O38" s="15">
        <v>41780</v>
      </c>
      <c r="P38" s="15">
        <v>43706</v>
      </c>
      <c r="Q38" s="15">
        <v>48370</v>
      </c>
      <c r="R38" s="15">
        <v>54737</v>
      </c>
      <c r="S38" s="15">
        <v>60121</v>
      </c>
      <c r="T38" s="15">
        <v>68605</v>
      </c>
      <c r="U38" s="15">
        <v>67973</v>
      </c>
      <c r="V38" s="15">
        <f>69860442/1000</f>
        <v>69860.442</v>
      </c>
      <c r="W38" s="15">
        <v>75922</v>
      </c>
      <c r="X38" s="15">
        <v>82078</v>
      </c>
      <c r="Y38" s="15">
        <v>81099</v>
      </c>
      <c r="Z38" s="229"/>
      <c r="AA38" s="3">
        <v>117318390</v>
      </c>
      <c r="AB38" s="3">
        <f t="shared" si="2"/>
        <v>117318.39</v>
      </c>
      <c r="AD38" s="3">
        <v>122076503</v>
      </c>
      <c r="AE38" s="3">
        <f t="shared" si="3"/>
        <v>122076.503</v>
      </c>
      <c r="AG38" s="3">
        <v>130994435</v>
      </c>
      <c r="AH38" s="3">
        <f>AG38/1000</f>
        <v>130994.435</v>
      </c>
      <c r="AI38" s="3">
        <v>134581795</v>
      </c>
      <c r="AJ38" s="3">
        <f>AI38/1000</f>
        <v>134581.795</v>
      </c>
      <c r="AL38" s="3">
        <v>151668650</v>
      </c>
      <c r="AM38" s="3">
        <f>AL38/1000</f>
        <v>151668.65</v>
      </c>
      <c r="AO38" s="243">
        <v>163271310</v>
      </c>
      <c r="AP38" s="3">
        <f>AO38/1000</f>
        <v>163271.31</v>
      </c>
    </row>
    <row r="39" spans="1:42" ht="12.75">
      <c r="A39" s="18" t="s">
        <v>29</v>
      </c>
      <c r="B39" s="15">
        <v>53563</v>
      </c>
      <c r="C39" s="15">
        <v>51654</v>
      </c>
      <c r="D39" s="15">
        <v>54932</v>
      </c>
      <c r="E39" s="15">
        <v>65711</v>
      </c>
      <c r="F39" s="15">
        <v>65267</v>
      </c>
      <c r="G39" s="15">
        <v>72555</v>
      </c>
      <c r="H39" s="15">
        <v>72740</v>
      </c>
      <c r="I39" s="15">
        <v>76180</v>
      </c>
      <c r="J39" s="15">
        <v>91352</v>
      </c>
      <c r="K39" s="15">
        <v>94936.294</v>
      </c>
      <c r="L39" s="271">
        <f>(K39-J39)*100/J39</f>
        <v>3.9236075838514695</v>
      </c>
      <c r="M39" s="271">
        <f>(K39-Y39)*100/Y39</f>
        <v>118.10897603786154</v>
      </c>
      <c r="N39" s="15">
        <v>20588</v>
      </c>
      <c r="O39" s="15">
        <v>23794</v>
      </c>
      <c r="P39" s="15">
        <v>26382</v>
      </c>
      <c r="Q39" s="15">
        <v>26532</v>
      </c>
      <c r="R39" s="15">
        <v>28854</v>
      </c>
      <c r="S39" s="15">
        <v>32852</v>
      </c>
      <c r="T39" s="15">
        <v>34998</v>
      </c>
      <c r="U39" s="15">
        <v>36617</v>
      </c>
      <c r="V39" s="15">
        <f>37961130/1000</f>
        <v>37961.13</v>
      </c>
      <c r="W39" s="15">
        <v>41287</v>
      </c>
      <c r="X39" s="25">
        <v>42363</v>
      </c>
      <c r="Y39" s="15">
        <v>43527</v>
      </c>
      <c r="Z39" s="229"/>
      <c r="AA39" s="3">
        <v>65267180</v>
      </c>
      <c r="AB39" s="3">
        <f t="shared" si="2"/>
        <v>65267.18</v>
      </c>
      <c r="AD39" s="3">
        <v>72554787</v>
      </c>
      <c r="AE39" s="3">
        <f t="shared" si="3"/>
        <v>72554.787</v>
      </c>
      <c r="AG39" s="3">
        <v>72739707</v>
      </c>
      <c r="AH39" s="3">
        <f>AG39/1000</f>
        <v>72739.707</v>
      </c>
      <c r="AI39" s="3">
        <v>76179541</v>
      </c>
      <c r="AJ39" s="3">
        <f>AI39/1000</f>
        <v>76179.541</v>
      </c>
      <c r="AL39" s="3">
        <v>91351883</v>
      </c>
      <c r="AM39" s="3">
        <f>AL39/1000</f>
        <v>91351.883</v>
      </c>
      <c r="AO39" s="245">
        <v>94936294</v>
      </c>
      <c r="AP39" s="3">
        <f>AO39/1000</f>
        <v>94936.294</v>
      </c>
    </row>
    <row r="40" spans="1:25" ht="12.75">
      <c r="A40" s="1" t="s">
        <v>232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20"/>
      <c r="R40" s="20"/>
      <c r="S40" s="20"/>
      <c r="T40" s="20"/>
      <c r="X40" s="19"/>
      <c r="Y40" s="20"/>
    </row>
    <row r="41" spans="1:25" ht="12.75">
      <c r="A41" s="1" t="s">
        <v>238</v>
      </c>
      <c r="Q41" s="15"/>
      <c r="R41" s="15"/>
      <c r="S41" s="15"/>
      <c r="T41" s="15"/>
      <c r="Y41" s="15"/>
    </row>
    <row r="42" spans="1:25" ht="12.75">
      <c r="A42" s="3"/>
      <c r="Q42" s="15"/>
      <c r="R42" s="15"/>
      <c r="S42" s="15"/>
      <c r="T42" s="15"/>
      <c r="Y42" s="15"/>
    </row>
    <row r="43" spans="17:25" ht="12.75">
      <c r="Q43" s="15"/>
      <c r="R43" s="15"/>
      <c r="S43" s="15"/>
      <c r="T43" s="15"/>
      <c r="Y43" s="15"/>
    </row>
    <row r="44" spans="17:25" ht="12.75">
      <c r="Q44" s="15"/>
      <c r="R44" s="15"/>
      <c r="S44" s="15"/>
      <c r="T44" s="15"/>
      <c r="Y44" s="15"/>
    </row>
    <row r="45" spans="17:25" ht="12.75">
      <c r="Q45" s="15"/>
      <c r="R45" s="15"/>
      <c r="S45" s="15"/>
      <c r="T45" s="15"/>
      <c r="Y45" s="15"/>
    </row>
    <row r="46" ht="12.75"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</sheetData>
  <sheetProtection password="CAF5" sheet="1" objects="1" scenarios="1"/>
  <mergeCells count="5">
    <mergeCell ref="AL9:AM9"/>
    <mergeCell ref="AI9:AJ9"/>
    <mergeCell ref="AG9:AH9"/>
    <mergeCell ref="AA9:AB9"/>
    <mergeCell ref="AD9:AE9"/>
  </mergeCells>
  <printOptions horizontalCentered="1"/>
  <pageMargins left="0.56" right="0.48" top="1" bottom="1" header="0.5" footer="0.5"/>
  <pageSetup fitToHeight="1" fitToWidth="1" orientation="landscape" scale="76" r:id="rId1"/>
  <headerFooter alignWithMargins="0">
    <oddFooter>&amp;L&amp;"Lucida Sans,Italic"&amp;10MSDE-DBS  12 / 2007&amp;C- 6 -&amp;R&amp;"Lucida Sans,Italic"&amp;10Selected Financial Data - Part 4</oddFooter>
  </headerFooter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workbookViewId="0" topLeftCell="E1">
      <selection activeCell="K11" sqref="K11"/>
    </sheetView>
  </sheetViews>
  <sheetFormatPr defaultColWidth="9.00390625" defaultRowHeight="15.75"/>
  <cols>
    <col min="1" max="1" width="12.875" style="1" customWidth="1"/>
    <col min="2" max="3" width="11.50390625" style="1" customWidth="1"/>
    <col min="4" max="4" width="10.625" style="1" customWidth="1"/>
    <col min="5" max="6" width="10.50390625" style="1" customWidth="1"/>
    <col min="7" max="10" width="12.625" style="1" customWidth="1"/>
    <col min="11" max="11" width="9.625" style="1" customWidth="1"/>
    <col min="12" max="13" width="8.00390625" style="1" customWidth="1"/>
    <col min="14" max="14" width="6.00390625" style="1" customWidth="1"/>
    <col min="15" max="15" width="9.125" style="1" customWidth="1"/>
    <col min="16" max="17" width="9.375" style="1" bestFit="1" customWidth="1"/>
    <col min="18" max="25" width="10.125" style="1" customWidth="1"/>
    <col min="26" max="26" width="12.625" style="102" customWidth="1"/>
    <col min="27" max="27" width="4.875" style="7" customWidth="1"/>
    <col min="28" max="28" width="14.875" style="3" customWidth="1"/>
    <col min="29" max="29" width="11.375" style="3" customWidth="1"/>
    <col min="30" max="30" width="11.125" style="3" bestFit="1" customWidth="1"/>
    <col min="31" max="31" width="10.125" style="3" customWidth="1"/>
    <col min="32" max="32" width="4.75390625" style="3" customWidth="1"/>
    <col min="33" max="33" width="12.50390625" style="3" bestFit="1" customWidth="1"/>
    <col min="34" max="34" width="12.625" style="3" customWidth="1"/>
    <col min="35" max="35" width="11.75390625" style="3" customWidth="1"/>
    <col min="36" max="37" width="10.125" style="3" customWidth="1"/>
    <col min="38" max="38" width="14.75390625" style="3" customWidth="1"/>
    <col min="39" max="39" width="10.875" style="3" customWidth="1"/>
    <col min="40" max="40" width="12.50390625" style="3" bestFit="1" customWidth="1"/>
    <col min="41" max="50" width="10.125" style="3" customWidth="1"/>
    <col min="51" max="16384" width="10.00390625" style="3" customWidth="1"/>
  </cols>
  <sheetData>
    <row r="1" spans="1:27" s="134" customFormat="1" ht="15.75" customHeight="1">
      <c r="A1" s="292" t="s">
        <v>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0"/>
      <c r="O1" s="10"/>
      <c r="P1" s="73"/>
      <c r="Q1" s="73"/>
      <c r="R1" s="102"/>
      <c r="S1" s="2"/>
      <c r="T1" s="2"/>
      <c r="U1" s="2"/>
      <c r="V1" s="102"/>
      <c r="W1" s="102"/>
      <c r="X1" s="102"/>
      <c r="Y1" s="10"/>
      <c r="Z1" s="10"/>
      <c r="AA1" s="190"/>
    </row>
    <row r="2" spans="1:27" s="13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2"/>
      <c r="S2" s="2"/>
      <c r="T2" s="2"/>
      <c r="U2" s="2"/>
      <c r="V2" s="102"/>
      <c r="W2" s="102"/>
      <c r="X2" s="102"/>
      <c r="Y2" s="2"/>
      <c r="Z2" s="2"/>
      <c r="AA2" s="190"/>
    </row>
    <row r="3" spans="1:27" s="134" customFormat="1" ht="12.7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35"/>
      <c r="P3" s="10"/>
      <c r="Q3" s="10"/>
      <c r="R3" s="102"/>
      <c r="S3" s="2"/>
      <c r="T3" s="2"/>
      <c r="U3" s="2"/>
      <c r="V3" s="102"/>
      <c r="W3" s="102"/>
      <c r="X3" s="102"/>
      <c r="Y3" s="2"/>
      <c r="Z3" s="123"/>
      <c r="AA3" s="190"/>
    </row>
    <row r="4" spans="1:27" s="134" customFormat="1" ht="12.75">
      <c r="A4" s="230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35"/>
      <c r="P4" s="10"/>
      <c r="Q4" s="10"/>
      <c r="R4" s="102"/>
      <c r="S4" s="2"/>
      <c r="T4" s="2"/>
      <c r="U4" s="2"/>
      <c r="V4" s="102"/>
      <c r="W4" s="102"/>
      <c r="X4" s="102"/>
      <c r="Y4" s="10"/>
      <c r="Z4" s="123"/>
      <c r="AA4" s="190"/>
    </row>
    <row r="5" spans="1:27" s="134" customFormat="1" ht="13.5" thickBot="1">
      <c r="A5" s="123"/>
      <c r="B5" s="123"/>
      <c r="C5" s="123"/>
      <c r="D5" s="123"/>
      <c r="E5" s="123"/>
      <c r="F5" s="123"/>
      <c r="G5" s="218"/>
      <c r="H5" s="218"/>
      <c r="I5" s="218"/>
      <c r="J5" s="218"/>
      <c r="K5" s="218"/>
      <c r="L5" s="218"/>
      <c r="M5" s="218"/>
      <c r="N5" s="218"/>
      <c r="O5" s="218"/>
      <c r="Q5" s="102"/>
      <c r="R5" s="102"/>
      <c r="S5" s="102"/>
      <c r="T5" s="102"/>
      <c r="U5" s="102"/>
      <c r="V5" s="102"/>
      <c r="W5" s="102"/>
      <c r="X5" s="102"/>
      <c r="Y5" s="102"/>
      <c r="Z5" s="123"/>
      <c r="AA5" s="190"/>
    </row>
    <row r="6" spans="1:2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S6" s="5"/>
      <c r="U6" s="5"/>
      <c r="V6" s="5"/>
      <c r="W6" s="5"/>
      <c r="X6" s="5"/>
      <c r="Y6" s="189"/>
      <c r="Z6" s="5"/>
    </row>
    <row r="7" spans="12:41" ht="12.75">
      <c r="L7" s="290" t="s">
        <v>34</v>
      </c>
      <c r="M7" s="290"/>
      <c r="N7" s="27"/>
      <c r="Y7" s="102"/>
      <c r="Z7" s="1"/>
      <c r="AB7" s="293" t="s">
        <v>187</v>
      </c>
      <c r="AC7" s="293"/>
      <c r="AD7" s="293"/>
      <c r="AE7" s="293"/>
      <c r="AG7" s="293" t="s">
        <v>197</v>
      </c>
      <c r="AH7" s="293"/>
      <c r="AI7" s="293"/>
      <c r="AJ7" s="293"/>
      <c r="AL7" s="293" t="s">
        <v>213</v>
      </c>
      <c r="AM7" s="293"/>
      <c r="AN7" s="293"/>
      <c r="AO7" s="293"/>
    </row>
    <row r="8" spans="1:4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N8" s="27"/>
      <c r="P8" s="7"/>
      <c r="Q8" s="7"/>
      <c r="S8" s="7"/>
      <c r="U8" s="7"/>
      <c r="V8" s="7"/>
      <c r="W8" s="7"/>
      <c r="X8" s="7"/>
      <c r="Y8" s="190"/>
      <c r="Z8" s="7"/>
      <c r="AB8" s="3" t="s">
        <v>172</v>
      </c>
      <c r="AC8" s="3" t="s">
        <v>109</v>
      </c>
      <c r="AG8" s="3" t="s">
        <v>172</v>
      </c>
      <c r="AH8" s="3" t="s">
        <v>109</v>
      </c>
      <c r="AL8" s="3" t="s">
        <v>172</v>
      </c>
      <c r="AM8" s="3" t="s">
        <v>109</v>
      </c>
      <c r="AN8" s="3" t="s">
        <v>218</v>
      </c>
      <c r="AO8" s="3" t="s">
        <v>219</v>
      </c>
    </row>
    <row r="9" spans="1:39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2</v>
      </c>
      <c r="P9" s="9" t="s">
        <v>35</v>
      </c>
      <c r="Q9" s="9" t="s">
        <v>58</v>
      </c>
      <c r="R9" s="9" t="s">
        <v>59</v>
      </c>
      <c r="S9" s="9" t="s">
        <v>60</v>
      </c>
      <c r="T9" s="9" t="s">
        <v>61</v>
      </c>
      <c r="U9" s="9" t="s">
        <v>62</v>
      </c>
      <c r="V9" s="8" t="s">
        <v>65</v>
      </c>
      <c r="W9" s="8" t="s">
        <v>66</v>
      </c>
      <c r="X9" s="36" t="s">
        <v>181</v>
      </c>
      <c r="Y9" s="46" t="s">
        <v>182</v>
      </c>
      <c r="Z9" s="36" t="s">
        <v>183</v>
      </c>
      <c r="AC9" s="3" t="s">
        <v>108</v>
      </c>
      <c r="AH9" s="3" t="s">
        <v>108</v>
      </c>
      <c r="AM9" s="3" t="s">
        <v>108</v>
      </c>
    </row>
    <row r="10" spans="1:41" ht="13.5" thickTop="1">
      <c r="A10" s="7" t="s">
        <v>5</v>
      </c>
      <c r="B10" s="13">
        <f>SUM(B12:B39)</f>
        <v>4916670</v>
      </c>
      <c r="C10" s="13">
        <f>SUM(C12:C39)</f>
        <v>5234380</v>
      </c>
      <c r="D10" s="13">
        <f>SUM(D12:D39)-1</f>
        <v>5563224</v>
      </c>
      <c r="E10" s="13">
        <f aca="true" t="shared" si="0" ref="E10:J10">SUM(E12:E39)</f>
        <v>5921374</v>
      </c>
      <c r="F10" s="13">
        <f t="shared" si="0"/>
        <v>6446370</v>
      </c>
      <c r="G10" s="13">
        <f t="shared" si="0"/>
        <v>6901121</v>
      </c>
      <c r="H10" s="13">
        <f t="shared" si="0"/>
        <v>7314458</v>
      </c>
      <c r="I10" s="13">
        <f t="shared" si="0"/>
        <v>7555882</v>
      </c>
      <c r="J10" s="13">
        <f t="shared" si="0"/>
        <v>8024111</v>
      </c>
      <c r="K10" s="13">
        <f>SUM(K12:K39)</f>
        <v>8691114.07099</v>
      </c>
      <c r="L10" s="271">
        <f>(K10-J10)*100/J10</f>
        <v>8.312485594852811</v>
      </c>
      <c r="M10" s="271">
        <f>(K10-Z10)*100/Z10</f>
        <v>84.51990138168944</v>
      </c>
      <c r="N10" s="271"/>
      <c r="O10" s="14">
        <v>2106149</v>
      </c>
      <c r="P10" s="11">
        <v>2262412</v>
      </c>
      <c r="Q10" s="11">
        <v>2449656</v>
      </c>
      <c r="R10" s="11">
        <v>2725905</v>
      </c>
      <c r="S10" s="11">
        <f aca="true" t="shared" si="1" ref="S10:X10">SUM(S12:S39)</f>
        <v>3021129</v>
      </c>
      <c r="T10" s="11">
        <f t="shared" si="1"/>
        <v>3335386</v>
      </c>
      <c r="U10" s="11">
        <f t="shared" si="1"/>
        <v>3633138</v>
      </c>
      <c r="V10" s="11">
        <f t="shared" si="1"/>
        <v>3745093</v>
      </c>
      <c r="W10" s="11">
        <f t="shared" si="1"/>
        <v>3937239.5520000006</v>
      </c>
      <c r="X10" s="11">
        <f t="shared" si="1"/>
        <v>4276788</v>
      </c>
      <c r="Y10" s="232">
        <f>SUM(Y12:Y39)</f>
        <v>4539001</v>
      </c>
      <c r="Z10" s="13">
        <f>SUM(Z12:Z39)</f>
        <v>4710122.867999999</v>
      </c>
      <c r="AB10" s="11">
        <f>SUM(AB12:AB39)</f>
        <v>7939446615</v>
      </c>
      <c r="AC10" s="169">
        <f>SUM(AC12:AC39)</f>
        <v>383567010</v>
      </c>
      <c r="AD10" s="68">
        <f>SUM(AD12:AD39)</f>
        <v>7555879605</v>
      </c>
      <c r="AG10" s="11">
        <f>SUM(AG12:AG39)</f>
        <v>8427289516</v>
      </c>
      <c r="AH10" s="11">
        <f>SUM(AH12:AH39)</f>
        <v>403179150</v>
      </c>
      <c r="AI10" s="68">
        <f>SUM(AI12:AI39)</f>
        <v>8024110366</v>
      </c>
      <c r="AL10" s="11">
        <f>SUM(AL12:AL39)</f>
        <v>9097990497.99</v>
      </c>
      <c r="AM10" s="11">
        <f>SUM(AM12:AM39)</f>
        <v>406876427</v>
      </c>
      <c r="AN10" s="11">
        <f>SUM(AN12:AN39)</f>
        <v>8691114070.99</v>
      </c>
      <c r="AO10" s="11">
        <f>SUM(AO12:AO39)</f>
        <v>8691114.07099</v>
      </c>
    </row>
    <row r="11" spans="2:29" ht="12.75">
      <c r="B11" s="97"/>
      <c r="C11" s="97"/>
      <c r="D11" s="97"/>
      <c r="E11" s="97"/>
      <c r="F11" s="97"/>
      <c r="G11" s="97"/>
      <c r="H11" s="97"/>
      <c r="I11" s="97"/>
      <c r="J11" s="97"/>
      <c r="K11" s="97"/>
      <c r="M11" s="15"/>
      <c r="N11" s="15"/>
      <c r="O11" s="15"/>
      <c r="P11" s="15"/>
      <c r="U11" s="15"/>
      <c r="V11" s="97"/>
      <c r="W11" s="97"/>
      <c r="X11" s="97"/>
      <c r="Y11" s="223"/>
      <c r="Z11" s="97"/>
      <c r="AC11" s="43"/>
    </row>
    <row r="12" spans="1:41" ht="12.75">
      <c r="A12" s="1" t="s">
        <v>6</v>
      </c>
      <c r="B12" s="15">
        <v>60253</v>
      </c>
      <c r="C12" s="15">
        <v>64812</v>
      </c>
      <c r="D12" s="15">
        <v>68394</v>
      </c>
      <c r="E12" s="15">
        <v>71318</v>
      </c>
      <c r="F12" s="15">
        <v>71944</v>
      </c>
      <c r="G12" s="15">
        <v>78069</v>
      </c>
      <c r="H12" s="15">
        <v>81729</v>
      </c>
      <c r="I12" s="15">
        <v>84276</v>
      </c>
      <c r="J12" s="15">
        <v>87878</v>
      </c>
      <c r="K12" s="15">
        <v>95611.442</v>
      </c>
      <c r="L12" s="271">
        <f>(K12-J12)*100/J12</f>
        <v>8.80020255354013</v>
      </c>
      <c r="M12" s="271">
        <f>(K12-Z12)*100/Z12</f>
        <v>61.25228582756801</v>
      </c>
      <c r="N12" s="271"/>
      <c r="O12" s="15">
        <v>30946</v>
      </c>
      <c r="P12" s="15">
        <v>33158</v>
      </c>
      <c r="Q12" s="15">
        <v>35067</v>
      </c>
      <c r="R12" s="15">
        <v>37547</v>
      </c>
      <c r="S12" s="15">
        <v>40551</v>
      </c>
      <c r="T12" s="15">
        <f>48947-6071</f>
        <v>42876</v>
      </c>
      <c r="U12" s="15">
        <f>51893-6363</f>
        <v>45530</v>
      </c>
      <c r="V12" s="15">
        <v>47866</v>
      </c>
      <c r="W12" s="15">
        <f>55236.735-5910.296</f>
        <v>49326.439</v>
      </c>
      <c r="X12" s="15">
        <v>53965</v>
      </c>
      <c r="Y12" s="224">
        <v>57062</v>
      </c>
      <c r="Z12" s="15">
        <f>64631.819-5338.742</f>
        <v>59293.077000000005</v>
      </c>
      <c r="AB12" s="32">
        <v>88351428</v>
      </c>
      <c r="AC12" s="170">
        <v>4075912</v>
      </c>
      <c r="AD12" s="3">
        <f>AB12-AC12</f>
        <v>84275516</v>
      </c>
      <c r="AE12" s="3">
        <f>AD12/1000</f>
        <v>84275.516</v>
      </c>
      <c r="AG12" s="3">
        <v>92084584</v>
      </c>
      <c r="AH12" s="3">
        <v>4206214</v>
      </c>
      <c r="AI12" s="3">
        <f>AG12-AH12</f>
        <v>87878370</v>
      </c>
      <c r="AJ12" s="3">
        <f>AI12/1000</f>
        <v>87878.37</v>
      </c>
      <c r="AL12" s="3">
        <v>99934865</v>
      </c>
      <c r="AM12" s="3">
        <v>4323423</v>
      </c>
      <c r="AN12" s="3">
        <f>AL12-AM12</f>
        <v>95611442</v>
      </c>
      <c r="AO12" s="3">
        <f>AN12/1000</f>
        <v>95611.442</v>
      </c>
    </row>
    <row r="13" spans="1:41" ht="12.75">
      <c r="A13" s="1" t="s">
        <v>7</v>
      </c>
      <c r="B13" s="15">
        <v>416830</v>
      </c>
      <c r="C13" s="15">
        <v>436234</v>
      </c>
      <c r="D13" s="15">
        <v>455369</v>
      </c>
      <c r="E13" s="15">
        <v>490560</v>
      </c>
      <c r="F13" s="15">
        <v>538320</v>
      </c>
      <c r="G13" s="15">
        <v>575270</v>
      </c>
      <c r="H13" s="15">
        <v>600637</v>
      </c>
      <c r="I13" s="15">
        <v>617259</v>
      </c>
      <c r="J13" s="15">
        <v>652008</v>
      </c>
      <c r="K13" s="15">
        <v>700719.83</v>
      </c>
      <c r="L13" s="271">
        <f>(K13-J13)*100/J13</f>
        <v>7.4710479012527395</v>
      </c>
      <c r="M13" s="271">
        <f>(K13-Z13)*100/Z13</f>
        <v>70.9219194494256</v>
      </c>
      <c r="N13" s="271"/>
      <c r="O13" s="15">
        <v>189735</v>
      </c>
      <c r="P13" s="15">
        <v>204413</v>
      </c>
      <c r="Q13" s="15">
        <v>221911</v>
      </c>
      <c r="R13" s="15">
        <v>246541</v>
      </c>
      <c r="S13" s="15">
        <f>308468-37867</f>
        <v>270601</v>
      </c>
      <c r="T13" s="15">
        <f>340737-40924</f>
        <v>299813</v>
      </c>
      <c r="U13" s="15">
        <f>374725-46341</f>
        <v>328384</v>
      </c>
      <c r="V13" s="15">
        <v>328395</v>
      </c>
      <c r="W13" s="15">
        <f>391070.31-46271.804</f>
        <v>344798.506</v>
      </c>
      <c r="X13" s="15">
        <v>374725</v>
      </c>
      <c r="Y13" s="224">
        <v>399666</v>
      </c>
      <c r="Z13" s="15">
        <f>448631.679-38666.806</f>
        <v>409964.873</v>
      </c>
      <c r="AB13" s="32">
        <v>648678816</v>
      </c>
      <c r="AC13" s="170">
        <v>31419929</v>
      </c>
      <c r="AD13" s="3">
        <f>AB13-AC13</f>
        <v>617258887</v>
      </c>
      <c r="AE13" s="3">
        <f>AD13/1000</f>
        <v>617258.887</v>
      </c>
      <c r="AG13" s="3">
        <v>684197237</v>
      </c>
      <c r="AH13" s="3">
        <v>32189217</v>
      </c>
      <c r="AI13" s="3">
        <f>AG13-AH13</f>
        <v>652008020</v>
      </c>
      <c r="AJ13" s="3">
        <f>AI13/1000</f>
        <v>652008.02</v>
      </c>
      <c r="AL13" s="3">
        <v>732747201</v>
      </c>
      <c r="AM13" s="3">
        <v>32027371</v>
      </c>
      <c r="AN13" s="3">
        <f>AL13-AM13</f>
        <v>700719830</v>
      </c>
      <c r="AO13" s="3">
        <f>AN13/1000</f>
        <v>700719.83</v>
      </c>
    </row>
    <row r="14" spans="1:41" ht="12.75">
      <c r="A14" s="1" t="s">
        <v>8</v>
      </c>
      <c r="B14" s="15">
        <v>658450</v>
      </c>
      <c r="C14" s="15">
        <v>711511</v>
      </c>
      <c r="D14" s="15">
        <v>754773</v>
      </c>
      <c r="E14" s="15">
        <v>779570</v>
      </c>
      <c r="F14" s="15">
        <v>849577</v>
      </c>
      <c r="G14" s="15">
        <v>879095</v>
      </c>
      <c r="H14" s="15">
        <v>909363</v>
      </c>
      <c r="I14" s="15">
        <v>855473</v>
      </c>
      <c r="J14" s="15">
        <v>854376</v>
      </c>
      <c r="K14" s="15">
        <v>943473.948</v>
      </c>
      <c r="L14" s="271">
        <f>(K14-J14)*100/J14</f>
        <v>10.428423551223345</v>
      </c>
      <c r="M14" s="271">
        <f>(K14-Z14)*100/Z14</f>
        <v>50.51553328656144</v>
      </c>
      <c r="N14" s="271"/>
      <c r="O14" s="15">
        <v>301380</v>
      </c>
      <c r="P14" s="15">
        <v>321373</v>
      </c>
      <c r="Q14" s="15">
        <v>340361</v>
      </c>
      <c r="R14" s="15">
        <v>372192</v>
      </c>
      <c r="S14" s="15">
        <f>459884-47170</f>
        <v>412714</v>
      </c>
      <c r="T14" s="15">
        <f>499758-54991</f>
        <v>444767</v>
      </c>
      <c r="U14" s="15">
        <f>544301-59177</f>
        <v>485124</v>
      </c>
      <c r="V14" s="15">
        <v>514518</v>
      </c>
      <c r="W14" s="15">
        <f>611921.819-58505.237</f>
        <v>553416.582</v>
      </c>
      <c r="X14" s="15">
        <v>587715</v>
      </c>
      <c r="Y14" s="224">
        <v>604889</v>
      </c>
      <c r="Z14" s="15">
        <f>679601.035-52772.742</f>
        <v>626828.2930000001</v>
      </c>
      <c r="AB14" s="32">
        <v>899119516</v>
      </c>
      <c r="AC14" s="170">
        <v>43646985</v>
      </c>
      <c r="AD14" s="3">
        <f>AB14-AC14</f>
        <v>855472531</v>
      </c>
      <c r="AE14" s="3">
        <f>AD14/1000</f>
        <v>855472.531</v>
      </c>
      <c r="AG14" s="3">
        <v>900715286</v>
      </c>
      <c r="AH14" s="3">
        <v>46339455</v>
      </c>
      <c r="AI14" s="3">
        <f>AG14-AH14</f>
        <v>854375831</v>
      </c>
      <c r="AJ14" s="3">
        <f>AI14/1000</f>
        <v>854375.831</v>
      </c>
      <c r="AL14" s="3">
        <v>985440128</v>
      </c>
      <c r="AM14" s="3">
        <v>41966180</v>
      </c>
      <c r="AN14" s="3">
        <f>AL14-AM14</f>
        <v>943473948</v>
      </c>
      <c r="AO14" s="3">
        <f>AN14/1000</f>
        <v>943473.948</v>
      </c>
    </row>
    <row r="15" spans="1:41" ht="12.75">
      <c r="A15" s="1" t="s">
        <v>9</v>
      </c>
      <c r="B15" s="15">
        <v>631823</v>
      </c>
      <c r="C15" s="15">
        <v>671462</v>
      </c>
      <c r="D15" s="15">
        <v>702432</v>
      </c>
      <c r="E15" s="15">
        <v>737636</v>
      </c>
      <c r="F15" s="15">
        <v>816965</v>
      </c>
      <c r="G15" s="15">
        <v>860910</v>
      </c>
      <c r="H15" s="15">
        <v>899691</v>
      </c>
      <c r="I15" s="15">
        <v>932810</v>
      </c>
      <c r="J15" s="15">
        <v>987324</v>
      </c>
      <c r="K15" s="15">
        <v>1056945.45</v>
      </c>
      <c r="L15" s="271">
        <f>(K15-J15)*100/J15</f>
        <v>7.051530196774307</v>
      </c>
      <c r="M15" s="271">
        <f>(K15-Z15)*100/Z15</f>
        <v>76.12061608871376</v>
      </c>
      <c r="N15" s="271"/>
      <c r="O15" s="15">
        <v>294797</v>
      </c>
      <c r="P15" s="15">
        <v>308464</v>
      </c>
      <c r="Q15" s="15">
        <v>332002</v>
      </c>
      <c r="R15" s="15">
        <v>354207</v>
      </c>
      <c r="S15" s="15">
        <f>461067-65487</f>
        <v>395580</v>
      </c>
      <c r="T15" s="15">
        <f>500408-66166</f>
        <v>434242</v>
      </c>
      <c r="U15" s="15">
        <f>528024-69927</f>
        <v>458097</v>
      </c>
      <c r="V15" s="15">
        <v>475747</v>
      </c>
      <c r="W15" s="15">
        <f>562745.105-66134.198</f>
        <v>496610.907</v>
      </c>
      <c r="X15" s="15">
        <v>534777</v>
      </c>
      <c r="Y15" s="224">
        <v>579938</v>
      </c>
      <c r="Z15" s="15">
        <f>654056.579-53930.669</f>
        <v>600125.91</v>
      </c>
      <c r="AB15" s="32">
        <v>981049114</v>
      </c>
      <c r="AC15" s="170">
        <v>48239310</v>
      </c>
      <c r="AD15" s="3">
        <f>AB15-AC15</f>
        <v>932809804</v>
      </c>
      <c r="AE15" s="3">
        <f>AD15/1000</f>
        <v>932809.804</v>
      </c>
      <c r="AG15" s="3">
        <v>1036800176</v>
      </c>
      <c r="AH15" s="3">
        <v>49476521</v>
      </c>
      <c r="AI15" s="3">
        <f>AG15-AH15</f>
        <v>987323655</v>
      </c>
      <c r="AJ15" s="3">
        <f>AI15/1000</f>
        <v>987323.655</v>
      </c>
      <c r="AL15" s="3">
        <v>1106375967</v>
      </c>
      <c r="AM15" s="3">
        <v>49430517</v>
      </c>
      <c r="AN15" s="3">
        <f>AL15-AM15</f>
        <v>1056945450</v>
      </c>
      <c r="AO15" s="3">
        <f>AN15/1000</f>
        <v>1056945.45</v>
      </c>
    </row>
    <row r="16" spans="1:41" ht="12.75">
      <c r="A16" s="1" t="s">
        <v>10</v>
      </c>
      <c r="B16" s="15">
        <v>77277</v>
      </c>
      <c r="C16" s="15">
        <v>83216</v>
      </c>
      <c r="D16" s="15">
        <v>91661</v>
      </c>
      <c r="E16" s="15">
        <v>98843</v>
      </c>
      <c r="F16" s="15">
        <v>108648</v>
      </c>
      <c r="G16" s="15">
        <v>119737</v>
      </c>
      <c r="H16" s="15">
        <v>131499</v>
      </c>
      <c r="I16" s="15">
        <v>141449</v>
      </c>
      <c r="J16" s="15">
        <v>149918</v>
      </c>
      <c r="K16" s="15">
        <v>161983.14499</v>
      </c>
      <c r="L16" s="271">
        <f>(K16-J16)*100/J16</f>
        <v>8.047829473445484</v>
      </c>
      <c r="M16" s="271">
        <f>(K16-Z16)*100/Z16</f>
        <v>125.19707070705945</v>
      </c>
      <c r="N16" s="271"/>
      <c r="O16" s="15">
        <v>24392</v>
      </c>
      <c r="P16" s="15">
        <v>26707</v>
      </c>
      <c r="Q16" s="15">
        <v>28708</v>
      </c>
      <c r="R16" s="15">
        <v>32353</v>
      </c>
      <c r="S16" s="15">
        <f>41752-4713</f>
        <v>37039</v>
      </c>
      <c r="T16" s="15">
        <f>46760-5068</f>
        <v>41692</v>
      </c>
      <c r="U16" s="15">
        <f>52501-6515</f>
        <v>45986</v>
      </c>
      <c r="V16" s="15">
        <v>52597</v>
      </c>
      <c r="W16" s="15">
        <f>64505.131-6887.743</f>
        <v>57617.388</v>
      </c>
      <c r="X16" s="15">
        <v>62900</v>
      </c>
      <c r="Y16" s="224">
        <v>67487</v>
      </c>
      <c r="Z16" s="15">
        <f>78368.169-6438.661</f>
        <v>71929.508</v>
      </c>
      <c r="AB16" s="32">
        <v>148437645</v>
      </c>
      <c r="AC16" s="170">
        <v>6988324</v>
      </c>
      <c r="AD16" s="3">
        <f>AB16-AC16</f>
        <v>141449321</v>
      </c>
      <c r="AE16" s="3">
        <f>AD16/1000</f>
        <v>141449.321</v>
      </c>
      <c r="AG16" s="3">
        <v>157586683</v>
      </c>
      <c r="AH16" s="3">
        <v>7669075</v>
      </c>
      <c r="AI16" s="3">
        <f>AG16-AH16</f>
        <v>149917608</v>
      </c>
      <c r="AJ16" s="3">
        <f>AI16/1000</f>
        <v>149917.608</v>
      </c>
      <c r="AL16" s="3">
        <v>170257953.99</v>
      </c>
      <c r="AM16" s="3">
        <v>8274809</v>
      </c>
      <c r="AN16" s="3">
        <f>AL16-AM16</f>
        <v>161983144.99</v>
      </c>
      <c r="AO16" s="3">
        <f>AN16/1000</f>
        <v>161983.14499</v>
      </c>
    </row>
    <row r="17" spans="2:29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1"/>
      <c r="M17" s="271"/>
      <c r="N17" s="271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24"/>
      <c r="Z17" s="15"/>
      <c r="AB17" s="32"/>
      <c r="AC17" s="170"/>
    </row>
    <row r="18" spans="1:41" ht="12.75">
      <c r="A18" s="1" t="s">
        <v>11</v>
      </c>
      <c r="B18" s="15">
        <v>29399</v>
      </c>
      <c r="C18" s="15">
        <v>31017</v>
      </c>
      <c r="D18" s="15">
        <v>33334</v>
      </c>
      <c r="E18" s="15">
        <v>33678</v>
      </c>
      <c r="F18" s="15">
        <v>35108</v>
      </c>
      <c r="G18" s="15">
        <v>37657</v>
      </c>
      <c r="H18" s="15">
        <v>40627</v>
      </c>
      <c r="I18" s="15">
        <v>42949</v>
      </c>
      <c r="J18" s="15">
        <v>44184</v>
      </c>
      <c r="K18" s="15">
        <v>47841.109</v>
      </c>
      <c r="L18" s="271">
        <f>(K18-J18)*100/J18</f>
        <v>8.276998460981343</v>
      </c>
      <c r="M18" s="271">
        <f>(K18-Z18)*100/Z18</f>
        <v>73.34995700593156</v>
      </c>
      <c r="N18" s="271"/>
      <c r="O18" s="15">
        <v>11015</v>
      </c>
      <c r="P18" s="15">
        <v>11674</v>
      </c>
      <c r="Q18" s="15">
        <v>12896</v>
      </c>
      <c r="R18" s="15">
        <v>14752</v>
      </c>
      <c r="S18" s="15">
        <f>18478-2171</f>
        <v>16307</v>
      </c>
      <c r="T18" s="15">
        <f>20032-2321</f>
        <v>17711</v>
      </c>
      <c r="U18" s="15">
        <f>22240-2563</f>
        <v>19677</v>
      </c>
      <c r="V18" s="15">
        <v>20656</v>
      </c>
      <c r="W18" s="15">
        <f>24789.461-2855.428</f>
        <v>21934.033</v>
      </c>
      <c r="X18" s="15">
        <v>24427</v>
      </c>
      <c r="Y18" s="224">
        <v>26372</v>
      </c>
      <c r="Z18" s="15">
        <f>30139.155-2541.162</f>
        <v>27597.993</v>
      </c>
      <c r="AB18" s="32">
        <v>45171693</v>
      </c>
      <c r="AC18" s="170">
        <v>2223099</v>
      </c>
      <c r="AD18" s="3">
        <f>AB18-AC18</f>
        <v>42948594</v>
      </c>
      <c r="AE18" s="3">
        <f>AD18/1000</f>
        <v>42948.594</v>
      </c>
      <c r="AG18" s="3">
        <v>46535839</v>
      </c>
      <c r="AH18" s="3">
        <v>2351696</v>
      </c>
      <c r="AI18" s="3">
        <f>AG18-AH18</f>
        <v>44184143</v>
      </c>
      <c r="AJ18" s="3">
        <f>AI18/1000</f>
        <v>44184.143</v>
      </c>
      <c r="AL18" s="3">
        <v>50262294</v>
      </c>
      <c r="AM18" s="3">
        <v>2421185</v>
      </c>
      <c r="AN18" s="3">
        <f>AL18-AM18</f>
        <v>47841109</v>
      </c>
      <c r="AO18" s="3">
        <f>AN18/1000</f>
        <v>47841.109</v>
      </c>
    </row>
    <row r="19" spans="1:41" ht="12.75">
      <c r="A19" s="1" t="s">
        <v>12</v>
      </c>
      <c r="B19" s="15">
        <v>141117</v>
      </c>
      <c r="C19" s="15">
        <v>149317</v>
      </c>
      <c r="D19" s="15">
        <v>162294</v>
      </c>
      <c r="E19" s="15">
        <v>171347</v>
      </c>
      <c r="F19" s="15">
        <v>184176</v>
      </c>
      <c r="G19" s="15">
        <v>196738</v>
      </c>
      <c r="H19" s="15">
        <v>211353</v>
      </c>
      <c r="I19" s="15">
        <v>225117</v>
      </c>
      <c r="J19" s="15">
        <v>241402</v>
      </c>
      <c r="K19" s="15">
        <v>262092.118</v>
      </c>
      <c r="L19" s="271">
        <f>(K19-J19)*100/J19</f>
        <v>8.570814657707885</v>
      </c>
      <c r="M19" s="271">
        <f>(K19-Z19)*100/Z19</f>
        <v>94.99050677912582</v>
      </c>
      <c r="N19" s="271"/>
      <c r="O19" s="15">
        <v>50291</v>
      </c>
      <c r="P19" s="15">
        <v>53702</v>
      </c>
      <c r="Q19" s="15">
        <v>58866</v>
      </c>
      <c r="R19" s="15">
        <v>68577</v>
      </c>
      <c r="S19" s="15">
        <f>88640-10473</f>
        <v>78167</v>
      </c>
      <c r="T19" s="15">
        <f>98174-11488</f>
        <v>86686</v>
      </c>
      <c r="U19" s="15">
        <f>109090-12835</f>
        <v>96255</v>
      </c>
      <c r="V19" s="15">
        <v>101848</v>
      </c>
      <c r="W19" s="15">
        <f>121435.705-14311.599</f>
        <v>107124.106</v>
      </c>
      <c r="X19" s="15">
        <v>119593</v>
      </c>
      <c r="Y19" s="224">
        <v>130827</v>
      </c>
      <c r="Z19" s="15">
        <f>146305.533-11892.775</f>
        <v>134412.758</v>
      </c>
      <c r="AB19" s="32">
        <v>236000428</v>
      </c>
      <c r="AC19" s="170">
        <v>10883129</v>
      </c>
      <c r="AD19" s="3">
        <f>AB19-AC19</f>
        <v>225117299</v>
      </c>
      <c r="AE19" s="3">
        <f>AD19/1000</f>
        <v>225117.299</v>
      </c>
      <c r="AG19" s="3">
        <v>252984688</v>
      </c>
      <c r="AH19" s="3">
        <v>11582831</v>
      </c>
      <c r="AI19" s="3">
        <f>AG19-AH19</f>
        <v>241401857</v>
      </c>
      <c r="AJ19" s="3">
        <f>AI19/1000</f>
        <v>241401.857</v>
      </c>
      <c r="AL19" s="3">
        <v>274272755</v>
      </c>
      <c r="AM19" s="3">
        <v>12180637</v>
      </c>
      <c r="AN19" s="3">
        <f>AL19-AM19</f>
        <v>262092118</v>
      </c>
      <c r="AO19" s="3">
        <f>AN19/1000</f>
        <v>262092.118</v>
      </c>
    </row>
    <row r="20" spans="1:41" ht="12.75">
      <c r="A20" s="1" t="s">
        <v>13</v>
      </c>
      <c r="B20" s="15">
        <v>76639</v>
      </c>
      <c r="C20" s="15">
        <v>82545</v>
      </c>
      <c r="D20" s="15">
        <v>89503</v>
      </c>
      <c r="E20" s="15">
        <v>94913</v>
      </c>
      <c r="F20" s="15">
        <v>104037</v>
      </c>
      <c r="G20" s="15">
        <v>111201</v>
      </c>
      <c r="H20" s="15">
        <v>118455</v>
      </c>
      <c r="I20" s="15">
        <v>125725</v>
      </c>
      <c r="J20" s="15">
        <v>134957</v>
      </c>
      <c r="K20" s="15">
        <v>148570.546</v>
      </c>
      <c r="L20" s="271">
        <f>(K20-J20)*100/J20</f>
        <v>10.087321146735627</v>
      </c>
      <c r="M20" s="271">
        <f>(K20-Z20)*100/Z20</f>
        <v>99.4408802794369</v>
      </c>
      <c r="N20" s="271"/>
      <c r="O20" s="15">
        <v>31444</v>
      </c>
      <c r="P20" s="15">
        <v>34049</v>
      </c>
      <c r="Q20" s="15">
        <v>36341</v>
      </c>
      <c r="R20" s="15">
        <v>40893</v>
      </c>
      <c r="S20" s="15">
        <f>50352-5452</f>
        <v>44900</v>
      </c>
      <c r="T20" s="15">
        <f>57080-6444</f>
        <v>50636</v>
      </c>
      <c r="U20" s="15">
        <f>61594-7190</f>
        <v>54404</v>
      </c>
      <c r="V20" s="15">
        <v>57487</v>
      </c>
      <c r="W20" s="15">
        <f>66611.725-7921.726</f>
        <v>58689.999</v>
      </c>
      <c r="X20" s="15">
        <v>66833</v>
      </c>
      <c r="Y20" s="224">
        <v>71710</v>
      </c>
      <c r="Z20" s="15">
        <f>81431.025-6937.498</f>
        <v>74493.527</v>
      </c>
      <c r="AB20" s="32">
        <v>132195637</v>
      </c>
      <c r="AC20" s="170">
        <v>6470587</v>
      </c>
      <c r="AD20" s="3">
        <f>AB20-AC20</f>
        <v>125725050</v>
      </c>
      <c r="AE20" s="3">
        <f>AD20/1000</f>
        <v>125725.05</v>
      </c>
      <c r="AG20" s="3">
        <v>141782842</v>
      </c>
      <c r="AH20" s="3">
        <v>6826204</v>
      </c>
      <c r="AI20" s="3">
        <f>AG20-AH20</f>
        <v>134956638</v>
      </c>
      <c r="AJ20" s="3">
        <f>AI20/1000</f>
        <v>134956.638</v>
      </c>
      <c r="AL20" s="3">
        <v>155694308</v>
      </c>
      <c r="AM20" s="3">
        <v>7123762</v>
      </c>
      <c r="AN20" s="3">
        <f>AL20-AM20</f>
        <v>148570546</v>
      </c>
      <c r="AO20" s="3">
        <f>AN20/1000</f>
        <v>148570.546</v>
      </c>
    </row>
    <row r="21" spans="1:41" ht="12.75">
      <c r="A21" s="1" t="s">
        <v>14</v>
      </c>
      <c r="B21" s="15">
        <v>116942</v>
      </c>
      <c r="C21" s="15">
        <v>126279</v>
      </c>
      <c r="D21" s="15">
        <v>134801</v>
      </c>
      <c r="E21" s="15">
        <v>146553</v>
      </c>
      <c r="F21" s="15">
        <v>156707</v>
      </c>
      <c r="G21" s="15">
        <v>169100</v>
      </c>
      <c r="H21" s="15">
        <v>182941</v>
      </c>
      <c r="I21" s="15">
        <v>195686</v>
      </c>
      <c r="J21" s="15">
        <v>213861</v>
      </c>
      <c r="K21" s="15">
        <v>238730.337</v>
      </c>
      <c r="L21" s="271">
        <f>(K21-J21)*100/J21</f>
        <v>11.628738760222763</v>
      </c>
      <c r="M21" s="271">
        <f>(K21-Z21)*100/Z21</f>
        <v>112.014253433575</v>
      </c>
      <c r="N21" s="271"/>
      <c r="O21" s="15">
        <v>46636</v>
      </c>
      <c r="P21" s="15">
        <v>50244</v>
      </c>
      <c r="Q21" s="15">
        <v>54462</v>
      </c>
      <c r="R21" s="15">
        <v>62048</v>
      </c>
      <c r="S21" s="15">
        <f>77762-7502</f>
        <v>70260</v>
      </c>
      <c r="T21" s="15">
        <f>89174-8406</f>
        <v>80768</v>
      </c>
      <c r="U21" s="15">
        <f>97035-9472</f>
        <v>87563</v>
      </c>
      <c r="V21" s="15">
        <v>91925</v>
      </c>
      <c r="W21" s="15">
        <f>108271.631-11727.476</f>
        <v>96544.155</v>
      </c>
      <c r="X21" s="15">
        <v>105769</v>
      </c>
      <c r="Y21" s="224">
        <v>110883</v>
      </c>
      <c r="Z21" s="15">
        <f>123172.841-10571.762</f>
        <v>112601.079</v>
      </c>
      <c r="AB21" s="32">
        <v>205348618</v>
      </c>
      <c r="AC21" s="170">
        <v>9662923</v>
      </c>
      <c r="AD21" s="3">
        <f>AB21-AC21</f>
        <v>195685695</v>
      </c>
      <c r="AE21" s="3">
        <f>AD21/1000</f>
        <v>195685.695</v>
      </c>
      <c r="AG21" s="3">
        <v>224042551</v>
      </c>
      <c r="AH21" s="3">
        <v>10181678</v>
      </c>
      <c r="AI21" s="3">
        <f>AG21-AH21</f>
        <v>213860873</v>
      </c>
      <c r="AJ21" s="3">
        <f>AI21/1000</f>
        <v>213860.873</v>
      </c>
      <c r="AL21" s="3">
        <v>249166391</v>
      </c>
      <c r="AM21" s="3">
        <v>10436054</v>
      </c>
      <c r="AN21" s="3">
        <f>AL21-AM21</f>
        <v>238730337</v>
      </c>
      <c r="AO21" s="3">
        <f>AN21/1000</f>
        <v>238730.337</v>
      </c>
    </row>
    <row r="22" spans="1:41" ht="12.75">
      <c r="A22" s="1" t="s">
        <v>15</v>
      </c>
      <c r="B22" s="15">
        <v>29261</v>
      </c>
      <c r="C22" s="15">
        <v>31395</v>
      </c>
      <c r="D22" s="15">
        <v>31867</v>
      </c>
      <c r="E22" s="15">
        <v>34396</v>
      </c>
      <c r="F22" s="15">
        <v>36719</v>
      </c>
      <c r="G22" s="15">
        <v>37219</v>
      </c>
      <c r="H22" s="15">
        <v>38888</v>
      </c>
      <c r="I22" s="15">
        <v>39650</v>
      </c>
      <c r="J22" s="15">
        <v>42049</v>
      </c>
      <c r="K22" s="15">
        <v>45256.364</v>
      </c>
      <c r="L22" s="271">
        <f>(K22-J22)*100/J22</f>
        <v>7.62768199005922</v>
      </c>
      <c r="M22" s="271">
        <f>(K22-Z22)*100/Z22</f>
        <v>62.589410253476274</v>
      </c>
      <c r="N22" s="271"/>
      <c r="O22" s="15">
        <v>14733</v>
      </c>
      <c r="P22" s="15">
        <v>15568</v>
      </c>
      <c r="Q22" s="15">
        <v>16197</v>
      </c>
      <c r="R22" s="15">
        <v>17989</v>
      </c>
      <c r="S22" s="15">
        <f>21924-2544</f>
        <v>19380</v>
      </c>
      <c r="T22" s="15">
        <f>24103-2679</f>
        <v>21424</v>
      </c>
      <c r="U22" s="15">
        <f>25229-2786</f>
        <v>22443</v>
      </c>
      <c r="V22" s="15">
        <v>22645</v>
      </c>
      <c r="W22" s="15">
        <f>26167.102-2746.693</f>
        <v>23420.409</v>
      </c>
      <c r="X22" s="15">
        <v>25680</v>
      </c>
      <c r="Y22" s="224">
        <v>27567</v>
      </c>
      <c r="Z22" s="15">
        <f>30435.699-2600.944</f>
        <v>27834.755</v>
      </c>
      <c r="AB22" s="32">
        <v>41681758</v>
      </c>
      <c r="AC22" s="170">
        <v>2031815</v>
      </c>
      <c r="AD22" s="3">
        <f>AB22-AC22</f>
        <v>39649943</v>
      </c>
      <c r="AE22" s="3">
        <f>AD22/1000</f>
        <v>39649.943</v>
      </c>
      <c r="AG22" s="3">
        <v>44174662</v>
      </c>
      <c r="AH22" s="3">
        <v>2125281</v>
      </c>
      <c r="AI22" s="3">
        <f>AG22-AH22</f>
        <v>42049381</v>
      </c>
      <c r="AJ22" s="3">
        <f>AI22/1000</f>
        <v>42049.381</v>
      </c>
      <c r="AL22" s="3">
        <v>47401688</v>
      </c>
      <c r="AM22" s="3">
        <v>2145324</v>
      </c>
      <c r="AN22" s="3">
        <f>AL22-AM22</f>
        <v>45256364</v>
      </c>
      <c r="AO22" s="3">
        <f>AN22/1000</f>
        <v>45256.364</v>
      </c>
    </row>
    <row r="23" spans="2:29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71"/>
      <c r="M23" s="271"/>
      <c r="N23" s="27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24"/>
      <c r="Z23" s="15"/>
      <c r="AB23" s="32"/>
      <c r="AC23" s="170"/>
    </row>
    <row r="24" spans="1:41" ht="12.75">
      <c r="A24" s="1" t="s">
        <v>16</v>
      </c>
      <c r="B24" s="15">
        <v>180188</v>
      </c>
      <c r="C24" s="15">
        <v>192451</v>
      </c>
      <c r="D24" s="15">
        <v>206065</v>
      </c>
      <c r="E24" s="15">
        <v>219539</v>
      </c>
      <c r="F24" s="15">
        <v>238743</v>
      </c>
      <c r="G24" s="15">
        <v>268350</v>
      </c>
      <c r="H24" s="15">
        <v>284094</v>
      </c>
      <c r="I24" s="15">
        <v>305763</v>
      </c>
      <c r="J24" s="15">
        <v>325488</v>
      </c>
      <c r="K24" s="15">
        <v>357570.192</v>
      </c>
      <c r="L24" s="271">
        <f>(K24-J24)*100/J24</f>
        <v>9.856643562896323</v>
      </c>
      <c r="M24" s="271">
        <f>(K24-Z24)*100/Z24</f>
        <v>107.37701535239803</v>
      </c>
      <c r="N24" s="271"/>
      <c r="O24" s="15">
        <v>63811</v>
      </c>
      <c r="P24" s="15">
        <v>68834</v>
      </c>
      <c r="Q24" s="15">
        <v>75672</v>
      </c>
      <c r="R24" s="15">
        <v>86497</v>
      </c>
      <c r="S24" s="15">
        <f>111336-13200</f>
        <v>98136</v>
      </c>
      <c r="T24" s="15">
        <f>125150-14061</f>
        <v>111089</v>
      </c>
      <c r="U24" s="15">
        <f>137928-15782</f>
        <v>122146</v>
      </c>
      <c r="V24" s="15">
        <v>129420</v>
      </c>
      <c r="W24" s="15">
        <f>153328.503-17400.879</f>
        <v>135927.624</v>
      </c>
      <c r="X24" s="15">
        <v>151997</v>
      </c>
      <c r="Y24" s="224">
        <v>165749</v>
      </c>
      <c r="Z24" s="15">
        <f>187782.874-15357.694</f>
        <v>172425.18000000002</v>
      </c>
      <c r="AB24" s="32">
        <v>320615931</v>
      </c>
      <c r="AC24" s="170">
        <v>14853227</v>
      </c>
      <c r="AD24" s="3">
        <f>AB24-AC24</f>
        <v>305762704</v>
      </c>
      <c r="AE24" s="3">
        <f>AD24/1000</f>
        <v>305762.704</v>
      </c>
      <c r="AG24" s="3">
        <v>340998866</v>
      </c>
      <c r="AH24" s="3">
        <v>15511293</v>
      </c>
      <c r="AI24" s="3">
        <f>AG24-AH24</f>
        <v>325487573</v>
      </c>
      <c r="AJ24" s="3">
        <f>AI24/1000</f>
        <v>325487.573</v>
      </c>
      <c r="AL24" s="3">
        <v>374013983</v>
      </c>
      <c r="AM24" s="3">
        <v>16443791</v>
      </c>
      <c r="AN24" s="3">
        <f>AL24-AM24</f>
        <v>357570192</v>
      </c>
      <c r="AO24" s="3">
        <f>AN24/1000</f>
        <v>357570.192</v>
      </c>
    </row>
    <row r="25" spans="1:41" ht="12.75">
      <c r="A25" s="1" t="s">
        <v>17</v>
      </c>
      <c r="B25" s="15">
        <v>29326</v>
      </c>
      <c r="C25" s="15">
        <v>30727</v>
      </c>
      <c r="D25" s="15">
        <v>32472</v>
      </c>
      <c r="E25" s="15">
        <v>33987</v>
      </c>
      <c r="F25" s="15">
        <v>35532</v>
      </c>
      <c r="G25" s="15">
        <v>37498</v>
      </c>
      <c r="H25" s="15">
        <v>38822</v>
      </c>
      <c r="I25" s="15">
        <v>40756</v>
      </c>
      <c r="J25" s="15">
        <v>42272</v>
      </c>
      <c r="K25" s="15">
        <v>44416.553</v>
      </c>
      <c r="L25" s="271">
        <f>(K25-J25)*100/J25</f>
        <v>5.07322341029523</v>
      </c>
      <c r="M25" s="271">
        <f>(K25-Z25)*100/Z25</f>
        <v>59.219796148431605</v>
      </c>
      <c r="N25" s="271"/>
      <c r="O25" s="15">
        <v>13340</v>
      </c>
      <c r="P25" s="15">
        <v>14570</v>
      </c>
      <c r="Q25" s="15">
        <v>15879</v>
      </c>
      <c r="R25" s="15">
        <v>17561</v>
      </c>
      <c r="S25" s="15">
        <f>21817-2546</f>
        <v>19271</v>
      </c>
      <c r="T25" s="15">
        <f>24216-2866</f>
        <v>21350</v>
      </c>
      <c r="U25" s="15">
        <f>26626-3156</f>
        <v>23470</v>
      </c>
      <c r="V25" s="15">
        <v>23266</v>
      </c>
      <c r="W25" s="15">
        <f>27069.456-3103.545</f>
        <v>23965.911</v>
      </c>
      <c r="X25" s="15">
        <v>26358</v>
      </c>
      <c r="Y25" s="224">
        <v>27352</v>
      </c>
      <c r="Z25" s="15">
        <f>30506.655-2610.279</f>
        <v>27896.376</v>
      </c>
      <c r="AB25" s="32">
        <v>42861789</v>
      </c>
      <c r="AC25" s="170">
        <v>2105832</v>
      </c>
      <c r="AD25" s="3">
        <f>AB25-AC25</f>
        <v>40755957</v>
      </c>
      <c r="AE25" s="3">
        <f>AD25/1000</f>
        <v>40755.957</v>
      </c>
      <c r="AG25" s="3">
        <v>44396694</v>
      </c>
      <c r="AH25" s="3">
        <v>2124810</v>
      </c>
      <c r="AI25" s="3">
        <f>AG25-AH25</f>
        <v>42271884</v>
      </c>
      <c r="AJ25" s="3">
        <f>AI25/1000</f>
        <v>42271.884</v>
      </c>
      <c r="AL25" s="3">
        <v>46614618</v>
      </c>
      <c r="AM25" s="3">
        <v>2198065</v>
      </c>
      <c r="AN25" s="3">
        <f>AL25-AM25</f>
        <v>44416553</v>
      </c>
      <c r="AO25" s="3">
        <f>AN25/1000</f>
        <v>44416.553</v>
      </c>
    </row>
    <row r="26" spans="1:41" ht="12.75">
      <c r="A26" s="1" t="s">
        <v>18</v>
      </c>
      <c r="B26" s="15">
        <v>199275</v>
      </c>
      <c r="C26" s="15">
        <v>209920</v>
      </c>
      <c r="D26" s="15">
        <v>218478</v>
      </c>
      <c r="E26" s="15">
        <v>232926</v>
      </c>
      <c r="F26" s="15">
        <v>250722</v>
      </c>
      <c r="G26" s="15">
        <v>270948</v>
      </c>
      <c r="H26" s="15">
        <v>287116</v>
      </c>
      <c r="I26" s="15">
        <v>299618</v>
      </c>
      <c r="J26" s="15">
        <v>315636</v>
      </c>
      <c r="K26" s="15">
        <v>358802.425</v>
      </c>
      <c r="L26" s="271">
        <f>(K26-J26)*100/J26</f>
        <v>13.676014459694075</v>
      </c>
      <c r="M26" s="271">
        <f>(K26-Z26)*100/Z26</f>
        <v>88.22652560922086</v>
      </c>
      <c r="N26" s="271"/>
      <c r="O26" s="15">
        <v>74193</v>
      </c>
      <c r="P26" s="15">
        <v>79788</v>
      </c>
      <c r="Q26" s="15">
        <v>86769</v>
      </c>
      <c r="R26" s="15">
        <v>96330</v>
      </c>
      <c r="S26" s="15">
        <f>120658-13710</f>
        <v>106948</v>
      </c>
      <c r="T26" s="15">
        <f>134466-15583</f>
        <v>118883</v>
      </c>
      <c r="U26" s="15">
        <f>149541-17749</f>
        <v>131792</v>
      </c>
      <c r="V26" s="15">
        <v>140789</v>
      </c>
      <c r="W26" s="15">
        <f>169845.448-20101.065</f>
        <v>149744.383</v>
      </c>
      <c r="X26" s="15">
        <v>169179</v>
      </c>
      <c r="Y26" s="224">
        <v>180997</v>
      </c>
      <c r="Z26" s="15">
        <f>207611.262-16988.594</f>
        <v>190622.66799999998</v>
      </c>
      <c r="AB26" s="32">
        <v>315234157</v>
      </c>
      <c r="AC26" s="170">
        <v>15616081</v>
      </c>
      <c r="AD26" s="3">
        <f>AB26-AC26</f>
        <v>299618076</v>
      </c>
      <c r="AE26" s="3">
        <f>AD26/1000</f>
        <v>299618.076</v>
      </c>
      <c r="AG26" s="3">
        <v>331807665</v>
      </c>
      <c r="AH26" s="3">
        <v>16172006</v>
      </c>
      <c r="AI26" s="3">
        <f>AG26-AH26</f>
        <v>315635659</v>
      </c>
      <c r="AJ26" s="3">
        <f>AI26/1000</f>
        <v>315635.659</v>
      </c>
      <c r="AL26" s="3">
        <v>375190636</v>
      </c>
      <c r="AM26" s="3">
        <v>16388211</v>
      </c>
      <c r="AN26" s="3">
        <f>AL26-AM26</f>
        <v>358802425</v>
      </c>
      <c r="AO26" s="3">
        <f>AN26/1000</f>
        <v>358802.425</v>
      </c>
    </row>
    <row r="27" spans="1:41" ht="12.75">
      <c r="A27" s="1" t="s">
        <v>19</v>
      </c>
      <c r="B27" s="15">
        <v>249190</v>
      </c>
      <c r="C27" s="15">
        <v>261395</v>
      </c>
      <c r="D27" s="15">
        <v>282982</v>
      </c>
      <c r="E27" s="15">
        <v>321568</v>
      </c>
      <c r="F27" s="15">
        <v>358350</v>
      </c>
      <c r="G27" s="15">
        <v>389191</v>
      </c>
      <c r="H27" s="15">
        <v>415662</v>
      </c>
      <c r="I27" s="15">
        <v>448933</v>
      </c>
      <c r="J27" s="15">
        <v>483205</v>
      </c>
      <c r="K27" s="15">
        <v>522610.957</v>
      </c>
      <c r="L27" s="271">
        <f>(K27-J27)*100/J27</f>
        <v>8.155121946171914</v>
      </c>
      <c r="M27" s="271">
        <f>(K27-Z27)*100/Z27</f>
        <v>116.78966352958497</v>
      </c>
      <c r="N27" s="271"/>
      <c r="O27" s="15">
        <v>84765</v>
      </c>
      <c r="P27" s="15">
        <v>94959</v>
      </c>
      <c r="Q27" s="15">
        <v>105724</v>
      </c>
      <c r="R27" s="15">
        <v>120843</v>
      </c>
      <c r="S27" s="15">
        <f>154299-16277</f>
        <v>138022</v>
      </c>
      <c r="T27" s="15">
        <f>177433-18771</f>
        <v>158662</v>
      </c>
      <c r="U27" s="15">
        <f>204587-20984</f>
        <v>183603</v>
      </c>
      <c r="V27" s="15">
        <v>180894</v>
      </c>
      <c r="W27" s="15">
        <f>213335.306-24403.312</f>
        <v>188931.994</v>
      </c>
      <c r="X27" s="15">
        <v>209184</v>
      </c>
      <c r="Y27" s="224">
        <v>225155</v>
      </c>
      <c r="Z27" s="15">
        <f>261805.99-20737.782</f>
        <v>241068.20799999998</v>
      </c>
      <c r="AB27" s="32">
        <v>472213591</v>
      </c>
      <c r="AC27" s="170">
        <v>23280883</v>
      </c>
      <c r="AD27" s="3">
        <f>AB27-AC27</f>
        <v>448932708</v>
      </c>
      <c r="AE27" s="3">
        <f>AD27/1000</f>
        <v>448932.708</v>
      </c>
      <c r="AG27" s="3">
        <v>507485503</v>
      </c>
      <c r="AH27" s="3">
        <v>24280894</v>
      </c>
      <c r="AI27" s="3">
        <f>AG27-AH27</f>
        <v>483204609</v>
      </c>
      <c r="AJ27" s="3">
        <f>AI27/1000</f>
        <v>483204.609</v>
      </c>
      <c r="AL27" s="3">
        <v>548902171</v>
      </c>
      <c r="AM27" s="3">
        <v>26291214</v>
      </c>
      <c r="AN27" s="3">
        <f>AL27-AM27</f>
        <v>522610957</v>
      </c>
      <c r="AO27" s="3">
        <f>AN27/1000</f>
        <v>522610.957</v>
      </c>
    </row>
    <row r="28" spans="1:41" ht="12.75">
      <c r="A28" s="1" t="s">
        <v>20</v>
      </c>
      <c r="B28" s="15">
        <v>17656</v>
      </c>
      <c r="C28" s="15">
        <v>20400</v>
      </c>
      <c r="D28" s="15">
        <v>19760</v>
      </c>
      <c r="E28" s="15">
        <v>20706</v>
      </c>
      <c r="F28" s="15">
        <v>22682</v>
      </c>
      <c r="G28" s="15">
        <v>24554</v>
      </c>
      <c r="H28" s="15">
        <v>25133</v>
      </c>
      <c r="I28" s="15">
        <v>24061</v>
      </c>
      <c r="J28" s="15">
        <v>24640</v>
      </c>
      <c r="K28" s="15">
        <v>26038.525</v>
      </c>
      <c r="L28" s="271">
        <f>(K28-J28)*100/J28</f>
        <v>5.675831980519487</v>
      </c>
      <c r="M28" s="271">
        <f>(K28-Z28)*100/Z28</f>
        <v>52.660548016748585</v>
      </c>
      <c r="N28" s="271"/>
      <c r="O28" s="15">
        <v>7397</v>
      </c>
      <c r="P28" s="15">
        <v>8162</v>
      </c>
      <c r="Q28" s="15">
        <v>8805</v>
      </c>
      <c r="R28" s="15">
        <v>9729</v>
      </c>
      <c r="S28" s="15">
        <f>12600-1331</f>
        <v>11269</v>
      </c>
      <c r="T28" s="15">
        <f>14026-1432</f>
        <v>12594</v>
      </c>
      <c r="U28" s="15">
        <f>14873-1597</f>
        <v>13276</v>
      </c>
      <c r="V28" s="15">
        <v>13375</v>
      </c>
      <c r="W28" s="15">
        <f>15432.637-1709.593</f>
        <v>13723.044</v>
      </c>
      <c r="X28" s="15">
        <v>15574</v>
      </c>
      <c r="Y28" s="224">
        <v>16530</v>
      </c>
      <c r="Z28" s="15">
        <f>18582.291-1525.805</f>
        <v>17056.486</v>
      </c>
      <c r="AB28" s="32">
        <v>25384558</v>
      </c>
      <c r="AC28" s="170">
        <v>1323595</v>
      </c>
      <c r="AD28" s="3">
        <f>AB28-AC28</f>
        <v>24060963</v>
      </c>
      <c r="AE28" s="3">
        <f>AD28/1000</f>
        <v>24060.963</v>
      </c>
      <c r="AG28" s="3">
        <v>26017181</v>
      </c>
      <c r="AH28" s="3">
        <v>1377577</v>
      </c>
      <c r="AI28" s="3">
        <f>AG28-AH28</f>
        <v>24639604</v>
      </c>
      <c r="AJ28" s="3">
        <f>AI28/1000</f>
        <v>24639.604</v>
      </c>
      <c r="AL28" s="3">
        <v>27324704</v>
      </c>
      <c r="AM28" s="3">
        <v>1286179</v>
      </c>
      <c r="AN28" s="3">
        <f>AL28-AM28</f>
        <v>26038525</v>
      </c>
      <c r="AO28" s="3">
        <f>AN28/1000</f>
        <v>26038.525</v>
      </c>
    </row>
    <row r="29" spans="2:29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71"/>
      <c r="M29" s="271"/>
      <c r="N29" s="27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26"/>
      <c r="Z29" s="15"/>
      <c r="AB29" s="32"/>
      <c r="AC29" s="170"/>
    </row>
    <row r="30" spans="1:41" ht="12.75">
      <c r="A30" s="1" t="s">
        <v>21</v>
      </c>
      <c r="B30" s="15">
        <v>892984</v>
      </c>
      <c r="C30" s="15">
        <v>943875</v>
      </c>
      <c r="D30" s="15">
        <v>1006397</v>
      </c>
      <c r="E30" s="15">
        <v>1079688</v>
      </c>
      <c r="F30" s="15">
        <v>1189767</v>
      </c>
      <c r="G30" s="15">
        <v>1287628</v>
      </c>
      <c r="H30" s="15">
        <v>1380120</v>
      </c>
      <c r="I30" s="15">
        <v>1455186</v>
      </c>
      <c r="J30" s="15">
        <v>1567296</v>
      </c>
      <c r="K30" s="15">
        <v>1683251.537</v>
      </c>
      <c r="L30" s="271">
        <f>(K30-J30)*100/J30</f>
        <v>7.398445284107151</v>
      </c>
      <c r="M30" s="271">
        <f>(K30-Z30)*100/Z30</f>
        <v>96.66432225561087</v>
      </c>
      <c r="N30" s="271"/>
      <c r="O30" s="15">
        <v>381936</v>
      </c>
      <c r="P30" s="15">
        <v>415578</v>
      </c>
      <c r="Q30" s="15">
        <v>452596</v>
      </c>
      <c r="R30" s="15">
        <v>504423</v>
      </c>
      <c r="S30" s="15">
        <f>644864-83212</f>
        <v>561652</v>
      </c>
      <c r="T30" s="15">
        <f>714689-88496</f>
        <v>626193</v>
      </c>
      <c r="U30" s="15">
        <f>780609-96262</f>
        <v>684347</v>
      </c>
      <c r="V30" s="15">
        <v>695211</v>
      </c>
      <c r="W30" s="15">
        <f>815173.495-95295.276</f>
        <v>719878.219</v>
      </c>
      <c r="X30" s="15">
        <v>773667</v>
      </c>
      <c r="Y30" s="226">
        <v>813765</v>
      </c>
      <c r="Z30" s="15">
        <f>935435.462-79534.647</f>
        <v>855900.8150000001</v>
      </c>
      <c r="AB30" s="32">
        <v>1532477269</v>
      </c>
      <c r="AC30" s="170">
        <v>77291357</v>
      </c>
      <c r="AD30" s="3">
        <f>AB30-AC30</f>
        <v>1455185912</v>
      </c>
      <c r="AE30" s="3">
        <f aca="true" t="shared" si="2" ref="AE30:AE39">AD30/1000</f>
        <v>1455185.912</v>
      </c>
      <c r="AG30" s="3">
        <v>1649233527</v>
      </c>
      <c r="AH30" s="3">
        <v>81937339</v>
      </c>
      <c r="AI30" s="3">
        <f>AG30-AH30</f>
        <v>1567296188</v>
      </c>
      <c r="AJ30" s="3">
        <f aca="true" t="shared" si="3" ref="AJ30:AJ39">AI30/1000</f>
        <v>1567296.188</v>
      </c>
      <c r="AL30" s="3">
        <v>1767545886</v>
      </c>
      <c r="AM30" s="3">
        <v>84294349</v>
      </c>
      <c r="AN30" s="3">
        <f>AL30-AM30</f>
        <v>1683251537</v>
      </c>
      <c r="AO30" s="3">
        <f aca="true" t="shared" si="4" ref="AO30:AO39">AN30/1000</f>
        <v>1683251.537</v>
      </c>
    </row>
    <row r="31" spans="1:41" ht="12.75">
      <c r="A31" s="1" t="s">
        <v>22</v>
      </c>
      <c r="B31" s="15">
        <v>737341</v>
      </c>
      <c r="C31" s="15">
        <v>788620</v>
      </c>
      <c r="D31" s="15">
        <v>842987</v>
      </c>
      <c r="E31" s="15">
        <v>894764</v>
      </c>
      <c r="F31" s="15">
        <v>959409</v>
      </c>
      <c r="G31" s="15">
        <v>1031316</v>
      </c>
      <c r="H31" s="15">
        <v>1110197</v>
      </c>
      <c r="I31" s="15">
        <v>1129031</v>
      </c>
      <c r="J31" s="15">
        <v>1224625</v>
      </c>
      <c r="K31" s="15">
        <v>1309195.4</v>
      </c>
      <c r="L31" s="271">
        <f>(K31-J31)*100/J31</f>
        <v>6.905820149025204</v>
      </c>
      <c r="M31" s="271">
        <f>(K31-Z31)*100/Z31</f>
        <v>85.8897350724179</v>
      </c>
      <c r="N31" s="271"/>
      <c r="O31" s="15">
        <v>322138</v>
      </c>
      <c r="P31" s="15">
        <v>344137</v>
      </c>
      <c r="Q31" s="15">
        <v>375974</v>
      </c>
      <c r="R31" s="15">
        <v>429815</v>
      </c>
      <c r="S31" s="15">
        <f>533634-65232</f>
        <v>468402</v>
      </c>
      <c r="T31" s="15">
        <f>576774-68171</f>
        <v>508603</v>
      </c>
      <c r="U31" s="15">
        <f>626054-73233</f>
        <v>552821</v>
      </c>
      <c r="V31" s="15">
        <v>554716</v>
      </c>
      <c r="W31" s="15">
        <f>663265.452-72217.316</f>
        <v>591048.136</v>
      </c>
      <c r="X31" s="15">
        <v>641632</v>
      </c>
      <c r="Y31" s="226">
        <v>682772</v>
      </c>
      <c r="Z31" s="15">
        <f>767173.669-62887.658</f>
        <v>704286.0109999999</v>
      </c>
      <c r="AB31" s="32">
        <v>1182047128</v>
      </c>
      <c r="AC31" s="170">
        <v>53016499</v>
      </c>
      <c r="AD31" s="3">
        <f>AB31-AC31</f>
        <v>1129030629</v>
      </c>
      <c r="AE31" s="3">
        <f t="shared" si="2"/>
        <v>1129030.629</v>
      </c>
      <c r="AG31" s="3">
        <v>1281721111</v>
      </c>
      <c r="AH31" s="3">
        <v>57096339</v>
      </c>
      <c r="AI31" s="3">
        <f>AG31-AH31</f>
        <v>1224624772</v>
      </c>
      <c r="AJ31" s="3">
        <f t="shared" si="3"/>
        <v>1224624.772</v>
      </c>
      <c r="AL31" s="3">
        <v>1365988555</v>
      </c>
      <c r="AM31" s="3">
        <v>56793155</v>
      </c>
      <c r="AN31" s="3">
        <f>AL31-AM31</f>
        <v>1309195400</v>
      </c>
      <c r="AO31" s="3">
        <f t="shared" si="4"/>
        <v>1309195.4</v>
      </c>
    </row>
    <row r="32" spans="1:41" ht="12.75">
      <c r="A32" s="1" t="s">
        <v>23</v>
      </c>
      <c r="B32" s="15">
        <v>35412</v>
      </c>
      <c r="C32" s="15">
        <v>38080</v>
      </c>
      <c r="D32" s="15">
        <v>42314</v>
      </c>
      <c r="E32" s="15">
        <v>44946</v>
      </c>
      <c r="F32" s="15">
        <v>49088</v>
      </c>
      <c r="G32" s="15">
        <v>53639</v>
      </c>
      <c r="H32" s="15">
        <v>56648</v>
      </c>
      <c r="I32" s="15">
        <v>60034</v>
      </c>
      <c r="J32" s="15">
        <v>62828</v>
      </c>
      <c r="K32" s="15">
        <v>67404.182</v>
      </c>
      <c r="L32" s="271">
        <f>(K32-J32)*100/J32</f>
        <v>7.283666518112945</v>
      </c>
      <c r="M32" s="271">
        <f>(K32-Z32)*100/Z32</f>
        <v>101.1887127359836</v>
      </c>
      <c r="N32" s="271"/>
      <c r="O32" s="15">
        <v>13559</v>
      </c>
      <c r="P32" s="15">
        <v>15474</v>
      </c>
      <c r="Q32" s="15">
        <v>17450</v>
      </c>
      <c r="R32" s="15">
        <v>19342</v>
      </c>
      <c r="S32" s="15">
        <v>21165</v>
      </c>
      <c r="T32" s="15">
        <f>26598-2808</f>
        <v>23790</v>
      </c>
      <c r="U32" s="15">
        <f>28520-3215</f>
        <v>25305</v>
      </c>
      <c r="V32" s="15">
        <v>27636</v>
      </c>
      <c r="W32" s="15">
        <f>32195.754-3547.14</f>
        <v>28648.614</v>
      </c>
      <c r="X32" s="15">
        <v>31360</v>
      </c>
      <c r="Y32" s="224">
        <v>33064</v>
      </c>
      <c r="Z32" s="15">
        <f>36645.216-3142.252</f>
        <v>33502.964</v>
      </c>
      <c r="AB32" s="32">
        <v>63022312</v>
      </c>
      <c r="AC32" s="170">
        <v>2988777</v>
      </c>
      <c r="AD32" s="3">
        <f>AB32-AC32</f>
        <v>60033535</v>
      </c>
      <c r="AE32" s="3">
        <f t="shared" si="2"/>
        <v>60033.535</v>
      </c>
      <c r="AG32" s="3">
        <v>65906459</v>
      </c>
      <c r="AH32" s="3">
        <v>3078267</v>
      </c>
      <c r="AI32" s="3">
        <f>AG32-AH32</f>
        <v>62828192</v>
      </c>
      <c r="AJ32" s="3">
        <f t="shared" si="3"/>
        <v>62828.192</v>
      </c>
      <c r="AL32" s="3">
        <v>70640615</v>
      </c>
      <c r="AM32" s="3">
        <v>3236433</v>
      </c>
      <c r="AN32" s="3">
        <f>AL32-AM32</f>
        <v>67404182</v>
      </c>
      <c r="AO32" s="3">
        <f t="shared" si="4"/>
        <v>67404.182</v>
      </c>
    </row>
    <row r="33" spans="1:41" ht="12.75">
      <c r="A33" s="1" t="s">
        <v>24</v>
      </c>
      <c r="B33" s="15">
        <v>78617</v>
      </c>
      <c r="C33" s="15">
        <v>83637</v>
      </c>
      <c r="D33" s="15">
        <v>88503</v>
      </c>
      <c r="E33" s="15">
        <v>96935</v>
      </c>
      <c r="F33" s="15">
        <v>102469</v>
      </c>
      <c r="G33" s="15">
        <v>111156</v>
      </c>
      <c r="H33" s="15">
        <v>118164</v>
      </c>
      <c r="I33" s="15">
        <v>123125</v>
      </c>
      <c r="J33" s="15">
        <v>133326</v>
      </c>
      <c r="K33" s="15">
        <v>145102.487</v>
      </c>
      <c r="L33" s="271">
        <f>(K33-J33)*100/J33</f>
        <v>8.832851056808119</v>
      </c>
      <c r="M33" s="271">
        <f>(K33-Z33)*100/Z33</f>
        <v>99.13669614690133</v>
      </c>
      <c r="N33" s="271"/>
      <c r="O33" s="15">
        <v>32282</v>
      </c>
      <c r="P33" s="15">
        <v>34832</v>
      </c>
      <c r="Q33" s="15">
        <v>38245</v>
      </c>
      <c r="R33" s="15">
        <v>43320</v>
      </c>
      <c r="S33" s="15">
        <v>46936</v>
      </c>
      <c r="T33" s="15">
        <f>57506-6140</f>
        <v>51366</v>
      </c>
      <c r="U33" s="15">
        <f>64215-6947</f>
        <v>57268</v>
      </c>
      <c r="V33" s="15">
        <v>62560</v>
      </c>
      <c r="W33" s="15">
        <f>72358.066-8169.662</f>
        <v>64188.40400000001</v>
      </c>
      <c r="X33" s="15">
        <v>69165</v>
      </c>
      <c r="Y33" s="224">
        <v>73304</v>
      </c>
      <c r="Z33" s="15">
        <f>79604.785-6739.015</f>
        <v>72865.77</v>
      </c>
      <c r="AB33" s="32">
        <v>129367975</v>
      </c>
      <c r="AC33" s="170">
        <v>6243207</v>
      </c>
      <c r="AD33" s="3">
        <f>AB33-AC33</f>
        <v>123124768</v>
      </c>
      <c r="AE33" s="3">
        <f t="shared" si="2"/>
        <v>123124.768</v>
      </c>
      <c r="AG33" s="3">
        <v>140002079</v>
      </c>
      <c r="AH33" s="3">
        <v>6675959</v>
      </c>
      <c r="AI33" s="3">
        <f>AG33-AH33</f>
        <v>133326120</v>
      </c>
      <c r="AJ33" s="3">
        <f t="shared" si="3"/>
        <v>133326.12</v>
      </c>
      <c r="AL33" s="3">
        <v>152037867</v>
      </c>
      <c r="AM33" s="3">
        <v>6935380</v>
      </c>
      <c r="AN33" s="3">
        <f>AL33-AM33</f>
        <v>145102487</v>
      </c>
      <c r="AO33" s="3">
        <f t="shared" si="4"/>
        <v>145102.487</v>
      </c>
    </row>
    <row r="34" spans="1:41" ht="12.75">
      <c r="A34" s="1" t="s">
        <v>25</v>
      </c>
      <c r="B34" s="15">
        <v>19090</v>
      </c>
      <c r="C34" s="15">
        <v>21497</v>
      </c>
      <c r="D34" s="15">
        <v>21765</v>
      </c>
      <c r="E34" s="15">
        <v>22892</v>
      </c>
      <c r="F34" s="15">
        <v>23864</v>
      </c>
      <c r="G34" s="15">
        <v>25279</v>
      </c>
      <c r="H34" s="15">
        <v>26414</v>
      </c>
      <c r="I34" s="15">
        <v>27417</v>
      </c>
      <c r="J34" s="15">
        <v>28702</v>
      </c>
      <c r="K34" s="15">
        <v>31452.992</v>
      </c>
      <c r="L34" s="271">
        <f>(K34-J34)*100/J34</f>
        <v>9.584670057835686</v>
      </c>
      <c r="M34" s="271">
        <f>(K34-Z34)*100/Z34</f>
        <v>62.61265606874224</v>
      </c>
      <c r="N34" s="271"/>
      <c r="O34" s="15">
        <v>8936</v>
      </c>
      <c r="P34" s="15">
        <v>9621</v>
      </c>
      <c r="Q34" s="15">
        <v>10394</v>
      </c>
      <c r="R34" s="15">
        <v>11360</v>
      </c>
      <c r="S34" s="15">
        <v>12361</v>
      </c>
      <c r="T34" s="15">
        <f>15678-1657</f>
        <v>14021</v>
      </c>
      <c r="U34" s="15">
        <f>16900-1809</f>
        <v>15091</v>
      </c>
      <c r="V34" s="15">
        <v>15100</v>
      </c>
      <c r="W34" s="15">
        <f>17956.829-1810.233</f>
        <v>16146.596000000001</v>
      </c>
      <c r="X34" s="15">
        <v>17928</v>
      </c>
      <c r="Y34" s="224">
        <v>18576</v>
      </c>
      <c r="Z34" s="15">
        <f>21174.935-1832.657</f>
        <v>19342.278000000002</v>
      </c>
      <c r="AB34" s="32">
        <v>28788993</v>
      </c>
      <c r="AC34" s="170">
        <v>1371644</v>
      </c>
      <c r="AD34" s="3">
        <f>AB34-AC34</f>
        <v>27417349</v>
      </c>
      <c r="AE34" s="3">
        <f t="shared" si="2"/>
        <v>27417.349</v>
      </c>
      <c r="AG34" s="3">
        <v>30111492</v>
      </c>
      <c r="AH34" s="3">
        <v>1409021</v>
      </c>
      <c r="AI34" s="3">
        <f>AG34-AH34</f>
        <v>28702471</v>
      </c>
      <c r="AJ34" s="3">
        <f t="shared" si="3"/>
        <v>28702.471</v>
      </c>
      <c r="AL34" s="3">
        <v>32848576</v>
      </c>
      <c r="AM34" s="3">
        <v>1395584</v>
      </c>
      <c r="AN34" s="3">
        <f>AL34-AM34</f>
        <v>31452992</v>
      </c>
      <c r="AO34" s="3">
        <f t="shared" si="4"/>
        <v>31452.992</v>
      </c>
    </row>
    <row r="35" spans="2:29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71"/>
      <c r="M35" s="271"/>
      <c r="N35" s="271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24"/>
      <c r="Z35" s="15"/>
      <c r="AB35" s="32"/>
      <c r="AC35" s="170"/>
    </row>
    <row r="36" spans="1:41" ht="12.75">
      <c r="A36" s="1" t="s">
        <v>26</v>
      </c>
      <c r="B36" s="15">
        <v>24358</v>
      </c>
      <c r="C36" s="15">
        <v>25080</v>
      </c>
      <c r="D36" s="15">
        <v>27346</v>
      </c>
      <c r="E36" s="15">
        <v>28517</v>
      </c>
      <c r="F36" s="15">
        <v>31121</v>
      </c>
      <c r="G36" s="15">
        <v>33609</v>
      </c>
      <c r="H36" s="15">
        <v>35845</v>
      </c>
      <c r="I36" s="15">
        <v>38082</v>
      </c>
      <c r="J36" s="15">
        <v>38296</v>
      </c>
      <c r="K36" s="15">
        <v>40772.492</v>
      </c>
      <c r="L36" s="271">
        <f>(K36-J36)*100/J36</f>
        <v>6.466711928138705</v>
      </c>
      <c r="M36" s="271">
        <f>(K36-Z36)*100/Z36</f>
        <v>65.8847612811119</v>
      </c>
      <c r="N36" s="271"/>
      <c r="O36" s="15">
        <v>11044</v>
      </c>
      <c r="P36" s="15">
        <v>11625</v>
      </c>
      <c r="Q36" s="15">
        <v>12141</v>
      </c>
      <c r="R36" s="15">
        <v>14290</v>
      </c>
      <c r="S36" s="15">
        <v>15873</v>
      </c>
      <c r="T36" s="15">
        <f>20487-2121</f>
        <v>18366</v>
      </c>
      <c r="U36" s="15">
        <f>21166-2226</f>
        <v>18940</v>
      </c>
      <c r="V36" s="15">
        <v>18637</v>
      </c>
      <c r="W36" s="15">
        <f>21835.625-2778.509</f>
        <v>19057.116</v>
      </c>
      <c r="X36" s="15">
        <v>21886</v>
      </c>
      <c r="Y36" s="224">
        <v>23764</v>
      </c>
      <c r="Z36" s="15">
        <f>26834.783-2255.978</f>
        <v>24578.805</v>
      </c>
      <c r="AB36" s="32">
        <v>40106979</v>
      </c>
      <c r="AC36" s="170">
        <v>2025143</v>
      </c>
      <c r="AD36" s="3">
        <f>AB36-AC36</f>
        <v>38081836</v>
      </c>
      <c r="AE36" s="3">
        <f t="shared" si="2"/>
        <v>38081.836</v>
      </c>
      <c r="AG36" s="3">
        <v>40330631</v>
      </c>
      <c r="AH36" s="3">
        <v>2034542</v>
      </c>
      <c r="AI36" s="3">
        <f>AG36-AH36</f>
        <v>38296089</v>
      </c>
      <c r="AJ36" s="3">
        <f t="shared" si="3"/>
        <v>38296.089</v>
      </c>
      <c r="AL36" s="3">
        <v>42922657</v>
      </c>
      <c r="AM36" s="3">
        <v>2150165</v>
      </c>
      <c r="AN36" s="3">
        <f>AL36-AM36</f>
        <v>40772492</v>
      </c>
      <c r="AO36" s="3">
        <f t="shared" si="4"/>
        <v>40772.492</v>
      </c>
    </row>
    <row r="37" spans="1:41" ht="12.75">
      <c r="A37" s="1" t="s">
        <v>27</v>
      </c>
      <c r="B37" s="15">
        <v>103725</v>
      </c>
      <c r="C37" s="15">
        <v>109580</v>
      </c>
      <c r="D37" s="15">
        <v>119573</v>
      </c>
      <c r="E37" s="15">
        <v>126376</v>
      </c>
      <c r="F37" s="15">
        <v>131291</v>
      </c>
      <c r="G37" s="15">
        <v>142158</v>
      </c>
      <c r="H37" s="15">
        <v>148692</v>
      </c>
      <c r="I37" s="15">
        <v>159438</v>
      </c>
      <c r="J37" s="15">
        <v>171589</v>
      </c>
      <c r="K37" s="15">
        <v>189549.332</v>
      </c>
      <c r="L37" s="271">
        <f>(K37-J37)*100/J37</f>
        <v>10.46706490509298</v>
      </c>
      <c r="M37" s="271">
        <f>(K37-Z37)*100/Z37</f>
        <v>88.26522759682578</v>
      </c>
      <c r="N37" s="271"/>
      <c r="O37" s="15">
        <v>50697</v>
      </c>
      <c r="P37" s="15">
        <v>55155</v>
      </c>
      <c r="Q37" s="15">
        <v>57715</v>
      </c>
      <c r="R37" s="15">
        <v>63304</v>
      </c>
      <c r="S37" s="15">
        <v>68625</v>
      </c>
      <c r="T37" s="15">
        <f>84539-10243</f>
        <v>74296</v>
      </c>
      <c r="U37" s="15">
        <f>90248-11322</f>
        <v>78926</v>
      </c>
      <c r="V37" s="15">
        <v>83333</v>
      </c>
      <c r="W37" s="15">
        <f>98214.761-10998.266</f>
        <v>87216.495</v>
      </c>
      <c r="X37" s="15">
        <v>94202</v>
      </c>
      <c r="Y37" s="224">
        <v>99412</v>
      </c>
      <c r="Z37" s="15">
        <f>110582.043-9899.971</f>
        <v>100682.072</v>
      </c>
      <c r="AB37" s="32">
        <v>167660385</v>
      </c>
      <c r="AC37" s="170">
        <v>8222574</v>
      </c>
      <c r="AD37" s="3">
        <f>AB37-AC37</f>
        <v>159437811</v>
      </c>
      <c r="AE37" s="3">
        <f t="shared" si="2"/>
        <v>159437.811</v>
      </c>
      <c r="AG37" s="3">
        <v>180080802</v>
      </c>
      <c r="AH37" s="3">
        <v>8491439</v>
      </c>
      <c r="AI37" s="3">
        <f>AG37-AH37</f>
        <v>171589363</v>
      </c>
      <c r="AJ37" s="3">
        <f t="shared" si="3"/>
        <v>171589.363</v>
      </c>
      <c r="AL37" s="3">
        <v>198228389</v>
      </c>
      <c r="AM37" s="3">
        <v>8679057</v>
      </c>
      <c r="AN37" s="3">
        <f>AL37-AM37</f>
        <v>189549332</v>
      </c>
      <c r="AO37" s="3">
        <f t="shared" si="4"/>
        <v>189549.332</v>
      </c>
    </row>
    <row r="38" spans="1:41" ht="12.75">
      <c r="A38" s="1" t="s">
        <v>28</v>
      </c>
      <c r="B38" s="15">
        <v>71778</v>
      </c>
      <c r="C38" s="15">
        <v>78871</v>
      </c>
      <c r="D38" s="15">
        <v>84127</v>
      </c>
      <c r="E38" s="15">
        <v>91345</v>
      </c>
      <c r="F38" s="15">
        <v>98569</v>
      </c>
      <c r="G38" s="15">
        <v>102586</v>
      </c>
      <c r="H38" s="15">
        <v>108863</v>
      </c>
      <c r="I38" s="15">
        <v>117454</v>
      </c>
      <c r="J38" s="15">
        <v>125513</v>
      </c>
      <c r="K38" s="15">
        <v>136809.283</v>
      </c>
      <c r="L38" s="271">
        <f>(K38-J38)*100/J38</f>
        <v>9.000090030514764</v>
      </c>
      <c r="M38" s="271">
        <f>(K38-Z38)*100/Z38</f>
        <v>102.87255309187417</v>
      </c>
      <c r="N38" s="271"/>
      <c r="O38" s="15">
        <v>30174</v>
      </c>
      <c r="P38" s="15">
        <v>32256</v>
      </c>
      <c r="Q38" s="15">
        <v>35004</v>
      </c>
      <c r="R38" s="15">
        <v>39485</v>
      </c>
      <c r="S38" s="15">
        <v>42868</v>
      </c>
      <c r="T38" s="15">
        <f>55246-6404</f>
        <v>48842</v>
      </c>
      <c r="U38" s="15">
        <f>60831-7247</f>
        <v>53584</v>
      </c>
      <c r="V38" s="15">
        <v>55619</v>
      </c>
      <c r="W38" s="15">
        <f>65836.282-7822.439</f>
        <v>58013.84300000001</v>
      </c>
      <c r="X38" s="15">
        <v>63466</v>
      </c>
      <c r="Y38" s="224">
        <v>66132</v>
      </c>
      <c r="Z38" s="15">
        <f>74391.684-6955.611</f>
        <v>67436.07299999999</v>
      </c>
      <c r="AB38" s="32">
        <v>123648867</v>
      </c>
      <c r="AC38" s="170">
        <v>6194533</v>
      </c>
      <c r="AD38" s="3">
        <f>AB38-AC38</f>
        <v>117454334</v>
      </c>
      <c r="AE38" s="3">
        <f t="shared" si="2"/>
        <v>117454.334</v>
      </c>
      <c r="AG38" s="3">
        <v>131981379</v>
      </c>
      <c r="AH38" s="3">
        <v>6468103</v>
      </c>
      <c r="AI38" s="3">
        <f>AG38-AH38</f>
        <v>125513276</v>
      </c>
      <c r="AJ38" s="3">
        <f t="shared" si="3"/>
        <v>125513.276</v>
      </c>
      <c r="AL38" s="3">
        <v>143591761</v>
      </c>
      <c r="AM38" s="3">
        <v>6782478</v>
      </c>
      <c r="AN38" s="3">
        <f>AL38-AM38</f>
        <v>136809283</v>
      </c>
      <c r="AO38" s="3">
        <f t="shared" si="4"/>
        <v>136809.283</v>
      </c>
    </row>
    <row r="39" spans="1:41" ht="12.75">
      <c r="A39" s="18" t="s">
        <v>29</v>
      </c>
      <c r="B39" s="15">
        <v>39739</v>
      </c>
      <c r="C39" s="15">
        <v>42459</v>
      </c>
      <c r="D39" s="15">
        <v>46028</v>
      </c>
      <c r="E39" s="15">
        <v>48371</v>
      </c>
      <c r="F39" s="15">
        <v>52562</v>
      </c>
      <c r="G39" s="15">
        <v>58213</v>
      </c>
      <c r="H39" s="15">
        <v>63505</v>
      </c>
      <c r="I39" s="15">
        <v>66590</v>
      </c>
      <c r="J39" s="15">
        <v>72738</v>
      </c>
      <c r="K39" s="15">
        <v>76913.425</v>
      </c>
      <c r="L39" s="271">
        <f>(K39-J39)*100/J39</f>
        <v>5.740362671505957</v>
      </c>
      <c r="M39" s="271">
        <f>(K39-Z39)*100/Z39</f>
        <v>105.77527499312488</v>
      </c>
      <c r="N39" s="271"/>
      <c r="O39" s="25">
        <v>16505</v>
      </c>
      <c r="P39" s="25">
        <v>18070</v>
      </c>
      <c r="Q39" s="25">
        <v>20475</v>
      </c>
      <c r="R39" s="25">
        <v>22506</v>
      </c>
      <c r="S39" s="25">
        <v>24102</v>
      </c>
      <c r="T39" s="25">
        <f>30221-3505</f>
        <v>26716</v>
      </c>
      <c r="U39" s="25">
        <f>33013-3907</f>
        <v>29106</v>
      </c>
      <c r="V39" s="25">
        <v>30853</v>
      </c>
      <c r="W39" s="25">
        <f>35280.245-4013.596</f>
        <v>31266.649</v>
      </c>
      <c r="X39" s="25">
        <v>34806</v>
      </c>
      <c r="Y39" s="224">
        <v>36028</v>
      </c>
      <c r="Z39" s="15">
        <f>41036.102-3658.713</f>
        <v>37377.388999999996</v>
      </c>
      <c r="AB39" s="3">
        <v>69982028</v>
      </c>
      <c r="AC39" s="115">
        <v>3391645</v>
      </c>
      <c r="AD39" s="3">
        <f>AB39-AC39</f>
        <v>66590383</v>
      </c>
      <c r="AE39" s="3">
        <f t="shared" si="2"/>
        <v>66590.383</v>
      </c>
      <c r="AG39" s="3">
        <v>76311579</v>
      </c>
      <c r="AH39" s="3">
        <v>3573389</v>
      </c>
      <c r="AI39" s="3">
        <f>AG39-AH39</f>
        <v>72738190</v>
      </c>
      <c r="AJ39" s="3">
        <f t="shared" si="3"/>
        <v>72738.19</v>
      </c>
      <c r="AL39" s="3">
        <v>80586529</v>
      </c>
      <c r="AM39" s="3">
        <v>3673104</v>
      </c>
      <c r="AN39" s="3">
        <f>AL39-AM39</f>
        <v>76913425</v>
      </c>
      <c r="AO39" s="3">
        <f t="shared" si="4"/>
        <v>76913.425</v>
      </c>
    </row>
    <row r="40" spans="1:26" ht="12.75">
      <c r="A40" s="1" t="s">
        <v>239</v>
      </c>
      <c r="B40" s="20"/>
      <c r="C40" s="20"/>
      <c r="D40" s="20"/>
      <c r="E40" s="20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6"/>
      <c r="S40" s="20"/>
      <c r="T40" s="20"/>
      <c r="U40" s="20"/>
      <c r="Y40" s="20"/>
      <c r="Z40" s="225"/>
    </row>
    <row r="41" spans="2:26" ht="12.75">
      <c r="B41" s="15"/>
      <c r="C41" s="15"/>
      <c r="D41" s="15"/>
      <c r="E41" s="15"/>
      <c r="F41" s="15"/>
      <c r="Q41" s="16"/>
      <c r="R41" s="3"/>
      <c r="S41" s="15"/>
      <c r="T41" s="15"/>
      <c r="U41" s="15"/>
      <c r="Y41" s="15"/>
      <c r="Z41" s="224"/>
    </row>
    <row r="42" spans="1:26" ht="15.75">
      <c r="A42" s="3"/>
      <c r="B42" s="15"/>
      <c r="C42" s="15"/>
      <c r="D42" s="15"/>
      <c r="E42" s="15"/>
      <c r="F42" s="15"/>
      <c r="O42" s="11"/>
      <c r="P42" s="11"/>
      <c r="Q42" s="79"/>
      <c r="S42" s="15"/>
      <c r="T42" s="15"/>
      <c r="U42" s="15"/>
      <c r="Y42" s="15"/>
      <c r="Z42" s="224"/>
    </row>
    <row r="43" spans="15:17" ht="15.75">
      <c r="O43" s="15"/>
      <c r="P43" s="15"/>
      <c r="Q43" s="80"/>
    </row>
    <row r="44" spans="15:17" ht="15.75">
      <c r="O44" s="15"/>
      <c r="P44" s="15"/>
      <c r="Q44" s="81"/>
    </row>
    <row r="45" spans="8:17" ht="15.75">
      <c r="H45" s="77"/>
      <c r="I45" s="77"/>
      <c r="J45" s="77"/>
      <c r="K45" s="77"/>
      <c r="L45" s="77"/>
      <c r="M45" s="77"/>
      <c r="N45" s="77"/>
      <c r="O45" s="15"/>
      <c r="P45" s="15"/>
      <c r="Q45" s="81"/>
    </row>
    <row r="46" spans="8:17" ht="15.75">
      <c r="H46" s="77"/>
      <c r="I46" s="77"/>
      <c r="J46" s="77"/>
      <c r="K46" s="77"/>
      <c r="L46" s="77"/>
      <c r="M46" s="77"/>
      <c r="N46" s="77"/>
      <c r="O46" s="15"/>
      <c r="P46" s="15"/>
      <c r="Q46" s="81"/>
    </row>
    <row r="47" spans="8:17" ht="15.75">
      <c r="H47" s="77"/>
      <c r="I47" s="77"/>
      <c r="J47" s="77"/>
      <c r="K47" s="77"/>
      <c r="L47" s="77"/>
      <c r="M47" s="77"/>
      <c r="N47" s="77"/>
      <c r="O47" s="15"/>
      <c r="P47" s="15"/>
      <c r="Q47" s="81"/>
    </row>
    <row r="48" spans="8:17" ht="15.75">
      <c r="H48" s="77"/>
      <c r="I48" s="77"/>
      <c r="J48" s="77"/>
      <c r="K48" s="77"/>
      <c r="L48" s="77"/>
      <c r="M48" s="77"/>
      <c r="N48" s="77"/>
      <c r="O48" s="15"/>
      <c r="P48" s="15"/>
      <c r="Q48" s="81"/>
    </row>
    <row r="49" spans="8:17" ht="15.75">
      <c r="H49" s="77"/>
      <c r="I49" s="77"/>
      <c r="J49" s="77"/>
      <c r="K49" s="77"/>
      <c r="L49" s="77"/>
      <c r="M49" s="77"/>
      <c r="N49" s="77"/>
      <c r="O49" s="15"/>
      <c r="P49" s="15"/>
      <c r="Q49" s="81"/>
    </row>
    <row r="50" spans="8:17" ht="15.75">
      <c r="H50" s="77"/>
      <c r="I50" s="77"/>
      <c r="J50" s="77"/>
      <c r="K50" s="77"/>
      <c r="L50" s="77"/>
      <c r="M50" s="77"/>
      <c r="N50" s="77"/>
      <c r="O50" s="15"/>
      <c r="P50" s="15"/>
      <c r="Q50" s="81"/>
    </row>
    <row r="51" spans="8:17" ht="15.75">
      <c r="H51" s="77"/>
      <c r="I51" s="77"/>
      <c r="J51" s="77"/>
      <c r="K51" s="77"/>
      <c r="L51" s="77"/>
      <c r="M51" s="77"/>
      <c r="N51" s="77"/>
      <c r="O51" s="15"/>
      <c r="P51" s="15"/>
      <c r="Q51" s="81"/>
    </row>
    <row r="52" spans="8:17" ht="15.75">
      <c r="H52" s="77"/>
      <c r="I52" s="77"/>
      <c r="J52" s="77"/>
      <c r="K52" s="77"/>
      <c r="L52" s="77"/>
      <c r="M52" s="77"/>
      <c r="N52" s="77"/>
      <c r="O52" s="15"/>
      <c r="P52" s="15"/>
      <c r="Q52" s="81"/>
    </row>
    <row r="53" spans="8:17" ht="15.75">
      <c r="H53" s="77"/>
      <c r="I53" s="77"/>
      <c r="J53" s="77"/>
      <c r="K53" s="77"/>
      <c r="L53" s="77"/>
      <c r="M53" s="77"/>
      <c r="N53" s="77"/>
      <c r="O53" s="15"/>
      <c r="P53" s="15"/>
      <c r="Q53" s="81"/>
    </row>
    <row r="54" spans="8:17" ht="15.75">
      <c r="H54" s="77"/>
      <c r="I54" s="77"/>
      <c r="J54" s="77"/>
      <c r="K54" s="77"/>
      <c r="L54" s="77"/>
      <c r="M54" s="77"/>
      <c r="N54" s="77"/>
      <c r="O54" s="15"/>
      <c r="P54" s="15"/>
      <c r="Q54" s="81"/>
    </row>
    <row r="55" spans="8:17" ht="15.75">
      <c r="H55" s="77"/>
      <c r="I55" s="77"/>
      <c r="J55" s="77"/>
      <c r="K55" s="77"/>
      <c r="L55" s="77"/>
      <c r="M55" s="77"/>
      <c r="N55" s="77"/>
      <c r="O55" s="15"/>
      <c r="P55" s="15"/>
      <c r="Q55" s="81"/>
    </row>
    <row r="56" spans="8:17" ht="15.75">
      <c r="H56" s="77"/>
      <c r="I56" s="77"/>
      <c r="J56" s="77"/>
      <c r="K56" s="77"/>
      <c r="L56" s="77"/>
      <c r="M56" s="77"/>
      <c r="N56" s="77"/>
      <c r="O56" s="15"/>
      <c r="P56" s="15"/>
      <c r="Q56" s="81"/>
    </row>
    <row r="57" spans="8:17" ht="15.75">
      <c r="H57" s="77"/>
      <c r="I57" s="77"/>
      <c r="J57" s="77"/>
      <c r="K57" s="77"/>
      <c r="L57" s="77"/>
      <c r="M57" s="77"/>
      <c r="N57" s="77"/>
      <c r="O57" s="15"/>
      <c r="P57" s="15"/>
      <c r="Q57" s="81"/>
    </row>
    <row r="58" spans="8:17" ht="15.75">
      <c r="H58" s="77"/>
      <c r="I58" s="77"/>
      <c r="J58" s="77"/>
      <c r="K58" s="77"/>
      <c r="L58" s="77"/>
      <c r="M58" s="77"/>
      <c r="N58" s="77"/>
      <c r="O58" s="15"/>
      <c r="P58" s="15"/>
      <c r="Q58" s="81"/>
    </row>
    <row r="59" spans="8:17" ht="15.75">
      <c r="H59" s="77"/>
      <c r="I59" s="77"/>
      <c r="J59" s="77"/>
      <c r="K59" s="77"/>
      <c r="L59" s="77"/>
      <c r="M59" s="77"/>
      <c r="N59" s="77"/>
      <c r="O59" s="15"/>
      <c r="P59" s="15"/>
      <c r="Q59" s="81"/>
    </row>
    <row r="60" spans="8:17" ht="15.75">
      <c r="H60" s="77"/>
      <c r="I60" s="77"/>
      <c r="J60" s="77"/>
      <c r="K60" s="77"/>
      <c r="L60" s="77"/>
      <c r="M60" s="77"/>
      <c r="N60" s="77"/>
      <c r="O60" s="15"/>
      <c r="P60" s="15"/>
      <c r="Q60" s="81"/>
    </row>
    <row r="61" spans="8:17" ht="15.75">
      <c r="H61" s="77"/>
      <c r="I61" s="77"/>
      <c r="J61" s="77"/>
      <c r="K61" s="77"/>
      <c r="L61" s="77"/>
      <c r="M61" s="77"/>
      <c r="N61" s="77"/>
      <c r="O61" s="15"/>
      <c r="P61" s="15"/>
      <c r="Q61" s="81"/>
    </row>
    <row r="62" spans="8:17" ht="15.75">
      <c r="H62" s="77"/>
      <c r="I62" s="77"/>
      <c r="J62" s="77"/>
      <c r="K62" s="77"/>
      <c r="L62" s="77"/>
      <c r="M62" s="77"/>
      <c r="N62" s="77"/>
      <c r="O62" s="15"/>
      <c r="P62" s="15"/>
      <c r="Q62" s="81"/>
    </row>
    <row r="63" spans="8:17" ht="15.75">
      <c r="H63" s="77"/>
      <c r="I63" s="77"/>
      <c r="J63" s="77"/>
      <c r="K63" s="77"/>
      <c r="L63" s="77"/>
      <c r="M63" s="77"/>
      <c r="N63" s="77"/>
      <c r="O63" s="15"/>
      <c r="P63" s="15"/>
      <c r="Q63" s="81"/>
    </row>
    <row r="64" spans="8:17" ht="15.75">
      <c r="H64" s="77"/>
      <c r="I64" s="77"/>
      <c r="J64" s="77"/>
      <c r="K64" s="77"/>
      <c r="L64" s="77"/>
      <c r="M64" s="77"/>
      <c r="N64" s="77"/>
      <c r="O64" s="15"/>
      <c r="P64" s="15"/>
      <c r="Q64" s="81"/>
    </row>
    <row r="65" spans="8:17" ht="15.75">
      <c r="H65" s="77"/>
      <c r="I65" s="77"/>
      <c r="J65" s="77"/>
      <c r="K65" s="77"/>
      <c r="L65" s="77"/>
      <c r="M65" s="77"/>
      <c r="N65" s="77"/>
      <c r="O65" s="15"/>
      <c r="P65" s="15"/>
      <c r="Q65" s="81"/>
    </row>
    <row r="66" spans="8:17" ht="15.75">
      <c r="H66" s="77"/>
      <c r="I66" s="77"/>
      <c r="J66" s="77"/>
      <c r="K66" s="77"/>
      <c r="L66" s="77"/>
      <c r="M66" s="77"/>
      <c r="N66" s="77"/>
      <c r="O66" s="15"/>
      <c r="P66" s="15"/>
      <c r="Q66" s="81"/>
    </row>
    <row r="67" spans="8:17" ht="15.75">
      <c r="H67" s="77"/>
      <c r="I67" s="77"/>
      <c r="J67" s="77"/>
      <c r="K67" s="77"/>
      <c r="L67" s="77"/>
      <c r="M67" s="77"/>
      <c r="N67" s="77"/>
      <c r="O67" s="15"/>
      <c r="P67" s="15"/>
      <c r="Q67" s="81"/>
    </row>
    <row r="68" spans="8:17" ht="15.75">
      <c r="H68" s="77"/>
      <c r="I68" s="77"/>
      <c r="J68" s="77"/>
      <c r="K68" s="77"/>
      <c r="L68" s="77"/>
      <c r="M68" s="77"/>
      <c r="N68" s="77"/>
      <c r="O68" s="15"/>
      <c r="P68" s="15"/>
      <c r="Q68" s="81"/>
    </row>
    <row r="69" spans="8:17" ht="15.75">
      <c r="H69" s="77"/>
      <c r="I69" s="77"/>
      <c r="J69" s="77"/>
      <c r="K69" s="77"/>
      <c r="L69" s="77"/>
      <c r="M69" s="77"/>
      <c r="N69" s="77"/>
      <c r="O69" s="15"/>
      <c r="P69" s="15"/>
      <c r="Q69" s="81"/>
    </row>
    <row r="70" spans="8:17" ht="15.75">
      <c r="H70" s="77"/>
      <c r="I70" s="77"/>
      <c r="J70" s="77"/>
      <c r="K70" s="77"/>
      <c r="L70" s="77"/>
      <c r="M70" s="77"/>
      <c r="N70" s="77"/>
      <c r="O70" s="15"/>
      <c r="P70" s="15"/>
      <c r="Q70" s="81"/>
    </row>
    <row r="71" spans="8:17" ht="15.75">
      <c r="H71" s="77"/>
      <c r="I71" s="77"/>
      <c r="J71" s="77"/>
      <c r="K71" s="77"/>
      <c r="L71" s="77"/>
      <c r="M71" s="77"/>
      <c r="N71" s="77"/>
      <c r="O71" s="15"/>
      <c r="P71" s="15"/>
      <c r="Q71" s="82"/>
    </row>
    <row r="72" spans="8:16" ht="15.75">
      <c r="H72" s="78"/>
      <c r="I72" s="77"/>
      <c r="J72" s="77"/>
      <c r="K72" s="77"/>
      <c r="L72" s="77"/>
      <c r="M72" s="77"/>
      <c r="N72" s="77"/>
      <c r="O72" s="77"/>
      <c r="P72" s="77"/>
    </row>
  </sheetData>
  <sheetProtection password="CAF5" sheet="1" objects="1" scenarios="1"/>
  <mergeCells count="5">
    <mergeCell ref="A1:M1"/>
    <mergeCell ref="AL7:AO7"/>
    <mergeCell ref="AB7:AE7"/>
    <mergeCell ref="AG7:AJ7"/>
    <mergeCell ref="L7:M7"/>
  </mergeCells>
  <printOptions/>
  <pageMargins left="0.54" right="0.45" top="1" bottom="1" header="0.5" footer="0.5"/>
  <pageSetup fitToHeight="1" fitToWidth="1" orientation="landscape" scale="83" r:id="rId1"/>
  <headerFooter alignWithMargins="0">
    <oddFooter>&amp;L&amp;"Lucida Sans,Italic"&amp;10MSDE-DBS  12 / 2007
&amp;C- 7 -&amp;R&amp;"Lucida Sans,Italic"&amp;10Selected Financial Data - Part 4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4"/>
  <sheetViews>
    <sheetView workbookViewId="0" topLeftCell="AP1">
      <selection activeCell="AV16" sqref="AV16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15" width="9.125" style="1" customWidth="1"/>
    <col min="16" max="21" width="10.125" style="1" customWidth="1"/>
    <col min="22" max="22" width="10.125" style="3" customWidth="1"/>
    <col min="23" max="23" width="10.125" style="1" customWidth="1"/>
    <col min="24" max="24" width="12.50390625" style="3" bestFit="1" customWidth="1"/>
    <col min="25" max="25" width="12.625" style="1" customWidth="1"/>
    <col min="26" max="27" width="12.50390625" style="3" customWidth="1"/>
    <col min="28" max="28" width="12.50390625" style="3" bestFit="1" customWidth="1"/>
    <col min="29" max="29" width="10.125" style="3" customWidth="1"/>
    <col min="30" max="30" width="11.50390625" style="3" customWidth="1"/>
    <col min="31" max="32" width="12.50390625" style="3" bestFit="1" customWidth="1"/>
    <col min="33" max="34" width="10.125" style="3" customWidth="1"/>
    <col min="35" max="35" width="13.375" style="3" customWidth="1"/>
    <col min="36" max="38" width="10.125" style="3" customWidth="1"/>
    <col min="39" max="39" width="12.75390625" style="3" customWidth="1"/>
    <col min="40" max="41" width="10.125" style="3" customWidth="1"/>
    <col min="42" max="42" width="12.50390625" style="3" bestFit="1" customWidth="1"/>
    <col min="43" max="43" width="10.125" style="3" customWidth="1"/>
    <col min="44" max="44" width="13.75390625" style="3" customWidth="1"/>
    <col min="45" max="45" width="11.25390625" style="3" bestFit="1" customWidth="1"/>
    <col min="46" max="46" width="12.50390625" style="3" bestFit="1" customWidth="1"/>
    <col min="47" max="54" width="10.125" style="3" customWidth="1"/>
    <col min="55" max="16384" width="10.00390625" style="3" customWidth="1"/>
  </cols>
  <sheetData>
    <row r="1" spans="1:25" ht="15.75" customHeight="1">
      <c r="A1" s="289" t="s">
        <v>79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19"/>
      <c r="O1" s="119"/>
      <c r="Q1" s="2"/>
      <c r="R1" s="2"/>
      <c r="S1" s="2"/>
      <c r="W1" s="3"/>
      <c r="Y1" s="22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W2" s="2"/>
      <c r="Y2" s="2"/>
    </row>
    <row r="3" spans="1:25" ht="12.75">
      <c r="A3" s="292" t="s">
        <v>240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10"/>
      <c r="O3" s="10"/>
      <c r="Q3" s="2"/>
      <c r="R3" s="2"/>
      <c r="S3" s="2"/>
      <c r="W3" s="3"/>
      <c r="Y3" s="10"/>
    </row>
    <row r="4" spans="1:25" ht="12.75">
      <c r="A4" s="292" t="s">
        <v>215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10"/>
      <c r="O4" s="73"/>
      <c r="Q4" s="2"/>
      <c r="R4" s="2"/>
      <c r="S4" s="2"/>
      <c r="W4" s="3"/>
      <c r="Y4" s="10"/>
    </row>
    <row r="5" spans="28:47" ht="13.5" thickBot="1">
      <c r="AB5" s="294" t="s">
        <v>191</v>
      </c>
      <c r="AC5" s="294"/>
      <c r="AD5" s="294"/>
      <c r="AE5" s="294"/>
      <c r="AF5" s="294"/>
      <c r="AG5" s="294"/>
      <c r="AI5" s="294" t="s">
        <v>198</v>
      </c>
      <c r="AJ5" s="294"/>
      <c r="AK5" s="294"/>
      <c r="AL5" s="294"/>
      <c r="AM5" s="294"/>
      <c r="AN5" s="294"/>
      <c r="AP5" s="294" t="s">
        <v>220</v>
      </c>
      <c r="AQ5" s="294"/>
      <c r="AR5" s="294"/>
      <c r="AS5" s="294"/>
      <c r="AT5" s="294"/>
      <c r="AU5" s="294"/>
    </row>
    <row r="6" spans="1:4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3"/>
      <c r="U6" s="5"/>
      <c r="V6" s="5"/>
      <c r="W6" s="5"/>
      <c r="X6" s="5"/>
      <c r="Y6" s="5"/>
      <c r="Z6" s="5"/>
      <c r="AA6" s="7"/>
      <c r="AB6" s="3" t="s">
        <v>173</v>
      </c>
      <c r="AC6" s="3" t="s">
        <v>173</v>
      </c>
      <c r="AD6" s="3" t="s">
        <v>176</v>
      </c>
      <c r="AE6" s="3" t="s">
        <v>176</v>
      </c>
      <c r="AF6" s="295" t="s">
        <v>114</v>
      </c>
      <c r="AG6" s="295" t="s">
        <v>179</v>
      </c>
      <c r="AI6" s="3" t="s">
        <v>173</v>
      </c>
      <c r="AJ6" s="3" t="s">
        <v>173</v>
      </c>
      <c r="AK6" s="3" t="s">
        <v>176</v>
      </c>
      <c r="AL6" s="3" t="s">
        <v>176</v>
      </c>
      <c r="AM6" s="295" t="s">
        <v>114</v>
      </c>
      <c r="AN6" s="295" t="s">
        <v>179</v>
      </c>
      <c r="AP6" s="3" t="s">
        <v>173</v>
      </c>
      <c r="AQ6" s="3" t="s">
        <v>173</v>
      </c>
      <c r="AR6" s="3" t="s">
        <v>176</v>
      </c>
      <c r="AS6" s="3" t="s">
        <v>176</v>
      </c>
      <c r="AT6" s="295" t="s">
        <v>114</v>
      </c>
      <c r="AU6" s="295" t="s">
        <v>179</v>
      </c>
    </row>
    <row r="7" spans="1:47" ht="13.5" thickBot="1">
      <c r="A7" s="7"/>
      <c r="B7" s="7"/>
      <c r="L7" s="290" t="s">
        <v>34</v>
      </c>
      <c r="M7" s="290"/>
      <c r="N7" s="27"/>
      <c r="P7" s="7"/>
      <c r="Q7" s="7"/>
      <c r="R7" s="7"/>
      <c r="S7" s="7"/>
      <c r="T7" s="3"/>
      <c r="U7" s="7"/>
      <c r="V7" s="7"/>
      <c r="W7" s="7"/>
      <c r="X7" s="7"/>
      <c r="Y7" s="7"/>
      <c r="Z7" s="7"/>
      <c r="AA7" s="7"/>
      <c r="AB7" s="3" t="s">
        <v>174</v>
      </c>
      <c r="AC7" s="3" t="s">
        <v>175</v>
      </c>
      <c r="AD7" s="3" t="s">
        <v>177</v>
      </c>
      <c r="AE7" s="3" t="s">
        <v>178</v>
      </c>
      <c r="AF7" s="296"/>
      <c r="AG7" s="297"/>
      <c r="AI7" s="3" t="s">
        <v>174</v>
      </c>
      <c r="AJ7" s="3" t="s">
        <v>175</v>
      </c>
      <c r="AK7" s="3" t="s">
        <v>177</v>
      </c>
      <c r="AL7" s="3" t="s">
        <v>178</v>
      </c>
      <c r="AM7" s="296"/>
      <c r="AN7" s="297"/>
      <c r="AP7" s="3" t="s">
        <v>174</v>
      </c>
      <c r="AQ7" s="3" t="s">
        <v>242</v>
      </c>
      <c r="AR7" s="3" t="s">
        <v>260</v>
      </c>
      <c r="AS7" s="3" t="s">
        <v>221</v>
      </c>
      <c r="AT7" s="296"/>
      <c r="AU7" s="297"/>
    </row>
    <row r="8" spans="1:47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87</v>
      </c>
      <c r="M8" s="10" t="s">
        <v>88</v>
      </c>
      <c r="N8" s="10"/>
      <c r="P8" s="7"/>
      <c r="Q8" s="7"/>
      <c r="R8" s="7"/>
      <c r="S8" s="7"/>
      <c r="T8" s="3"/>
      <c r="U8" s="7"/>
      <c r="V8" s="7"/>
      <c r="W8" s="7"/>
      <c r="X8" s="7"/>
      <c r="Y8" s="7"/>
      <c r="Z8" s="7"/>
      <c r="AA8" s="7"/>
      <c r="AB8" s="3" t="s">
        <v>110</v>
      </c>
      <c r="AC8" s="3" t="s">
        <v>113</v>
      </c>
      <c r="AD8" s="3" t="s">
        <v>111</v>
      </c>
      <c r="AE8" s="3" t="s">
        <v>111</v>
      </c>
      <c r="AF8" s="118" t="s">
        <v>115</v>
      </c>
      <c r="AG8" s="118" t="s">
        <v>115</v>
      </c>
      <c r="AI8" s="3" t="s">
        <v>110</v>
      </c>
      <c r="AJ8" s="3" t="s">
        <v>113</v>
      </c>
      <c r="AK8" s="3" t="s">
        <v>111</v>
      </c>
      <c r="AL8" s="3" t="s">
        <v>111</v>
      </c>
      <c r="AM8" s="118" t="s">
        <v>115</v>
      </c>
      <c r="AN8" s="118" t="s">
        <v>115</v>
      </c>
      <c r="AP8" s="3" t="s">
        <v>110</v>
      </c>
      <c r="AQ8" s="3" t="s">
        <v>113</v>
      </c>
      <c r="AR8" s="3" t="s">
        <v>111</v>
      </c>
      <c r="AS8" s="3" t="s">
        <v>111</v>
      </c>
      <c r="AT8" s="118" t="s">
        <v>115</v>
      </c>
      <c r="AU8" s="118" t="s">
        <v>115</v>
      </c>
    </row>
    <row r="9" spans="1:47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2</v>
      </c>
      <c r="P9" s="9" t="s">
        <v>35</v>
      </c>
      <c r="Q9" s="9" t="s">
        <v>58</v>
      </c>
      <c r="R9" s="9" t="s">
        <v>59</v>
      </c>
      <c r="S9" s="9" t="s">
        <v>60</v>
      </c>
      <c r="T9" s="9" t="s">
        <v>61</v>
      </c>
      <c r="U9" s="9" t="s">
        <v>62</v>
      </c>
      <c r="V9" s="8" t="s">
        <v>65</v>
      </c>
      <c r="W9" s="8" t="s">
        <v>66</v>
      </c>
      <c r="X9" s="36" t="s">
        <v>181</v>
      </c>
      <c r="Y9" s="36" t="s">
        <v>182</v>
      </c>
      <c r="Z9" s="36" t="s">
        <v>183</v>
      </c>
      <c r="AA9" s="35"/>
      <c r="AB9" s="3" t="s">
        <v>114</v>
      </c>
      <c r="AC9" s="3" t="s">
        <v>112</v>
      </c>
      <c r="AD9" s="3" t="s">
        <v>114</v>
      </c>
      <c r="AE9" s="3" t="s">
        <v>112</v>
      </c>
      <c r="AF9" s="118" t="s">
        <v>113</v>
      </c>
      <c r="AG9" s="118" t="s">
        <v>113</v>
      </c>
      <c r="AI9" s="3" t="s">
        <v>114</v>
      </c>
      <c r="AJ9" s="3" t="s">
        <v>112</v>
      </c>
      <c r="AK9" s="3" t="s">
        <v>114</v>
      </c>
      <c r="AL9" s="3" t="s">
        <v>112</v>
      </c>
      <c r="AM9" s="118" t="s">
        <v>113</v>
      </c>
      <c r="AN9" s="118" t="s">
        <v>113</v>
      </c>
      <c r="AP9" s="3" t="s">
        <v>114</v>
      </c>
      <c r="AQ9" s="3" t="s">
        <v>112</v>
      </c>
      <c r="AR9" s="3" t="s">
        <v>114</v>
      </c>
      <c r="AS9" s="3" t="s">
        <v>112</v>
      </c>
      <c r="AT9" s="118" t="s">
        <v>113</v>
      </c>
      <c r="AU9" s="118" t="s">
        <v>113</v>
      </c>
    </row>
    <row r="10" spans="1:47" ht="12.75">
      <c r="A10" s="7" t="s">
        <v>5</v>
      </c>
      <c r="B10" s="11">
        <f aca="true" t="shared" si="0" ref="B10:K10">SUM(B12:B43)</f>
        <v>2517398</v>
      </c>
      <c r="C10" s="11">
        <f t="shared" si="0"/>
        <v>2381073</v>
      </c>
      <c r="D10" s="11">
        <f t="shared" si="0"/>
        <v>2534562</v>
      </c>
      <c r="E10" s="11">
        <f t="shared" si="0"/>
        <v>2690895</v>
      </c>
      <c r="F10" s="11">
        <f t="shared" si="0"/>
        <v>2983563</v>
      </c>
      <c r="G10" s="11">
        <f t="shared" si="0"/>
        <v>3220407</v>
      </c>
      <c r="H10" s="11">
        <f t="shared" si="0"/>
        <v>3348155</v>
      </c>
      <c r="I10" s="11">
        <f t="shared" si="0"/>
        <v>3384820</v>
      </c>
      <c r="J10" s="11">
        <f t="shared" si="0"/>
        <v>3514701</v>
      </c>
      <c r="K10" s="11">
        <f t="shared" si="0"/>
        <v>3746503.70023</v>
      </c>
      <c r="L10" s="272">
        <f>(K10-J10)*100/J10</f>
        <v>6.595232431720368</v>
      </c>
      <c r="M10" s="50">
        <f>(K10-Z10)*100/Z10</f>
        <v>53.64793844697009</v>
      </c>
      <c r="N10" s="12"/>
      <c r="O10" s="11">
        <f>SUM(O12:O39)</f>
        <v>1206634</v>
      </c>
      <c r="P10" s="11">
        <f>SUM(P12:P39)</f>
        <v>1261604</v>
      </c>
      <c r="Q10" s="11">
        <f>SUM(Q12:Q39)</f>
        <v>1377436</v>
      </c>
      <c r="R10" s="11">
        <f>SUM(R12:R39)</f>
        <v>1507346</v>
      </c>
      <c r="S10" s="11">
        <f>SUM(S11:S39)</f>
        <v>1670447</v>
      </c>
      <c r="T10" s="11">
        <f>SUM(T11:T39)</f>
        <v>1824006</v>
      </c>
      <c r="U10" s="11">
        <f>SUM(U11:U39)</f>
        <v>1987318</v>
      </c>
      <c r="V10" s="11">
        <f>SUM(V12:V43)</f>
        <v>2017138</v>
      </c>
      <c r="W10" s="11">
        <f>SUM(W12:W43)</f>
        <v>2095302</v>
      </c>
      <c r="X10" s="11">
        <f>SUM(X12:X43)</f>
        <v>2190290</v>
      </c>
      <c r="Y10" s="11">
        <f>SUM(Y12:Y43)</f>
        <v>2350590.7229999998</v>
      </c>
      <c r="Z10" s="11">
        <f>SUM(Z12:Z43)</f>
        <v>2438369</v>
      </c>
      <c r="AA10" s="11"/>
      <c r="AB10" s="11">
        <f>SUM(AB12:AB43)</f>
        <v>3423706601</v>
      </c>
      <c r="AC10" s="11">
        <f>SUM(AC12:AC43)</f>
        <v>30515368.11</v>
      </c>
      <c r="AD10" s="11">
        <f>SUM(AD12:AD43)</f>
        <v>8408047.139999999</v>
      </c>
      <c r="AE10" s="11">
        <f>SUM(AE11:AE39)</f>
        <v>35638.37</v>
      </c>
      <c r="AF10" s="11">
        <f>SUM(AF11:AF39)</f>
        <v>3384818824.12</v>
      </c>
      <c r="AG10" s="11">
        <f>SUM(AG11:AG39)</f>
        <v>3384818.82412</v>
      </c>
      <c r="AI10" s="11">
        <f>SUM(AI12:AI43)</f>
        <v>3571803525</v>
      </c>
      <c r="AJ10" s="11">
        <f>SUM(AJ12:AJ43)</f>
        <v>49907299.96999999</v>
      </c>
      <c r="AK10" s="11">
        <f>SUM(AK11:AK39)</f>
        <v>7268272.03</v>
      </c>
      <c r="AL10" s="11">
        <f>SUM(AL11:AL39)</f>
        <v>71686.41</v>
      </c>
      <c r="AM10" s="11">
        <f>SUM(AM11:AM39)</f>
        <v>3514699639.41</v>
      </c>
      <c r="AN10" s="11">
        <f>SUM(AN11:AN39)</f>
        <v>3514699.6394100008</v>
      </c>
      <c r="AP10" s="11">
        <f aca="true" t="shared" si="1" ref="AP10:AU10">SUM(AP12:AP39)</f>
        <v>3793591758.18</v>
      </c>
      <c r="AQ10" s="11">
        <f t="shared" si="1"/>
        <v>40080907.03999999</v>
      </c>
      <c r="AR10" s="11">
        <f t="shared" si="1"/>
        <v>7025936.149999999</v>
      </c>
      <c r="AS10" s="11">
        <f t="shared" si="1"/>
        <v>18785.24</v>
      </c>
      <c r="AT10" s="11">
        <f t="shared" si="1"/>
        <v>3746503700.2299995</v>
      </c>
      <c r="AU10" s="11">
        <f t="shared" si="1"/>
        <v>3746503.70023</v>
      </c>
    </row>
    <row r="11" spans="2:27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N11" s="15"/>
      <c r="P11" s="15"/>
      <c r="S11" s="15"/>
      <c r="T11" s="15"/>
      <c r="V11" s="1"/>
      <c r="X11" s="1"/>
      <c r="Y11" s="15" t="s">
        <v>30</v>
      </c>
      <c r="Z11" s="1"/>
      <c r="AA11" s="1"/>
    </row>
    <row r="12" spans="1:47" ht="12.75">
      <c r="A12" s="1" t="s">
        <v>6</v>
      </c>
      <c r="B12" s="15">
        <v>31479</v>
      </c>
      <c r="C12" s="15">
        <v>30834</v>
      </c>
      <c r="D12" s="15">
        <v>31322</v>
      </c>
      <c r="E12" s="15">
        <v>32028</v>
      </c>
      <c r="F12" s="15">
        <v>32727</v>
      </c>
      <c r="G12" s="15">
        <v>35665</v>
      </c>
      <c r="H12" s="15">
        <v>36325</v>
      </c>
      <c r="I12" s="15">
        <v>37859</v>
      </c>
      <c r="J12" s="15">
        <v>38396</v>
      </c>
      <c r="K12" s="15">
        <v>40336.536640000006</v>
      </c>
      <c r="L12" s="272">
        <f>(K12-J12)*100/J12</f>
        <v>5.054007292426309</v>
      </c>
      <c r="M12" s="50">
        <f>(K12-Z12)*100/Z12</f>
        <v>29.03149816064747</v>
      </c>
      <c r="N12" s="17"/>
      <c r="O12" s="15">
        <v>18788</v>
      </c>
      <c r="P12" s="15">
        <v>19226</v>
      </c>
      <c r="Q12" s="15">
        <v>20230</v>
      </c>
      <c r="R12" s="28">
        <v>21396</v>
      </c>
      <c r="S12" s="28">
        <v>23150</v>
      </c>
      <c r="T12" s="28">
        <v>24625</v>
      </c>
      <c r="U12" s="28">
        <v>26069</v>
      </c>
      <c r="V12" s="28">
        <v>26793</v>
      </c>
      <c r="W12" s="28">
        <v>27205</v>
      </c>
      <c r="X12" s="29">
        <v>28821</v>
      </c>
      <c r="Y12" s="15">
        <f>30730.313-584.698</f>
        <v>30145.614999999998</v>
      </c>
      <c r="Z12" s="29">
        <v>31261</v>
      </c>
      <c r="AA12" s="29"/>
      <c r="AB12" s="3">
        <v>38604909</v>
      </c>
      <c r="AC12" s="100">
        <v>588479.93</v>
      </c>
      <c r="AD12" s="43">
        <v>169183.38</v>
      </c>
      <c r="AE12" s="43">
        <v>12131.4</v>
      </c>
      <c r="AF12" s="3">
        <f>AB12-AC12-AD12+AE12</f>
        <v>37859377.089999996</v>
      </c>
      <c r="AG12" s="3">
        <f>AF12/1000</f>
        <v>37859.377089999994</v>
      </c>
      <c r="AI12" s="3">
        <v>39461952</v>
      </c>
      <c r="AJ12" s="100">
        <v>902135</v>
      </c>
      <c r="AK12" s="43">
        <v>175299</v>
      </c>
      <c r="AL12" s="43">
        <v>11562</v>
      </c>
      <c r="AM12" s="3">
        <f>AI12-AJ12-AK12+AL12</f>
        <v>38396080</v>
      </c>
      <c r="AN12" s="3">
        <f>AM12/1000</f>
        <v>38396.08</v>
      </c>
      <c r="AP12" s="265">
        <v>41589515.30000001</v>
      </c>
      <c r="AQ12" s="100">
        <v>1050410.14</v>
      </c>
      <c r="AR12" s="43">
        <v>202568.52</v>
      </c>
      <c r="AS12" s="43">
        <v>0</v>
      </c>
      <c r="AT12" s="3">
        <f>AP12-AQ12-AR12+AS12</f>
        <v>40336536.64000001</v>
      </c>
      <c r="AU12" s="3">
        <f>AT12/1000</f>
        <v>40336.536640000006</v>
      </c>
    </row>
    <row r="13" spans="1:47" ht="12.75">
      <c r="A13" s="1" t="s">
        <v>7</v>
      </c>
      <c r="B13" s="15">
        <v>218287</v>
      </c>
      <c r="C13" s="15">
        <v>202244</v>
      </c>
      <c r="D13" s="15">
        <v>207206</v>
      </c>
      <c r="E13" s="15">
        <v>219371</v>
      </c>
      <c r="F13" s="15">
        <v>243336</v>
      </c>
      <c r="G13" s="15">
        <v>260931</v>
      </c>
      <c r="H13" s="15">
        <v>267276</v>
      </c>
      <c r="I13" s="15">
        <v>273306</v>
      </c>
      <c r="J13" s="15">
        <v>286572</v>
      </c>
      <c r="K13" s="15">
        <v>303113.61208</v>
      </c>
      <c r="L13" s="272">
        <f>(K13-J13)*100/J13</f>
        <v>5.772235975601242</v>
      </c>
      <c r="M13" s="50">
        <f>(K13-Z13)*100/Z13</f>
        <v>41.11434454376163</v>
      </c>
      <c r="N13" s="17"/>
      <c r="O13" s="15">
        <v>115809</v>
      </c>
      <c r="P13" s="15">
        <v>121249</v>
      </c>
      <c r="Q13" s="15">
        <v>131218</v>
      </c>
      <c r="R13" s="28">
        <v>142587</v>
      </c>
      <c r="S13" s="28">
        <v>155028</v>
      </c>
      <c r="T13" s="28">
        <v>170395</v>
      </c>
      <c r="U13" s="28">
        <v>187195</v>
      </c>
      <c r="V13" s="28">
        <v>185033</v>
      </c>
      <c r="W13" s="28">
        <v>190411</v>
      </c>
      <c r="X13" s="29">
        <v>197513</v>
      </c>
      <c r="Y13" s="15">
        <f>212278.998-1642.945</f>
        <v>210636.05299999999</v>
      </c>
      <c r="Z13" s="29">
        <v>214800</v>
      </c>
      <c r="AA13" s="29"/>
      <c r="AB13" s="3">
        <v>274887875</v>
      </c>
      <c r="AC13" s="100">
        <v>1581632.75</v>
      </c>
      <c r="AD13" s="43">
        <v>0</v>
      </c>
      <c r="AE13" s="43">
        <v>0</v>
      </c>
      <c r="AF13" s="3">
        <f>AB13-AC13-AD13+AE13</f>
        <v>273306242.25</v>
      </c>
      <c r="AG13" s="3">
        <f>AF13/1000</f>
        <v>273306.24225</v>
      </c>
      <c r="AI13" s="3">
        <v>287769056</v>
      </c>
      <c r="AJ13" s="100">
        <v>1197036</v>
      </c>
      <c r="AK13" s="43">
        <v>0</v>
      </c>
      <c r="AL13" s="43">
        <v>0</v>
      </c>
      <c r="AM13" s="3">
        <f>AI13-AJ13-AK13+AL13</f>
        <v>286572020</v>
      </c>
      <c r="AN13" s="3">
        <f>AM13/1000</f>
        <v>286572.02</v>
      </c>
      <c r="AP13" s="265">
        <v>304816381.41999996</v>
      </c>
      <c r="AQ13" s="100">
        <v>1702769.34</v>
      </c>
      <c r="AR13" s="43">
        <v>0</v>
      </c>
      <c r="AS13" s="43">
        <v>0</v>
      </c>
      <c r="AT13" s="3">
        <f>AP13-AQ13-AR13+AS13</f>
        <v>303113612.08</v>
      </c>
      <c r="AU13" s="3">
        <f>AT13/1000</f>
        <v>303113.61208</v>
      </c>
    </row>
    <row r="14" spans="1:47" ht="12.75">
      <c r="A14" s="1" t="s">
        <v>8</v>
      </c>
      <c r="B14" s="15">
        <v>284915</v>
      </c>
      <c r="C14" s="15">
        <v>275051</v>
      </c>
      <c r="D14" s="15">
        <v>295088</v>
      </c>
      <c r="E14" s="15">
        <v>307002</v>
      </c>
      <c r="F14" s="15">
        <v>337427</v>
      </c>
      <c r="G14" s="15">
        <v>371486</v>
      </c>
      <c r="H14" s="15">
        <v>377196</v>
      </c>
      <c r="I14" s="15">
        <v>346151</v>
      </c>
      <c r="J14" s="15">
        <v>337032</v>
      </c>
      <c r="K14" s="15">
        <v>364629.63851</v>
      </c>
      <c r="L14" s="272">
        <f>(K14-J14)*100/J14</f>
        <v>8.188432703719533</v>
      </c>
      <c r="M14" s="50">
        <f>(K14-Z14)*100/Z14</f>
        <v>24.48223848735308</v>
      </c>
      <c r="N14" s="17"/>
      <c r="O14" s="15">
        <v>157929</v>
      </c>
      <c r="P14" s="15">
        <v>165616</v>
      </c>
      <c r="Q14" s="15">
        <v>175520</v>
      </c>
      <c r="R14" s="28">
        <v>190613</v>
      </c>
      <c r="S14" s="28">
        <v>204939</v>
      </c>
      <c r="T14" s="28">
        <v>215074</v>
      </c>
      <c r="U14" s="28">
        <v>236878</v>
      </c>
      <c r="V14" s="28">
        <v>242644</v>
      </c>
      <c r="W14" s="28">
        <v>256055</v>
      </c>
      <c r="X14" s="29">
        <v>265478</v>
      </c>
      <c r="Y14" s="15">
        <f>288733.843-7202.757</f>
        <v>281531.086</v>
      </c>
      <c r="Z14" s="29">
        <v>292917</v>
      </c>
      <c r="AA14" s="29"/>
      <c r="AB14" s="3">
        <v>348122129</v>
      </c>
      <c r="AC14" s="100">
        <v>1971021.12</v>
      </c>
      <c r="AD14" s="43">
        <v>0</v>
      </c>
      <c r="AE14" s="43">
        <v>0</v>
      </c>
      <c r="AF14" s="3">
        <f>AB14-AC14-AD14+AE14</f>
        <v>346151107.88</v>
      </c>
      <c r="AG14" s="3">
        <f>AF14/1000</f>
        <v>346151.10787999997</v>
      </c>
      <c r="AI14" s="3">
        <v>341535114</v>
      </c>
      <c r="AJ14" s="100">
        <v>4503261.31</v>
      </c>
      <c r="AK14" s="43">
        <v>0</v>
      </c>
      <c r="AL14" s="43">
        <v>0</v>
      </c>
      <c r="AM14" s="3">
        <f>AI14-AJ14-AK14+AL14</f>
        <v>337031852.69</v>
      </c>
      <c r="AN14" s="3">
        <f>AM14/1000</f>
        <v>337031.85268999997</v>
      </c>
      <c r="AP14" s="265">
        <v>371594543.48</v>
      </c>
      <c r="AQ14" s="100">
        <v>6964904.970000001</v>
      </c>
      <c r="AR14" s="43">
        <v>0</v>
      </c>
      <c r="AS14" s="43">
        <v>0</v>
      </c>
      <c r="AT14" s="3">
        <f>AP14-AQ14-AR14+AS14</f>
        <v>364629638.51</v>
      </c>
      <c r="AU14" s="3">
        <f>AT14/1000</f>
        <v>364629.63851</v>
      </c>
    </row>
    <row r="15" spans="1:47" ht="12.75">
      <c r="A15" s="1" t="s">
        <v>9</v>
      </c>
      <c r="B15" s="15">
        <v>327231</v>
      </c>
      <c r="C15" s="15">
        <v>304029</v>
      </c>
      <c r="D15" s="15">
        <v>318266</v>
      </c>
      <c r="E15" s="15">
        <v>337310</v>
      </c>
      <c r="F15" s="15">
        <v>387731</v>
      </c>
      <c r="G15" s="15">
        <v>401465</v>
      </c>
      <c r="H15" s="15">
        <v>402186</v>
      </c>
      <c r="I15" s="15">
        <v>408882</v>
      </c>
      <c r="J15" s="15">
        <v>421506</v>
      </c>
      <c r="K15" s="15">
        <v>437312.1972300001</v>
      </c>
      <c r="L15" s="272">
        <f>(K15-J15)*100/J15</f>
        <v>3.7499341005822235</v>
      </c>
      <c r="M15" s="50">
        <f>(K15-Z15)*100/Z15</f>
        <v>39.314437017167755</v>
      </c>
      <c r="N15" s="17"/>
      <c r="O15" s="15">
        <v>177284</v>
      </c>
      <c r="P15" s="15">
        <v>181784</v>
      </c>
      <c r="Q15" s="15">
        <v>197093</v>
      </c>
      <c r="R15" s="28">
        <v>204662</v>
      </c>
      <c r="S15" s="28">
        <v>231996</v>
      </c>
      <c r="T15" s="28">
        <v>244647</v>
      </c>
      <c r="U15" s="28">
        <v>259500</v>
      </c>
      <c r="V15" s="28">
        <v>265312</v>
      </c>
      <c r="W15" s="28">
        <v>267403</v>
      </c>
      <c r="X15" s="29">
        <v>277269</v>
      </c>
      <c r="Y15" s="15">
        <f>318765.127-15349.669-345.811</f>
        <v>303069.647</v>
      </c>
      <c r="Z15" s="29">
        <v>313903</v>
      </c>
      <c r="AA15" s="29"/>
      <c r="AB15" s="3">
        <v>417545377</v>
      </c>
      <c r="AC15" s="100">
        <v>8479289</v>
      </c>
      <c r="AD15" s="43">
        <v>184547.14</v>
      </c>
      <c r="AE15" s="43">
        <v>0</v>
      </c>
      <c r="AF15" s="3">
        <f>AB15-AC15-AD15+AE15</f>
        <v>408881540.86</v>
      </c>
      <c r="AG15" s="3">
        <f>AF15/1000</f>
        <v>408881.54086</v>
      </c>
      <c r="AI15" s="3">
        <v>430116774</v>
      </c>
      <c r="AJ15" s="100">
        <v>8438585</v>
      </c>
      <c r="AK15" s="43">
        <v>172054.15</v>
      </c>
      <c r="AL15" s="43">
        <v>0</v>
      </c>
      <c r="AM15" s="3">
        <f>AI15-AJ15-AK15+AL15</f>
        <v>421506134.85</v>
      </c>
      <c r="AN15" s="3">
        <f>AM15/1000</f>
        <v>421506.13485000003</v>
      </c>
      <c r="AP15" s="265">
        <v>445978903.34000003</v>
      </c>
      <c r="AQ15" s="100">
        <v>8430799.27</v>
      </c>
      <c r="AR15" s="43">
        <v>235906.84</v>
      </c>
      <c r="AS15" s="43">
        <v>0</v>
      </c>
      <c r="AT15" s="3">
        <f>AP15-AQ15-AR15+AS15</f>
        <v>437312197.2300001</v>
      </c>
      <c r="AU15" s="3">
        <f>AT15/1000</f>
        <v>437312.1972300001</v>
      </c>
    </row>
    <row r="16" spans="1:47" ht="12.75">
      <c r="A16" s="1" t="s">
        <v>10</v>
      </c>
      <c r="B16" s="15">
        <v>42068</v>
      </c>
      <c r="C16" s="15">
        <v>40417</v>
      </c>
      <c r="D16" s="15">
        <v>43224</v>
      </c>
      <c r="E16" s="15">
        <v>46865</v>
      </c>
      <c r="F16" s="15">
        <v>52284</v>
      </c>
      <c r="G16" s="15">
        <v>56805</v>
      </c>
      <c r="H16" s="15">
        <v>62586</v>
      </c>
      <c r="I16" s="15">
        <v>65950</v>
      </c>
      <c r="J16" s="15">
        <v>68625</v>
      </c>
      <c r="K16" s="15">
        <v>73739.37703</v>
      </c>
      <c r="L16" s="272">
        <f>(K16-J16)*100/J16</f>
        <v>7.452644123861571</v>
      </c>
      <c r="M16" s="50">
        <f>(K16-Z16)*100/Z16</f>
        <v>88.644828545115</v>
      </c>
      <c r="N16" s="17"/>
      <c r="O16" s="15">
        <v>14010</v>
      </c>
      <c r="P16" s="15">
        <v>14579</v>
      </c>
      <c r="Q16" s="15">
        <v>16026</v>
      </c>
      <c r="R16" s="28">
        <v>17772</v>
      </c>
      <c r="S16" s="28">
        <v>20446</v>
      </c>
      <c r="T16" s="28">
        <v>22676</v>
      </c>
      <c r="U16" s="28">
        <v>25397</v>
      </c>
      <c r="V16" s="28">
        <v>28682</v>
      </c>
      <c r="W16" s="28">
        <v>31276</v>
      </c>
      <c r="X16" s="29">
        <v>33816</v>
      </c>
      <c r="Y16" s="15">
        <f>36750.293-608.007</f>
        <v>36142.286</v>
      </c>
      <c r="Z16" s="29">
        <v>39089</v>
      </c>
      <c r="AA16" s="29"/>
      <c r="AB16" s="3">
        <v>67308631</v>
      </c>
      <c r="AC16" s="100">
        <v>1155769.74</v>
      </c>
      <c r="AD16" s="43">
        <v>203183.87</v>
      </c>
      <c r="AE16" s="43">
        <v>0</v>
      </c>
      <c r="AF16" s="3">
        <f>AB16-AC16-AD16+AE16</f>
        <v>65949677.39</v>
      </c>
      <c r="AG16" s="3">
        <f>AF16/1000</f>
        <v>65949.67739</v>
      </c>
      <c r="AI16" s="3">
        <v>69630424</v>
      </c>
      <c r="AJ16" s="100">
        <v>773961.8</v>
      </c>
      <c r="AK16" s="43">
        <v>245459.19</v>
      </c>
      <c r="AL16" s="43">
        <v>13955</v>
      </c>
      <c r="AM16" s="3">
        <f>AI16-AJ16-AK16+AL16</f>
        <v>68624958.01</v>
      </c>
      <c r="AN16" s="3">
        <f>AM16/1000</f>
        <v>68624.95801</v>
      </c>
      <c r="AP16" s="265">
        <v>74945115.64</v>
      </c>
      <c r="AQ16" s="100">
        <v>1002363.51</v>
      </c>
      <c r="AR16" s="43">
        <v>208247.94</v>
      </c>
      <c r="AS16" s="43">
        <v>4872.84</v>
      </c>
      <c r="AT16" s="3">
        <f>AP16-AQ16-AR16+AS16</f>
        <v>73739377.03</v>
      </c>
      <c r="AU16" s="3">
        <f>AT16/1000</f>
        <v>73739.37703</v>
      </c>
    </row>
    <row r="17" spans="2:45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50"/>
      <c r="M17" s="50"/>
      <c r="N17" s="17"/>
      <c r="O17" s="15"/>
      <c r="Q17" s="15"/>
      <c r="R17" s="28"/>
      <c r="S17" s="28"/>
      <c r="T17" s="28"/>
      <c r="U17" s="28"/>
      <c r="V17" s="28"/>
      <c r="W17" s="28"/>
      <c r="X17" s="29"/>
      <c r="Y17" s="15"/>
      <c r="Z17" s="29"/>
      <c r="AA17" s="29"/>
      <c r="AC17" s="100"/>
      <c r="AD17" s="43"/>
      <c r="AE17" s="43"/>
      <c r="AJ17" s="100"/>
      <c r="AK17" s="43"/>
      <c r="AL17" s="43"/>
      <c r="AP17" s="265"/>
      <c r="AQ17" s="100"/>
      <c r="AR17" s="43"/>
      <c r="AS17" s="43"/>
    </row>
    <row r="18" spans="1:47" ht="12.75">
      <c r="A18" s="1" t="s">
        <v>11</v>
      </c>
      <c r="B18" s="15">
        <v>16583</v>
      </c>
      <c r="C18" s="15">
        <v>15043</v>
      </c>
      <c r="D18" s="15">
        <v>16143</v>
      </c>
      <c r="E18" s="15">
        <v>16548</v>
      </c>
      <c r="F18" s="15">
        <v>17745</v>
      </c>
      <c r="G18" s="15">
        <v>19145</v>
      </c>
      <c r="H18" s="15">
        <v>20168</v>
      </c>
      <c r="I18" s="15">
        <v>20349</v>
      </c>
      <c r="J18" s="15">
        <v>20774</v>
      </c>
      <c r="K18" s="15">
        <v>21846.19204</v>
      </c>
      <c r="L18" s="272">
        <f>(K18-J18)*100/J18</f>
        <v>5.161220949263511</v>
      </c>
      <c r="M18" s="50">
        <f>(K18-Z18)*100/Z18</f>
        <v>43.74386129753916</v>
      </c>
      <c r="N18" s="17"/>
      <c r="O18" s="15">
        <v>6314</v>
      </c>
      <c r="P18" s="15">
        <v>6498</v>
      </c>
      <c r="Q18" s="15">
        <v>7512</v>
      </c>
      <c r="R18" s="28">
        <v>8393</v>
      </c>
      <c r="S18" s="28">
        <v>9417</v>
      </c>
      <c r="T18" s="28">
        <v>10279</v>
      </c>
      <c r="U18" s="28">
        <v>11390</v>
      </c>
      <c r="V18" s="28">
        <v>11947</v>
      </c>
      <c r="W18" s="28">
        <v>12477</v>
      </c>
      <c r="X18" s="29">
        <v>13387</v>
      </c>
      <c r="Y18" s="15">
        <f>14937.162-599.746-1.537</f>
        <v>14335.879</v>
      </c>
      <c r="Z18" s="29">
        <v>15198</v>
      </c>
      <c r="AA18" s="29"/>
      <c r="AB18" s="3">
        <v>20669177</v>
      </c>
      <c r="AC18" s="100">
        <v>320194.17</v>
      </c>
      <c r="AD18" s="43">
        <v>0</v>
      </c>
      <c r="AE18" s="43">
        <v>0</v>
      </c>
      <c r="AF18" s="3">
        <f>AB18-AC18-AD18+AE18</f>
        <v>20348982.83</v>
      </c>
      <c r="AG18" s="3">
        <f>AF18/1000</f>
        <v>20348.982829999997</v>
      </c>
      <c r="AI18" s="3">
        <v>21005929</v>
      </c>
      <c r="AJ18" s="100">
        <v>232396.94</v>
      </c>
      <c r="AK18" s="43">
        <v>0</v>
      </c>
      <c r="AL18" s="43">
        <v>0</v>
      </c>
      <c r="AM18" s="3">
        <f>AI18-AJ18-AK18+AL18</f>
        <v>20773532.06</v>
      </c>
      <c r="AN18" s="3">
        <f>AM18/1000</f>
        <v>20773.532059999998</v>
      </c>
      <c r="AP18" s="265">
        <v>22130667.980000004</v>
      </c>
      <c r="AQ18" s="100">
        <v>284475.94</v>
      </c>
      <c r="AR18" s="43">
        <v>0</v>
      </c>
      <c r="AS18" s="43">
        <v>0</v>
      </c>
      <c r="AT18" s="3">
        <f>AP18-AQ18-AR18+AS18</f>
        <v>21846192.040000003</v>
      </c>
      <c r="AU18" s="3">
        <f>AT18/1000</f>
        <v>21846.19204</v>
      </c>
    </row>
    <row r="19" spans="1:47" ht="12.75">
      <c r="A19" s="1" t="s">
        <v>12</v>
      </c>
      <c r="B19" s="15">
        <v>73093</v>
      </c>
      <c r="C19" s="15">
        <v>68675</v>
      </c>
      <c r="D19" s="15">
        <v>73468</v>
      </c>
      <c r="E19" s="15">
        <v>77431</v>
      </c>
      <c r="F19" s="15">
        <v>84984</v>
      </c>
      <c r="G19" s="15">
        <v>91467</v>
      </c>
      <c r="H19" s="15">
        <v>99210</v>
      </c>
      <c r="I19" s="15">
        <v>102919</v>
      </c>
      <c r="J19" s="15">
        <v>109682</v>
      </c>
      <c r="K19" s="15">
        <v>116405.52960999997</v>
      </c>
      <c r="L19" s="272">
        <f>(K19-J19)*100/J19</f>
        <v>6.13002097882968</v>
      </c>
      <c r="M19" s="50">
        <f>(K19-Z19)*100/Z19</f>
        <v>64.90604713198937</v>
      </c>
      <c r="N19" s="17"/>
      <c r="O19" s="15">
        <v>30023</v>
      </c>
      <c r="P19" s="15">
        <v>31815</v>
      </c>
      <c r="Q19" s="15">
        <v>34743</v>
      </c>
      <c r="R19" s="28">
        <v>39526</v>
      </c>
      <c r="S19" s="28">
        <v>45617</v>
      </c>
      <c r="T19" s="28">
        <v>50563</v>
      </c>
      <c r="U19" s="28">
        <v>55504</v>
      </c>
      <c r="V19" s="28">
        <v>57671</v>
      </c>
      <c r="W19" s="28">
        <v>59591</v>
      </c>
      <c r="X19" s="29">
        <v>63426</v>
      </c>
      <c r="Y19" s="15">
        <f>71141.464-2057.375</f>
        <v>69084.089</v>
      </c>
      <c r="Z19" s="29">
        <v>70589</v>
      </c>
      <c r="AA19" s="29"/>
      <c r="AB19" s="3">
        <v>104868715</v>
      </c>
      <c r="AC19" s="100">
        <v>1514553.54</v>
      </c>
      <c r="AD19" s="43">
        <v>442401.12</v>
      </c>
      <c r="AE19" s="43">
        <v>7322</v>
      </c>
      <c r="AF19" s="3">
        <f>AB19-AC19-AD19+AE19</f>
        <v>102919082.33999999</v>
      </c>
      <c r="AG19" s="3">
        <f>AF19/1000</f>
        <v>102919.08234</v>
      </c>
      <c r="AI19" s="3">
        <v>112113038</v>
      </c>
      <c r="AJ19" s="100">
        <v>1959508.12</v>
      </c>
      <c r="AK19" s="43">
        <v>482403.78</v>
      </c>
      <c r="AL19" s="43">
        <v>10819.14</v>
      </c>
      <c r="AM19" s="3">
        <f>AI19-AJ19-AK19+AL19</f>
        <v>109681945.24</v>
      </c>
      <c r="AN19" s="3">
        <f>AM19/1000</f>
        <v>109681.94524</v>
      </c>
      <c r="AP19" s="265">
        <v>118318464.09999998</v>
      </c>
      <c r="AQ19" s="100">
        <v>1417983.93</v>
      </c>
      <c r="AR19" s="43">
        <v>496503.56</v>
      </c>
      <c r="AS19" s="43">
        <v>1553</v>
      </c>
      <c r="AT19" s="3">
        <f>AP19-AQ19-AR19+AS19</f>
        <v>116405529.60999997</v>
      </c>
      <c r="AU19" s="3">
        <f>AT19/1000</f>
        <v>116405.52960999997</v>
      </c>
    </row>
    <row r="20" spans="1:47" ht="12.75">
      <c r="A20" s="1" t="s">
        <v>13</v>
      </c>
      <c r="B20" s="15">
        <v>41709</v>
      </c>
      <c r="C20" s="15">
        <v>38973</v>
      </c>
      <c r="D20" s="15">
        <v>41833</v>
      </c>
      <c r="E20" s="15">
        <v>43844</v>
      </c>
      <c r="F20" s="15">
        <v>47999</v>
      </c>
      <c r="G20" s="15">
        <v>50693</v>
      </c>
      <c r="H20" s="15">
        <v>53336</v>
      </c>
      <c r="I20" s="15">
        <v>54880</v>
      </c>
      <c r="J20" s="15">
        <v>58287</v>
      </c>
      <c r="K20" s="15">
        <v>62697.68717000001</v>
      </c>
      <c r="L20" s="272">
        <f>(K20-J20)*100/J20</f>
        <v>7.567188515449435</v>
      </c>
      <c r="M20" s="50">
        <f>(K20-Z20)*100/Z20</f>
        <v>58.036163562120365</v>
      </c>
      <c r="N20" s="17"/>
      <c r="O20" s="15">
        <v>18712</v>
      </c>
      <c r="P20" s="15">
        <v>19522</v>
      </c>
      <c r="Q20" s="15">
        <v>21055</v>
      </c>
      <c r="R20" s="28">
        <v>23708</v>
      </c>
      <c r="S20" s="28">
        <v>26117</v>
      </c>
      <c r="T20" s="28">
        <v>28942</v>
      </c>
      <c r="U20" s="28">
        <v>31223</v>
      </c>
      <c r="V20" s="28">
        <v>33039</v>
      </c>
      <c r="W20" s="28">
        <v>33760</v>
      </c>
      <c r="X20" s="29">
        <v>35248</v>
      </c>
      <c r="Y20" s="15">
        <f>39098.097-710.151</f>
        <v>38387.946</v>
      </c>
      <c r="Z20" s="29">
        <v>39673</v>
      </c>
      <c r="AA20" s="29"/>
      <c r="AB20" s="3">
        <v>55891093</v>
      </c>
      <c r="AC20" s="100">
        <v>1011234.98</v>
      </c>
      <c r="AD20" s="43">
        <v>0</v>
      </c>
      <c r="AE20" s="43"/>
      <c r="AF20" s="3">
        <f>AB20-AC20-AD20+AE20</f>
        <v>54879858.02</v>
      </c>
      <c r="AG20" s="3">
        <f>AF20/1000</f>
        <v>54879.85802</v>
      </c>
      <c r="AI20" s="3">
        <v>59122471</v>
      </c>
      <c r="AJ20" s="100">
        <v>835124.58</v>
      </c>
      <c r="AK20" s="43">
        <v>0</v>
      </c>
      <c r="AL20" s="43">
        <v>0</v>
      </c>
      <c r="AM20" s="3">
        <f>AI20-AJ20-AK20+AL20</f>
        <v>58287346.42</v>
      </c>
      <c r="AN20" s="3">
        <f>AM20/1000</f>
        <v>58287.34642</v>
      </c>
      <c r="AP20" s="265">
        <v>64109941.71000001</v>
      </c>
      <c r="AQ20" s="100">
        <v>1412254.54</v>
      </c>
      <c r="AR20" s="43">
        <v>0</v>
      </c>
      <c r="AS20" s="43">
        <v>0</v>
      </c>
      <c r="AT20" s="3">
        <f>AP20-AQ20-AR20+AS20</f>
        <v>62697687.17000001</v>
      </c>
      <c r="AU20" s="3">
        <f>AT20/1000</f>
        <v>62697.68717000001</v>
      </c>
    </row>
    <row r="21" spans="1:47" ht="12.75">
      <c r="A21" s="1" t="s">
        <v>14</v>
      </c>
      <c r="B21" s="15">
        <v>60078</v>
      </c>
      <c r="C21" s="15">
        <v>56612</v>
      </c>
      <c r="D21" s="15">
        <v>60747</v>
      </c>
      <c r="E21" s="15">
        <v>66034</v>
      </c>
      <c r="F21" s="15">
        <v>72793</v>
      </c>
      <c r="G21" s="15">
        <v>79692</v>
      </c>
      <c r="H21" s="15">
        <v>85339</v>
      </c>
      <c r="I21" s="15">
        <v>90185</v>
      </c>
      <c r="J21" s="15">
        <v>98119</v>
      </c>
      <c r="K21" s="15">
        <v>107776.78188000002</v>
      </c>
      <c r="L21" s="272">
        <f>(K21-J21)*100/J21</f>
        <v>9.842927343328025</v>
      </c>
      <c r="M21" s="50">
        <f>(K21-Z21)*100/Z21</f>
        <v>86.7396376678507</v>
      </c>
      <c r="N21" s="17"/>
      <c r="O21" s="15">
        <v>25149</v>
      </c>
      <c r="P21" s="15">
        <v>26203</v>
      </c>
      <c r="Q21" s="15">
        <v>29211</v>
      </c>
      <c r="R21" s="28">
        <v>32875</v>
      </c>
      <c r="S21" s="28">
        <v>36911</v>
      </c>
      <c r="T21" s="28">
        <v>41745</v>
      </c>
      <c r="U21" s="28">
        <v>45678</v>
      </c>
      <c r="V21" s="28">
        <v>47510</v>
      </c>
      <c r="W21" s="28">
        <v>50839</v>
      </c>
      <c r="X21" s="29">
        <v>54251</v>
      </c>
      <c r="Y21" s="15">
        <f>57151.192-118.053-23.321</f>
        <v>57009.818</v>
      </c>
      <c r="Z21" s="29">
        <v>57715</v>
      </c>
      <c r="AA21" s="29"/>
      <c r="AB21" s="3">
        <v>91630733</v>
      </c>
      <c r="AC21" s="100">
        <v>812318.79</v>
      </c>
      <c r="AD21" s="43">
        <v>632771.39</v>
      </c>
      <c r="AE21" s="43">
        <v>-337.15</v>
      </c>
      <c r="AF21" s="3">
        <f>AB21-AC21-AD21+AE21</f>
        <v>90185305.66999999</v>
      </c>
      <c r="AG21" s="3">
        <f>AF21/1000</f>
        <v>90185.30566999999</v>
      </c>
      <c r="AI21" s="3">
        <v>99894932</v>
      </c>
      <c r="AJ21" s="100">
        <v>1069852.49</v>
      </c>
      <c r="AK21" s="43">
        <v>706268.06</v>
      </c>
      <c r="AL21" s="43">
        <v>0</v>
      </c>
      <c r="AM21" s="3">
        <f>AI21-AJ21-AK21+AL21</f>
        <v>98118811.45</v>
      </c>
      <c r="AN21" s="3">
        <f>AM21/1000</f>
        <v>98118.81145000001</v>
      </c>
      <c r="AP21" s="265">
        <v>109179784.71000002</v>
      </c>
      <c r="AQ21" s="100">
        <v>647941.7</v>
      </c>
      <c r="AR21" s="43">
        <v>755061.13</v>
      </c>
      <c r="AS21" s="43">
        <v>0</v>
      </c>
      <c r="AT21" s="3">
        <f>AP21-AQ21-AR21+AS21</f>
        <v>107776781.88000003</v>
      </c>
      <c r="AU21" s="3">
        <f>AT21/1000</f>
        <v>107776.78188000002</v>
      </c>
    </row>
    <row r="22" spans="1:47" ht="12.75">
      <c r="A22" s="1" t="s">
        <v>15</v>
      </c>
      <c r="B22" s="15">
        <v>15911</v>
      </c>
      <c r="C22" s="15">
        <v>15280</v>
      </c>
      <c r="D22" s="15">
        <v>15616</v>
      </c>
      <c r="E22" s="15">
        <v>16967</v>
      </c>
      <c r="F22" s="15">
        <v>17696</v>
      </c>
      <c r="G22" s="15">
        <v>17196</v>
      </c>
      <c r="H22" s="15">
        <v>17909</v>
      </c>
      <c r="I22" s="15">
        <v>18797</v>
      </c>
      <c r="J22" s="15">
        <v>19507</v>
      </c>
      <c r="K22" s="15">
        <v>20450.568839999996</v>
      </c>
      <c r="L22" s="272">
        <f>(K22-J22)*100/J22</f>
        <v>4.837078177064624</v>
      </c>
      <c r="M22" s="50">
        <f>(K22-Z22)*100/Z22</f>
        <v>37.77921471400658</v>
      </c>
      <c r="N22" s="17"/>
      <c r="O22" s="15">
        <v>8506</v>
      </c>
      <c r="P22" s="15">
        <v>8672</v>
      </c>
      <c r="Q22" s="15">
        <v>9145</v>
      </c>
      <c r="R22" s="28">
        <v>10054</v>
      </c>
      <c r="S22" s="28">
        <v>10969</v>
      </c>
      <c r="T22" s="28">
        <v>11962</v>
      </c>
      <c r="U22" s="28">
        <v>12669</v>
      </c>
      <c r="V22" s="28">
        <v>12445</v>
      </c>
      <c r="W22" s="28">
        <v>12971</v>
      </c>
      <c r="X22" s="29">
        <v>13637</v>
      </c>
      <c r="Y22" s="15">
        <f>14952.289-196.886</f>
        <v>14755.403</v>
      </c>
      <c r="Z22" s="29">
        <v>14843</v>
      </c>
      <c r="AA22" s="29"/>
      <c r="AB22" s="3">
        <v>19124644</v>
      </c>
      <c r="AC22" s="100">
        <v>49278.81</v>
      </c>
      <c r="AD22" s="43">
        <v>278664.81</v>
      </c>
      <c r="AE22" s="90">
        <v>0</v>
      </c>
      <c r="AF22" s="3">
        <f>AB22-AC22-AD22+AE22</f>
        <v>18796700.380000003</v>
      </c>
      <c r="AG22" s="3">
        <f>AF22/1000</f>
        <v>18796.700380000002</v>
      </c>
      <c r="AI22" s="3">
        <v>20244326</v>
      </c>
      <c r="AJ22" s="100">
        <v>441667.1</v>
      </c>
      <c r="AK22" s="43">
        <v>309026.42</v>
      </c>
      <c r="AL22" s="90">
        <v>13752</v>
      </c>
      <c r="AM22" s="3">
        <f>AI22-AJ22-AK22+AL22</f>
        <v>19507384.479999997</v>
      </c>
      <c r="AN22" s="3">
        <f>AM22/1000</f>
        <v>19507.384479999997</v>
      </c>
      <c r="AP22" s="265">
        <v>20786097.889999997</v>
      </c>
      <c r="AQ22" s="100">
        <v>62767.64</v>
      </c>
      <c r="AR22" s="43">
        <v>272761.41</v>
      </c>
      <c r="AS22" s="90">
        <v>0</v>
      </c>
      <c r="AT22" s="3">
        <f>AP22-AQ22-AR22+AS22</f>
        <v>20450568.839999996</v>
      </c>
      <c r="AU22" s="3">
        <f>AT22/1000</f>
        <v>20450.568839999996</v>
      </c>
    </row>
    <row r="23" spans="2:45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50"/>
      <c r="M23" s="50"/>
      <c r="N23" s="17"/>
      <c r="O23" s="15"/>
      <c r="Q23" s="15"/>
      <c r="R23" s="28"/>
      <c r="S23" s="28"/>
      <c r="T23" s="28"/>
      <c r="U23" s="28"/>
      <c r="V23" s="28"/>
      <c r="W23" s="28"/>
      <c r="X23" s="29"/>
      <c r="Y23" s="15"/>
      <c r="Z23" s="29"/>
      <c r="AA23" s="29"/>
      <c r="AC23" s="100"/>
      <c r="AD23" s="43"/>
      <c r="AE23" s="43"/>
      <c r="AJ23" s="100"/>
      <c r="AK23" s="43"/>
      <c r="AL23" s="43"/>
      <c r="AP23" s="265"/>
      <c r="AQ23" s="100"/>
      <c r="AR23" s="43"/>
      <c r="AS23" s="43"/>
    </row>
    <row r="24" spans="1:47" ht="12.75">
      <c r="A24" s="1" t="s">
        <v>16</v>
      </c>
      <c r="B24" s="15">
        <v>97520</v>
      </c>
      <c r="C24" s="15">
        <v>94705</v>
      </c>
      <c r="D24" s="15">
        <v>102448</v>
      </c>
      <c r="E24" s="15">
        <v>108256</v>
      </c>
      <c r="F24" s="15">
        <v>119479</v>
      </c>
      <c r="G24" s="15">
        <v>131871</v>
      </c>
      <c r="H24" s="15">
        <v>137804</v>
      </c>
      <c r="I24" s="15">
        <v>145690</v>
      </c>
      <c r="J24" s="15">
        <v>152390</v>
      </c>
      <c r="K24" s="15">
        <v>163936.94832000005</v>
      </c>
      <c r="L24" s="272">
        <f>(K24-J24)*100/J24</f>
        <v>7.577234936675671</v>
      </c>
      <c r="M24" s="50">
        <f>(K24-Z24)*100/Z24</f>
        <v>73.92364395595074</v>
      </c>
      <c r="N24" s="17"/>
      <c r="O24" s="15">
        <v>39001</v>
      </c>
      <c r="P24" s="15">
        <v>40266</v>
      </c>
      <c r="Q24" s="15">
        <v>44692</v>
      </c>
      <c r="R24" s="28">
        <v>50258</v>
      </c>
      <c r="S24" s="28">
        <v>56947</v>
      </c>
      <c r="T24" s="28">
        <v>63873</v>
      </c>
      <c r="U24" s="28">
        <v>70050</v>
      </c>
      <c r="V24" s="28">
        <v>74463</v>
      </c>
      <c r="W24" s="28">
        <v>78553</v>
      </c>
      <c r="X24" s="29">
        <v>83685</v>
      </c>
      <c r="Y24" s="15">
        <f>93077.869-1239.561</f>
        <v>91838.308</v>
      </c>
      <c r="Z24" s="29">
        <v>94258</v>
      </c>
      <c r="AA24" s="29"/>
      <c r="AB24" s="3">
        <v>146985677</v>
      </c>
      <c r="AC24" s="100">
        <v>654078.3</v>
      </c>
      <c r="AD24" s="43">
        <v>641935.5</v>
      </c>
      <c r="AE24" s="43">
        <v>0</v>
      </c>
      <c r="AF24" s="3">
        <f>AB24-AC24-AD24+AE24</f>
        <v>145689663.2</v>
      </c>
      <c r="AG24" s="3">
        <f>AF24/1000</f>
        <v>145689.66319999998</v>
      </c>
      <c r="AI24" s="3">
        <v>153988856</v>
      </c>
      <c r="AJ24" s="100">
        <v>852859.48</v>
      </c>
      <c r="AK24" s="43">
        <v>751022.9</v>
      </c>
      <c r="AL24" s="43">
        <v>4749</v>
      </c>
      <c r="AM24" s="3">
        <f>AI24-AJ24-AK24+AL24</f>
        <v>152389722.62</v>
      </c>
      <c r="AN24" s="3">
        <f>AM24/1000</f>
        <v>152389.72262000002</v>
      </c>
      <c r="AP24" s="265">
        <v>165479896.99000004</v>
      </c>
      <c r="AQ24" s="100">
        <v>681759.44</v>
      </c>
      <c r="AR24" s="43">
        <v>862332.23</v>
      </c>
      <c r="AS24" s="43">
        <v>1143</v>
      </c>
      <c r="AT24" s="3">
        <f>AP24-AQ24-AR24+AS24</f>
        <v>163936948.32000005</v>
      </c>
      <c r="AU24" s="3">
        <f>AT24/1000</f>
        <v>163936.94832000005</v>
      </c>
    </row>
    <row r="25" spans="1:47" ht="12.75">
      <c r="A25" s="1" t="s">
        <v>17</v>
      </c>
      <c r="B25" s="15">
        <v>16150</v>
      </c>
      <c r="C25" s="15">
        <v>14901</v>
      </c>
      <c r="D25" s="15">
        <v>15703</v>
      </c>
      <c r="E25" s="15">
        <v>16729</v>
      </c>
      <c r="F25" s="15">
        <v>17901</v>
      </c>
      <c r="G25" s="15">
        <v>18791</v>
      </c>
      <c r="H25" s="15">
        <v>18688</v>
      </c>
      <c r="I25" s="15">
        <v>19111</v>
      </c>
      <c r="J25" s="15">
        <v>19516</v>
      </c>
      <c r="K25" s="15">
        <v>20181.505269999998</v>
      </c>
      <c r="L25" s="272">
        <f>(K25-J25)*100/J25</f>
        <v>3.410049549087917</v>
      </c>
      <c r="M25" s="50">
        <f>(K25-Z25)*100/Z25</f>
        <v>34.660073864015466</v>
      </c>
      <c r="N25" s="17"/>
      <c r="O25" s="15">
        <v>7694</v>
      </c>
      <c r="P25" s="15">
        <v>7925</v>
      </c>
      <c r="Q25" s="15">
        <v>8842</v>
      </c>
      <c r="R25" s="28">
        <v>9694</v>
      </c>
      <c r="S25" s="28">
        <v>10726</v>
      </c>
      <c r="T25" s="28">
        <v>11383</v>
      </c>
      <c r="U25" s="28">
        <v>12358</v>
      </c>
      <c r="V25" s="28">
        <v>12764</v>
      </c>
      <c r="W25" s="28">
        <v>13203</v>
      </c>
      <c r="X25" s="29">
        <v>13548</v>
      </c>
      <c r="Y25" s="15">
        <f>14523.025-222.993</f>
        <v>14300.032</v>
      </c>
      <c r="Z25" s="29">
        <v>14987</v>
      </c>
      <c r="AA25" s="29"/>
      <c r="AB25" s="3">
        <v>19317121</v>
      </c>
      <c r="AC25" s="100">
        <v>205872.94</v>
      </c>
      <c r="AD25" s="43">
        <v>0</v>
      </c>
      <c r="AE25" s="43">
        <v>0</v>
      </c>
      <c r="AF25" s="3">
        <f>AB25-AC25-AD25+AE25</f>
        <v>19111248.06</v>
      </c>
      <c r="AG25" s="3">
        <f>AF25/1000</f>
        <v>19111.248059999998</v>
      </c>
      <c r="AI25" s="3">
        <v>19701903</v>
      </c>
      <c r="AJ25" s="100">
        <v>186051.01</v>
      </c>
      <c r="AK25" s="43">
        <v>0</v>
      </c>
      <c r="AL25" s="43">
        <v>0</v>
      </c>
      <c r="AM25" s="3">
        <f>AI25-AJ25-AK25+AL25</f>
        <v>19515851.99</v>
      </c>
      <c r="AN25" s="3">
        <f>AM25/1000</f>
        <v>19515.85199</v>
      </c>
      <c r="AP25" s="265">
        <v>20468100.599999998</v>
      </c>
      <c r="AQ25" s="100">
        <v>286595.33</v>
      </c>
      <c r="AR25" s="43">
        <v>0</v>
      </c>
      <c r="AS25" s="43">
        <v>0</v>
      </c>
      <c r="AT25" s="3">
        <f>AP25-AQ25-AR25+AS25</f>
        <v>20181505.27</v>
      </c>
      <c r="AU25" s="3">
        <f>AT25/1000</f>
        <v>20181.505269999998</v>
      </c>
    </row>
    <row r="26" spans="1:47" ht="12.75">
      <c r="A26" s="1" t="s">
        <v>18</v>
      </c>
      <c r="B26" s="15">
        <v>108332</v>
      </c>
      <c r="C26" s="15">
        <v>103838</v>
      </c>
      <c r="D26" s="15">
        <v>109117</v>
      </c>
      <c r="E26" s="15">
        <v>113775</v>
      </c>
      <c r="F26" s="15">
        <v>121499</v>
      </c>
      <c r="G26" s="15">
        <v>132637</v>
      </c>
      <c r="H26" s="15">
        <v>138521</v>
      </c>
      <c r="I26" s="15">
        <v>137801</v>
      </c>
      <c r="J26" s="15">
        <v>140547</v>
      </c>
      <c r="K26" s="15">
        <v>158258.00561999998</v>
      </c>
      <c r="L26" s="272">
        <f>(K26-J26)*100/J26</f>
        <v>12.601482507630886</v>
      </c>
      <c r="M26" s="50">
        <f>(K26-Z26)*100/Z26</f>
        <v>52.97871032662805</v>
      </c>
      <c r="N26" s="17"/>
      <c r="O26" s="15">
        <v>44168</v>
      </c>
      <c r="P26" s="15">
        <v>47264</v>
      </c>
      <c r="Q26" s="15">
        <v>52376</v>
      </c>
      <c r="R26" s="28">
        <v>57089</v>
      </c>
      <c r="S26" s="28">
        <v>64880</v>
      </c>
      <c r="T26" s="28">
        <v>71405</v>
      </c>
      <c r="U26" s="28">
        <v>77883</v>
      </c>
      <c r="V26" s="28">
        <v>81808</v>
      </c>
      <c r="W26" s="28">
        <v>86842</v>
      </c>
      <c r="X26" s="29">
        <v>92867</v>
      </c>
      <c r="Y26" s="15">
        <f>101340.503-897.475</f>
        <v>100443.02799999999</v>
      </c>
      <c r="Z26" s="29">
        <v>103451</v>
      </c>
      <c r="AA26" s="29"/>
      <c r="AB26" s="3">
        <v>139046609</v>
      </c>
      <c r="AC26" s="100">
        <v>1245668.07</v>
      </c>
      <c r="AD26" s="43">
        <v>0</v>
      </c>
      <c r="AE26" s="43">
        <v>0</v>
      </c>
      <c r="AF26" s="3">
        <f>AB26-AC26-AD26+AE26</f>
        <v>137800940.93</v>
      </c>
      <c r="AG26" s="3">
        <f>AF26/1000</f>
        <v>137800.94093</v>
      </c>
      <c r="AI26" s="3">
        <v>142327929</v>
      </c>
      <c r="AJ26" s="100">
        <v>1781024.58</v>
      </c>
      <c r="AK26" s="43">
        <v>0</v>
      </c>
      <c r="AL26" s="43">
        <v>0</v>
      </c>
      <c r="AM26" s="3">
        <f>AI26-AJ26-AK26+AL26</f>
        <v>140546904.42</v>
      </c>
      <c r="AN26" s="3">
        <f>AM26/1000</f>
        <v>140546.90441999998</v>
      </c>
      <c r="AP26" s="265">
        <v>160758235.92</v>
      </c>
      <c r="AQ26" s="100">
        <v>2500230.3</v>
      </c>
      <c r="AR26" s="43">
        <v>0</v>
      </c>
      <c r="AS26" s="43">
        <v>0</v>
      </c>
      <c r="AT26" s="3">
        <f>AP26-AQ26-AR26+AS26</f>
        <v>158258005.61999997</v>
      </c>
      <c r="AU26" s="3">
        <f>AT26/1000</f>
        <v>158258.00561999998</v>
      </c>
    </row>
    <row r="27" spans="1:47" ht="12.75">
      <c r="A27" s="1" t="s">
        <v>19</v>
      </c>
      <c r="B27" s="15">
        <v>128879</v>
      </c>
      <c r="C27" s="15">
        <v>121531</v>
      </c>
      <c r="D27" s="15">
        <v>131497</v>
      </c>
      <c r="E27" s="15">
        <v>145694</v>
      </c>
      <c r="F27" s="15">
        <v>165835</v>
      </c>
      <c r="G27" s="15">
        <v>181299</v>
      </c>
      <c r="H27" s="15">
        <v>188363</v>
      </c>
      <c r="I27" s="15">
        <v>205744</v>
      </c>
      <c r="J27" s="15">
        <v>217697</v>
      </c>
      <c r="K27" s="15">
        <v>232223.33193000001</v>
      </c>
      <c r="L27" s="272">
        <f>(K27-J27)*100/J27</f>
        <v>6.672729495583317</v>
      </c>
      <c r="M27" s="50">
        <f>(K27-Z27)*100/Z27</f>
        <v>86.56222689696727</v>
      </c>
      <c r="N27" s="17"/>
      <c r="O27" s="15">
        <v>48458</v>
      </c>
      <c r="P27" s="15">
        <v>51629</v>
      </c>
      <c r="Q27" s="15">
        <v>58343</v>
      </c>
      <c r="R27" s="28">
        <v>64954</v>
      </c>
      <c r="S27" s="28">
        <v>74670</v>
      </c>
      <c r="T27" s="28">
        <v>84775</v>
      </c>
      <c r="U27" s="28">
        <v>95071</v>
      </c>
      <c r="V27" s="28">
        <v>96051</v>
      </c>
      <c r="W27" s="28">
        <v>98587</v>
      </c>
      <c r="X27" s="29">
        <v>105235</v>
      </c>
      <c r="Y27" s="15">
        <f>117927.044-1706.667</f>
        <v>116220.377</v>
      </c>
      <c r="Z27" s="29">
        <v>124475</v>
      </c>
      <c r="AA27" s="29"/>
      <c r="AB27" s="3">
        <v>205907268</v>
      </c>
      <c r="AC27" s="100">
        <v>163328.54</v>
      </c>
      <c r="AD27" s="43">
        <v>0</v>
      </c>
      <c r="AE27" s="43">
        <v>0</v>
      </c>
      <c r="AF27" s="3">
        <f>AB27-AC27-AD27+AE27</f>
        <v>205743939.46</v>
      </c>
      <c r="AG27" s="3">
        <f>AF27/1000</f>
        <v>205743.93946</v>
      </c>
      <c r="AI27" s="3">
        <v>218242390</v>
      </c>
      <c r="AJ27" s="100">
        <v>545040.97</v>
      </c>
      <c r="AK27" s="43">
        <v>0</v>
      </c>
      <c r="AL27" s="43">
        <v>0</v>
      </c>
      <c r="AM27" s="3">
        <f>AI27-AJ27-AK27+AL27</f>
        <v>217697349.03</v>
      </c>
      <c r="AN27" s="3">
        <f>AM27/1000</f>
        <v>217697.34903</v>
      </c>
      <c r="AP27" s="265">
        <v>232519301.18</v>
      </c>
      <c r="AQ27" s="100">
        <v>295969.25</v>
      </c>
      <c r="AR27" s="43">
        <v>0</v>
      </c>
      <c r="AS27" s="43">
        <v>0</v>
      </c>
      <c r="AT27" s="3">
        <f>AP27-AQ27-AR27+AS27</f>
        <v>232223331.93</v>
      </c>
      <c r="AU27" s="3">
        <f>AT27/1000</f>
        <v>232223.33193000001</v>
      </c>
    </row>
    <row r="28" spans="1:47" ht="12.75">
      <c r="A28" s="1" t="s">
        <v>20</v>
      </c>
      <c r="B28" s="15">
        <v>9652</v>
      </c>
      <c r="C28" s="15">
        <v>9923</v>
      </c>
      <c r="D28" s="15">
        <v>9519</v>
      </c>
      <c r="E28" s="15">
        <v>9892</v>
      </c>
      <c r="F28" s="15">
        <v>11011</v>
      </c>
      <c r="G28" s="15">
        <v>11889</v>
      </c>
      <c r="H28" s="15">
        <v>11759</v>
      </c>
      <c r="I28" s="15">
        <v>10719</v>
      </c>
      <c r="J28" s="15">
        <v>10855</v>
      </c>
      <c r="K28" s="15">
        <v>11178.05117</v>
      </c>
      <c r="L28" s="272">
        <f>(K28-J28)*100/J28</f>
        <v>2.9760586826347364</v>
      </c>
      <c r="M28" s="50">
        <f>(K28-Z28)*100/Z28</f>
        <v>21.06629665330879</v>
      </c>
      <c r="N28" s="17"/>
      <c r="O28" s="15">
        <v>4120</v>
      </c>
      <c r="P28" s="15">
        <v>4188</v>
      </c>
      <c r="Q28" s="28">
        <v>4499</v>
      </c>
      <c r="R28" s="28">
        <v>4938</v>
      </c>
      <c r="S28" s="28">
        <v>5754</v>
      </c>
      <c r="T28" s="28">
        <v>6502</v>
      </c>
      <c r="U28" s="28">
        <v>7264</v>
      </c>
      <c r="V28" s="28">
        <v>7214</v>
      </c>
      <c r="W28" s="28">
        <v>7360</v>
      </c>
      <c r="X28" s="29">
        <v>8193</v>
      </c>
      <c r="Y28" s="229">
        <f>9079.919-170.37</f>
        <v>8909.548999999999</v>
      </c>
      <c r="Z28" s="29">
        <v>9233</v>
      </c>
      <c r="AA28" s="29"/>
      <c r="AB28" s="3">
        <v>11149403</v>
      </c>
      <c r="AC28" s="100">
        <v>290219.18</v>
      </c>
      <c r="AD28" s="43">
        <v>141718.23</v>
      </c>
      <c r="AE28" s="43">
        <v>1969.11</v>
      </c>
      <c r="AF28" s="3">
        <f>AB28-AC28-AD28+AE28</f>
        <v>10719434.7</v>
      </c>
      <c r="AG28" s="3">
        <f>AF28/1000</f>
        <v>10719.4347</v>
      </c>
      <c r="AI28" s="3">
        <v>11233051</v>
      </c>
      <c r="AJ28" s="100">
        <v>255045.23</v>
      </c>
      <c r="AK28" s="43">
        <v>125034.32</v>
      </c>
      <c r="AL28" s="43">
        <v>1981.9</v>
      </c>
      <c r="AM28" s="3">
        <f>AI28-AJ28-AK28+AL28</f>
        <v>10854953.35</v>
      </c>
      <c r="AN28" s="3">
        <f>AM28/1000</f>
        <v>10854.95335</v>
      </c>
      <c r="AP28" s="265">
        <v>11632005.84</v>
      </c>
      <c r="AQ28" s="100">
        <v>288478.03</v>
      </c>
      <c r="AR28" s="43">
        <v>165476.64</v>
      </c>
      <c r="AS28" s="43">
        <v>0</v>
      </c>
      <c r="AT28" s="3">
        <f>AP28-AQ28-AR28+AS28</f>
        <v>11178051.17</v>
      </c>
      <c r="AU28" s="3">
        <f>AT28/1000</f>
        <v>11178.05117</v>
      </c>
    </row>
    <row r="29" spans="2:4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50"/>
      <c r="M29" s="50"/>
      <c r="N29" s="17"/>
      <c r="O29" s="15"/>
      <c r="P29" s="15"/>
      <c r="R29" s="28"/>
      <c r="S29" s="28"/>
      <c r="T29" s="28"/>
      <c r="U29" s="28"/>
      <c r="V29" s="28"/>
      <c r="W29" s="28"/>
      <c r="X29" s="29"/>
      <c r="Y29" s="229"/>
      <c r="Z29" s="29"/>
      <c r="AA29" s="29"/>
      <c r="AC29" s="100"/>
      <c r="AD29" s="43"/>
      <c r="AE29" s="43"/>
      <c r="AJ29" s="100"/>
      <c r="AK29" s="43"/>
      <c r="AL29" s="43"/>
      <c r="AP29" s="265"/>
      <c r="AQ29" s="100"/>
      <c r="AR29" s="43"/>
      <c r="AS29" s="43"/>
    </row>
    <row r="30" spans="1:47" ht="12.75">
      <c r="A30" s="1" t="s">
        <v>21</v>
      </c>
      <c r="B30" s="15">
        <v>476703</v>
      </c>
      <c r="C30" s="15">
        <v>447377</v>
      </c>
      <c r="D30" s="15">
        <v>479671</v>
      </c>
      <c r="E30" s="15">
        <v>517344</v>
      </c>
      <c r="F30" s="15">
        <v>578108</v>
      </c>
      <c r="G30" s="15">
        <v>634767</v>
      </c>
      <c r="H30" s="15">
        <v>670790</v>
      </c>
      <c r="I30" s="15">
        <v>689923</v>
      </c>
      <c r="J30" s="15">
        <v>729785</v>
      </c>
      <c r="K30" s="15">
        <v>768555.7654399998</v>
      </c>
      <c r="L30" s="272">
        <f>(K30-J30)*100/J30</f>
        <v>5.312628437142412</v>
      </c>
      <c r="M30" s="50">
        <f>(K30-Z30)*100/Z30</f>
        <v>67.49936588927314</v>
      </c>
      <c r="N30" s="17"/>
      <c r="O30" s="15">
        <v>219807</v>
      </c>
      <c r="P30" s="15">
        <v>233258</v>
      </c>
      <c r="Q30" s="28">
        <v>254035</v>
      </c>
      <c r="R30" s="28">
        <v>282067</v>
      </c>
      <c r="S30" s="28">
        <v>314894</v>
      </c>
      <c r="T30" s="28">
        <v>354148</v>
      </c>
      <c r="U30" s="28">
        <v>386336</v>
      </c>
      <c r="V30" s="28">
        <v>388791</v>
      </c>
      <c r="W30" s="28">
        <v>400425</v>
      </c>
      <c r="X30" s="29">
        <v>414618</v>
      </c>
      <c r="Y30" s="229">
        <f>440555.096-3146.236</f>
        <v>437408.86000000004</v>
      </c>
      <c r="Z30" s="29">
        <v>458841</v>
      </c>
      <c r="AA30" s="29"/>
      <c r="AB30" s="3">
        <v>696341947</v>
      </c>
      <c r="AC30" s="100">
        <v>2746310.46</v>
      </c>
      <c r="AD30" s="43">
        <v>3682486.75</v>
      </c>
      <c r="AE30" s="43">
        <v>9569.07</v>
      </c>
      <c r="AF30" s="3">
        <f>AB30-AC30-AD30+AE30</f>
        <v>689922718.86</v>
      </c>
      <c r="AG30" s="3">
        <f aca="true" t="shared" si="2" ref="AG30:AG39">AF30/1000</f>
        <v>689922.71886</v>
      </c>
      <c r="AI30" s="3">
        <v>735765269</v>
      </c>
      <c r="AJ30" s="100">
        <v>3755068.22</v>
      </c>
      <c r="AK30" s="43">
        <v>2226644.82</v>
      </c>
      <c r="AL30" s="43">
        <v>1358</v>
      </c>
      <c r="AM30" s="3">
        <f>AI30-AJ30-AK30+AL30</f>
        <v>729784913.9599999</v>
      </c>
      <c r="AN30" s="3">
        <f aca="true" t="shared" si="3" ref="AN30:AN39">AM30/1000</f>
        <v>729784.9139599999</v>
      </c>
      <c r="AP30" s="265">
        <v>773637207.5699997</v>
      </c>
      <c r="AQ30" s="100">
        <v>3765423.06</v>
      </c>
      <c r="AR30" s="43">
        <v>1316019.07</v>
      </c>
      <c r="AS30" s="43">
        <v>0</v>
      </c>
      <c r="AT30" s="3">
        <f>AP30-AQ30-AR30+AS30</f>
        <v>768555765.4399997</v>
      </c>
      <c r="AU30" s="3">
        <f aca="true" t="shared" si="4" ref="AU30:AU39">AT30/1000</f>
        <v>768555.7654399998</v>
      </c>
    </row>
    <row r="31" spans="1:47" ht="12.75">
      <c r="A31" s="1" t="s">
        <v>22</v>
      </c>
      <c r="B31" s="15">
        <v>363060</v>
      </c>
      <c r="C31" s="15">
        <v>346677</v>
      </c>
      <c r="D31" s="15">
        <v>374400</v>
      </c>
      <c r="E31" s="15">
        <v>393581</v>
      </c>
      <c r="F31" s="15">
        <v>435595</v>
      </c>
      <c r="G31" s="15">
        <v>467174</v>
      </c>
      <c r="H31" s="15">
        <v>493026</v>
      </c>
      <c r="I31" s="15">
        <v>474491</v>
      </c>
      <c r="J31" s="15">
        <v>488866</v>
      </c>
      <c r="K31" s="15">
        <v>527262.15794</v>
      </c>
      <c r="L31" s="272">
        <f>(K31-J31)*100/J31</f>
        <v>7.854127294596054</v>
      </c>
      <c r="M31" s="50">
        <f>(K31-Z31)*100/Z31</f>
        <v>51.54608157575547</v>
      </c>
      <c r="N31" s="17"/>
      <c r="O31" s="15">
        <v>175700</v>
      </c>
      <c r="P31" s="15">
        <v>182882</v>
      </c>
      <c r="Q31" s="28">
        <v>202841</v>
      </c>
      <c r="R31" s="28">
        <v>225575</v>
      </c>
      <c r="S31" s="28">
        <v>245693</v>
      </c>
      <c r="T31" s="28">
        <v>264543</v>
      </c>
      <c r="U31" s="28">
        <v>286109</v>
      </c>
      <c r="V31" s="28">
        <v>279605</v>
      </c>
      <c r="W31" s="28">
        <v>296456</v>
      </c>
      <c r="X31" s="29">
        <v>309860</v>
      </c>
      <c r="Y31" s="229">
        <f>337049.241-2637.63-237.5</f>
        <v>334174.111</v>
      </c>
      <c r="Z31" s="29">
        <v>347922</v>
      </c>
      <c r="AA31" s="29"/>
      <c r="AB31" s="3">
        <v>480985892</v>
      </c>
      <c r="AC31" s="90">
        <v>5467311</v>
      </c>
      <c r="AD31" s="43">
        <v>1027349.63</v>
      </c>
      <c r="AE31" s="90">
        <v>0</v>
      </c>
      <c r="AF31" s="3">
        <f>AB31-AC31-AD31+AE31</f>
        <v>474491231.37</v>
      </c>
      <c r="AG31" s="3">
        <f t="shared" si="2"/>
        <v>474491.23137</v>
      </c>
      <c r="AI31" s="3">
        <v>509473463</v>
      </c>
      <c r="AJ31" s="90">
        <v>19619347</v>
      </c>
      <c r="AK31" s="43">
        <v>1001095.71</v>
      </c>
      <c r="AL31" s="90">
        <v>12673.79</v>
      </c>
      <c r="AM31" s="3">
        <f>AI31-AJ31-AK31+AL31</f>
        <v>488865694.08000004</v>
      </c>
      <c r="AN31" s="3">
        <f t="shared" si="3"/>
        <v>488865.69408000004</v>
      </c>
      <c r="AP31" s="265">
        <v>534355521.4699999</v>
      </c>
      <c r="AQ31" s="90">
        <v>5890633.080000002</v>
      </c>
      <c r="AR31" s="43">
        <v>1206111.9</v>
      </c>
      <c r="AS31" s="90">
        <v>3381.45</v>
      </c>
      <c r="AT31" s="3">
        <f>AP31-AQ31-AR31+AS31</f>
        <v>527262157.93999994</v>
      </c>
      <c r="AU31" s="3">
        <f t="shared" si="4"/>
        <v>527262.15794</v>
      </c>
    </row>
    <row r="32" spans="1:47" ht="12.75">
      <c r="A32" s="1" t="s">
        <v>23</v>
      </c>
      <c r="B32" s="15">
        <v>18965</v>
      </c>
      <c r="C32" s="15">
        <v>18279</v>
      </c>
      <c r="D32" s="15">
        <v>20277</v>
      </c>
      <c r="E32" s="15">
        <v>21900</v>
      </c>
      <c r="F32" s="15">
        <v>24153</v>
      </c>
      <c r="G32" s="15">
        <v>26826</v>
      </c>
      <c r="H32" s="15">
        <v>28022</v>
      </c>
      <c r="I32" s="15">
        <v>28153</v>
      </c>
      <c r="J32" s="15">
        <v>29084</v>
      </c>
      <c r="K32" s="15">
        <v>31076.00202</v>
      </c>
      <c r="L32" s="272">
        <f>(K32-J32)*100/J32</f>
        <v>6.849133612983083</v>
      </c>
      <c r="M32" s="50">
        <f>(K32-Z32)*100/Z32</f>
        <v>75.54088018979834</v>
      </c>
      <c r="N32" s="17"/>
      <c r="O32" s="15">
        <v>7444</v>
      </c>
      <c r="P32" s="15">
        <v>8328</v>
      </c>
      <c r="Q32" s="28">
        <v>9829</v>
      </c>
      <c r="R32" s="28">
        <v>10855</v>
      </c>
      <c r="S32" s="28">
        <v>11915</v>
      </c>
      <c r="T32" s="28">
        <v>13102</v>
      </c>
      <c r="U32" s="28">
        <v>14031</v>
      </c>
      <c r="V32" s="28">
        <v>14616</v>
      </c>
      <c r="W32" s="28">
        <v>15125</v>
      </c>
      <c r="X32" s="29">
        <v>16359</v>
      </c>
      <c r="Y32" s="15">
        <f>17874.109-791.87</f>
        <v>17082.239</v>
      </c>
      <c r="Z32" s="29">
        <v>17703</v>
      </c>
      <c r="AA32" s="29"/>
      <c r="AB32" s="3">
        <v>28801815</v>
      </c>
      <c r="AC32" s="100">
        <v>542873.65</v>
      </c>
      <c r="AD32" s="43">
        <v>106271.06</v>
      </c>
      <c r="AE32" s="43">
        <v>0</v>
      </c>
      <c r="AF32" s="3">
        <f>AB32-AC32-AD32+AE32</f>
        <v>28152670.290000003</v>
      </c>
      <c r="AG32" s="3">
        <f t="shared" si="2"/>
        <v>28152.670290000002</v>
      </c>
      <c r="AI32" s="3">
        <v>29665066</v>
      </c>
      <c r="AJ32" s="100">
        <v>431016.8</v>
      </c>
      <c r="AK32" s="43">
        <v>150346.82</v>
      </c>
      <c r="AL32" s="43">
        <v>0</v>
      </c>
      <c r="AM32" s="3">
        <f>AI32-AJ32-AK32+AL32</f>
        <v>29083702.38</v>
      </c>
      <c r="AN32" s="3">
        <f t="shared" si="3"/>
        <v>29083.70238</v>
      </c>
      <c r="AP32" s="265">
        <v>31635000.380000003</v>
      </c>
      <c r="AQ32" s="100">
        <v>366265.1</v>
      </c>
      <c r="AR32" s="43">
        <v>193992.26</v>
      </c>
      <c r="AS32" s="43">
        <v>1259</v>
      </c>
      <c r="AT32" s="3">
        <f>AP32-AQ32-AR32+AS32</f>
        <v>31076002.02</v>
      </c>
      <c r="AU32" s="3">
        <f t="shared" si="4"/>
        <v>31076.00202</v>
      </c>
    </row>
    <row r="33" spans="1:47" ht="12.75">
      <c r="A33" s="1" t="s">
        <v>24</v>
      </c>
      <c r="B33" s="15">
        <v>40558</v>
      </c>
      <c r="C33" s="15">
        <v>38429</v>
      </c>
      <c r="D33" s="15">
        <v>40771</v>
      </c>
      <c r="E33" s="15">
        <v>42558</v>
      </c>
      <c r="F33" s="15">
        <v>46421</v>
      </c>
      <c r="G33" s="15">
        <v>51211</v>
      </c>
      <c r="H33" s="15">
        <v>52692</v>
      </c>
      <c r="I33" s="15">
        <v>56058</v>
      </c>
      <c r="J33" s="15">
        <v>58909</v>
      </c>
      <c r="K33" s="15">
        <v>62555.89812000001</v>
      </c>
      <c r="L33" s="272">
        <f>(K33-J33)*100/J33</f>
        <v>6.190731670882229</v>
      </c>
      <c r="M33" s="50">
        <f>(K33-Z33)*100/Z33</f>
        <v>67.20811001817601</v>
      </c>
      <c r="N33" s="17"/>
      <c r="O33" s="15">
        <v>17725</v>
      </c>
      <c r="P33" s="15">
        <v>18099</v>
      </c>
      <c r="Q33" s="28">
        <v>20183</v>
      </c>
      <c r="R33" s="28">
        <v>22427</v>
      </c>
      <c r="S33" s="28">
        <v>24264</v>
      </c>
      <c r="T33" s="28">
        <v>27043</v>
      </c>
      <c r="U33" s="28">
        <v>30165</v>
      </c>
      <c r="V33" s="28">
        <v>33059</v>
      </c>
      <c r="W33" s="28">
        <v>34066</v>
      </c>
      <c r="X33" s="29">
        <v>34275</v>
      </c>
      <c r="Y33" s="15">
        <f>38193.171-672.643-14.583</f>
        <v>37505.94500000001</v>
      </c>
      <c r="Z33" s="29">
        <v>37412</v>
      </c>
      <c r="AA33" s="29"/>
      <c r="AB33" s="3">
        <v>56312706</v>
      </c>
      <c r="AC33" s="100">
        <v>38394.51</v>
      </c>
      <c r="AD33" s="43">
        <v>216521.56</v>
      </c>
      <c r="AE33" s="43">
        <v>0</v>
      </c>
      <c r="AF33" s="3">
        <f>AB33-AC33-AD33+AE33</f>
        <v>56057789.93</v>
      </c>
      <c r="AG33" s="3">
        <f t="shared" si="2"/>
        <v>56057.78993</v>
      </c>
      <c r="AI33" s="3">
        <v>59183905</v>
      </c>
      <c r="AJ33" s="100">
        <v>15094</v>
      </c>
      <c r="AK33" s="43">
        <v>259873.4</v>
      </c>
      <c r="AL33" s="43">
        <v>0</v>
      </c>
      <c r="AM33" s="3">
        <f>AI33-AJ33-AK33+AL33</f>
        <v>58908937.6</v>
      </c>
      <c r="AN33" s="3">
        <f t="shared" si="3"/>
        <v>58908.937600000005</v>
      </c>
      <c r="AP33" s="265">
        <v>62895940.17000001</v>
      </c>
      <c r="AQ33" s="100">
        <v>45710.08</v>
      </c>
      <c r="AR33" s="43">
        <v>294331.97</v>
      </c>
      <c r="AS33" s="43">
        <v>0</v>
      </c>
      <c r="AT33" s="3">
        <f>AP33-AQ33-AR33+AS33</f>
        <v>62555898.12000001</v>
      </c>
      <c r="AU33" s="3">
        <f t="shared" si="4"/>
        <v>62555.89812000001</v>
      </c>
    </row>
    <row r="34" spans="1:47" ht="12.75">
      <c r="A34" s="1" t="s">
        <v>25</v>
      </c>
      <c r="B34" s="15">
        <v>10187</v>
      </c>
      <c r="C34" s="15">
        <v>9650</v>
      </c>
      <c r="D34" s="15">
        <v>10005</v>
      </c>
      <c r="E34" s="15">
        <v>10857</v>
      </c>
      <c r="F34" s="15">
        <v>11565</v>
      </c>
      <c r="G34" s="15">
        <v>12115</v>
      </c>
      <c r="H34" s="15">
        <v>12377</v>
      </c>
      <c r="I34" s="15">
        <v>12507</v>
      </c>
      <c r="J34" s="15">
        <v>13300</v>
      </c>
      <c r="K34" s="15">
        <v>14296.683760000002</v>
      </c>
      <c r="L34" s="272">
        <f>(K34-J34)*100/J34</f>
        <v>7.49386285714287</v>
      </c>
      <c r="M34" s="50">
        <f>(K34-Z34)*100/Z34</f>
        <v>42.66723640355256</v>
      </c>
      <c r="N34" s="17"/>
      <c r="O34" s="15">
        <v>4897</v>
      </c>
      <c r="P34" s="15">
        <v>4925</v>
      </c>
      <c r="Q34" s="28">
        <v>5526</v>
      </c>
      <c r="R34" s="28">
        <v>5958</v>
      </c>
      <c r="S34" s="28">
        <v>6626</v>
      </c>
      <c r="T34" s="28">
        <v>7432</v>
      </c>
      <c r="U34" s="28">
        <v>8133</v>
      </c>
      <c r="V34" s="28">
        <v>7991</v>
      </c>
      <c r="W34" s="28">
        <v>8524</v>
      </c>
      <c r="X34" s="29">
        <v>9348</v>
      </c>
      <c r="Y34" s="15">
        <f>10182.902-232.867</f>
        <v>9950.035</v>
      </c>
      <c r="Z34" s="29">
        <v>10021</v>
      </c>
      <c r="AA34" s="29"/>
      <c r="AB34" s="3">
        <v>13008599</v>
      </c>
      <c r="AC34" s="100">
        <v>366958.91</v>
      </c>
      <c r="AD34" s="43">
        <v>138269.17</v>
      </c>
      <c r="AE34" s="43">
        <v>3251.94</v>
      </c>
      <c r="AF34" s="3">
        <f>AB34-AC34-AD34+AE34</f>
        <v>12506622.86</v>
      </c>
      <c r="AG34" s="3">
        <f t="shared" si="2"/>
        <v>12506.62286</v>
      </c>
      <c r="AI34" s="3">
        <v>13713862</v>
      </c>
      <c r="AJ34" s="100">
        <v>345219.75</v>
      </c>
      <c r="AK34" s="43">
        <v>68593</v>
      </c>
      <c r="AL34" s="43">
        <v>0</v>
      </c>
      <c r="AM34" s="3">
        <f>AI34-AJ34-AK34+AL34</f>
        <v>13300049.25</v>
      </c>
      <c r="AN34" s="3">
        <f t="shared" si="3"/>
        <v>13300.04925</v>
      </c>
      <c r="AP34" s="265">
        <v>15177755.05</v>
      </c>
      <c r="AQ34" s="100">
        <v>727126.79</v>
      </c>
      <c r="AR34" s="43">
        <v>160520.45</v>
      </c>
      <c r="AS34" s="43">
        <v>6575.95</v>
      </c>
      <c r="AT34" s="3">
        <f>AP34-AQ34-AR34+AS34</f>
        <v>14296683.760000002</v>
      </c>
      <c r="AU34" s="3">
        <f t="shared" si="4"/>
        <v>14296.683760000002</v>
      </c>
    </row>
    <row r="35" spans="2:4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50"/>
      <c r="M35" s="50"/>
      <c r="N35" s="17"/>
      <c r="P35" s="15"/>
      <c r="Q35" s="28"/>
      <c r="R35" s="28"/>
      <c r="S35" s="28"/>
      <c r="T35" s="28"/>
      <c r="U35" s="28"/>
      <c r="V35" s="28"/>
      <c r="W35" s="28"/>
      <c r="X35" s="29"/>
      <c r="Y35" s="15"/>
      <c r="Z35" s="29"/>
      <c r="AA35" s="29"/>
      <c r="AC35" s="100"/>
      <c r="AD35" s="43"/>
      <c r="AE35" s="43"/>
      <c r="AJ35" s="100"/>
      <c r="AK35" s="43"/>
      <c r="AL35" s="43"/>
      <c r="AP35" s="265"/>
      <c r="AQ35" s="100"/>
      <c r="AR35" s="43"/>
      <c r="AS35" s="43"/>
    </row>
    <row r="36" spans="1:47" ht="12.75">
      <c r="A36" s="1" t="s">
        <v>26</v>
      </c>
      <c r="B36" s="15">
        <v>14231</v>
      </c>
      <c r="C36" s="15">
        <v>12863</v>
      </c>
      <c r="D36" s="15">
        <v>13517</v>
      </c>
      <c r="E36" s="15">
        <v>14380</v>
      </c>
      <c r="F36" s="15">
        <v>15813</v>
      </c>
      <c r="G36" s="15">
        <v>17348</v>
      </c>
      <c r="H36" s="15">
        <v>17835</v>
      </c>
      <c r="I36" s="15">
        <v>18502</v>
      </c>
      <c r="J36" s="15">
        <v>18035</v>
      </c>
      <c r="K36" s="15">
        <v>19005.107920000002</v>
      </c>
      <c r="L36" s="272">
        <f>(K36-J36)*100/J36</f>
        <v>5.379029220959258</v>
      </c>
      <c r="M36" s="50">
        <f>(K36-Z36)*100/Z36</f>
        <v>41.60724178526192</v>
      </c>
      <c r="N36" s="17"/>
      <c r="O36" s="15">
        <v>6648</v>
      </c>
      <c r="P36" s="15">
        <v>6856</v>
      </c>
      <c r="Q36" s="28">
        <v>7275</v>
      </c>
      <c r="R36" s="28">
        <v>8686</v>
      </c>
      <c r="S36" s="28">
        <v>9647</v>
      </c>
      <c r="T36" s="28">
        <v>11148</v>
      </c>
      <c r="U36" s="28">
        <v>11760</v>
      </c>
      <c r="V36" s="28">
        <v>11294</v>
      </c>
      <c r="W36" s="28">
        <v>11407</v>
      </c>
      <c r="X36" s="29">
        <v>12079</v>
      </c>
      <c r="Y36" s="15">
        <f>13530.677-586.212</f>
        <v>12944.465</v>
      </c>
      <c r="Z36" s="29">
        <v>13421</v>
      </c>
      <c r="AA36" s="29"/>
      <c r="AB36" s="3">
        <v>18727855</v>
      </c>
      <c r="AC36" s="100">
        <v>225853.46</v>
      </c>
      <c r="AD36" s="43">
        <v>0</v>
      </c>
      <c r="AE36" s="43">
        <v>0</v>
      </c>
      <c r="AF36" s="3">
        <f>AB36-AC36-AD36+AE36</f>
        <v>18502001.54</v>
      </c>
      <c r="AG36" s="3">
        <f t="shared" si="2"/>
        <v>18502.001539999997</v>
      </c>
      <c r="AI36" s="3">
        <v>18361609</v>
      </c>
      <c r="AJ36" s="100">
        <v>326943.19</v>
      </c>
      <c r="AK36" s="43">
        <v>0</v>
      </c>
      <c r="AL36" s="43">
        <v>0</v>
      </c>
      <c r="AM36" s="3">
        <f>AI36-AJ36-AK36+AL36</f>
        <v>18034665.81</v>
      </c>
      <c r="AN36" s="3">
        <f t="shared" si="3"/>
        <v>18034.66581</v>
      </c>
      <c r="AP36" s="265">
        <v>19290789.400000002</v>
      </c>
      <c r="AQ36" s="100">
        <v>285681.48</v>
      </c>
      <c r="AR36" s="43">
        <v>0</v>
      </c>
      <c r="AS36" s="43">
        <v>0</v>
      </c>
      <c r="AT36" s="3">
        <f>AP36-AQ36-AR36+AS36</f>
        <v>19005107.92</v>
      </c>
      <c r="AU36" s="3">
        <f t="shared" si="4"/>
        <v>19005.107920000002</v>
      </c>
    </row>
    <row r="37" spans="1:47" ht="12.75">
      <c r="A37" s="1" t="s">
        <v>27</v>
      </c>
      <c r="B37" s="15">
        <v>57972</v>
      </c>
      <c r="C37" s="15">
        <v>54976</v>
      </c>
      <c r="D37" s="15">
        <v>58669</v>
      </c>
      <c r="E37" s="15">
        <v>62171</v>
      </c>
      <c r="F37" s="15">
        <v>65369</v>
      </c>
      <c r="G37" s="15">
        <v>69692</v>
      </c>
      <c r="H37" s="15">
        <v>71961</v>
      </c>
      <c r="I37" s="15">
        <v>77208</v>
      </c>
      <c r="J37" s="15">
        <v>83025</v>
      </c>
      <c r="K37" s="15">
        <v>89456.55541</v>
      </c>
      <c r="L37" s="272">
        <f>(K37-J37)*100/J37</f>
        <v>7.746528647997592</v>
      </c>
      <c r="M37" s="50">
        <f>(K37-Z37)*100/Z37</f>
        <v>57.09566488128688</v>
      </c>
      <c r="N37" s="17"/>
      <c r="O37" s="15">
        <v>29967</v>
      </c>
      <c r="P37" s="15">
        <v>31086</v>
      </c>
      <c r="Q37" s="28">
        <v>33890</v>
      </c>
      <c r="R37" s="28">
        <v>36664</v>
      </c>
      <c r="S37" s="28">
        <v>39519</v>
      </c>
      <c r="T37" s="28">
        <v>42889</v>
      </c>
      <c r="U37" s="28">
        <v>46709</v>
      </c>
      <c r="V37" s="28">
        <v>47745</v>
      </c>
      <c r="W37" s="28">
        <v>49363</v>
      </c>
      <c r="X37" s="29">
        <v>51828</v>
      </c>
      <c r="Y37" s="15">
        <f>56245.003-600.422</f>
        <v>55644.581</v>
      </c>
      <c r="Z37" s="29">
        <v>56944</v>
      </c>
      <c r="AA37" s="29"/>
      <c r="AB37" s="3">
        <v>77886766</v>
      </c>
      <c r="AC37" s="100">
        <v>630207.08</v>
      </c>
      <c r="AD37" s="43">
        <v>49002.7</v>
      </c>
      <c r="AE37" s="43">
        <v>0</v>
      </c>
      <c r="AF37" s="3">
        <f>AB37-AC37-AD37+AE37</f>
        <v>77207556.22</v>
      </c>
      <c r="AG37" s="3">
        <f t="shared" si="2"/>
        <v>77207.55622</v>
      </c>
      <c r="AI37" s="3">
        <v>83696746</v>
      </c>
      <c r="AJ37" s="100">
        <v>660493.84</v>
      </c>
      <c r="AK37" s="43">
        <v>11431</v>
      </c>
      <c r="AL37" s="43">
        <v>0</v>
      </c>
      <c r="AM37" s="3">
        <f>AI37-AJ37-AK37+AL37</f>
        <v>83024821.16</v>
      </c>
      <c r="AN37" s="3">
        <f t="shared" si="3"/>
        <v>83024.82115999999</v>
      </c>
      <c r="AP37" s="265">
        <v>90525631.85</v>
      </c>
      <c r="AQ37" s="100">
        <v>1065091.44</v>
      </c>
      <c r="AR37" s="43">
        <v>3985</v>
      </c>
      <c r="AS37" s="43">
        <v>0</v>
      </c>
      <c r="AT37" s="3">
        <f>AP37-AQ37-AR37+AS37</f>
        <v>89456555.41</v>
      </c>
      <c r="AU37" s="3">
        <f t="shared" si="4"/>
        <v>89456.55541</v>
      </c>
    </row>
    <row r="38" spans="1:47" ht="12.75">
      <c r="A38" s="1" t="s">
        <v>28</v>
      </c>
      <c r="B38" s="15">
        <v>40952</v>
      </c>
      <c r="C38" s="15">
        <v>38959</v>
      </c>
      <c r="D38" s="15">
        <v>42444</v>
      </c>
      <c r="E38" s="15">
        <v>45605</v>
      </c>
      <c r="F38" s="15">
        <v>48837</v>
      </c>
      <c r="G38" s="15">
        <v>50780</v>
      </c>
      <c r="H38" s="15">
        <v>53006</v>
      </c>
      <c r="I38" s="15">
        <v>56255</v>
      </c>
      <c r="J38" s="15">
        <v>58528</v>
      </c>
      <c r="K38" s="15">
        <v>62684.912699999986</v>
      </c>
      <c r="L38" s="272">
        <f>(K38-J38)*100/J38</f>
        <v>7.102434219518839</v>
      </c>
      <c r="M38" s="50">
        <f>(K38-Z38)*100/Z38</f>
        <v>63.08482113588466</v>
      </c>
      <c r="N38" s="17"/>
      <c r="O38" s="15">
        <v>18340</v>
      </c>
      <c r="P38" s="15">
        <v>19231</v>
      </c>
      <c r="Q38" s="28">
        <v>21074</v>
      </c>
      <c r="R38" s="28">
        <v>23511</v>
      </c>
      <c r="S38" s="28">
        <v>26081</v>
      </c>
      <c r="T38" s="28">
        <v>29066</v>
      </c>
      <c r="U38" s="28">
        <v>32491</v>
      </c>
      <c r="V38" s="28">
        <v>32521</v>
      </c>
      <c r="W38" s="28">
        <v>34373</v>
      </c>
      <c r="X38" s="29">
        <v>35574</v>
      </c>
      <c r="Y38" s="15">
        <f>38591.121-481.061</f>
        <v>38110.06</v>
      </c>
      <c r="Z38" s="29">
        <v>38437</v>
      </c>
      <c r="AA38" s="29"/>
      <c r="AB38" s="3">
        <v>56809494</v>
      </c>
      <c r="AC38" s="100">
        <v>258946.27</v>
      </c>
      <c r="AD38" s="43">
        <v>297569.68</v>
      </c>
      <c r="AE38" s="43">
        <v>1732</v>
      </c>
      <c r="AF38" s="3">
        <f>AB38-AC38-AD38+AE38</f>
        <v>56254710.05</v>
      </c>
      <c r="AG38" s="3">
        <f t="shared" si="2"/>
        <v>56254.710049999994</v>
      </c>
      <c r="AI38" s="3">
        <v>59016888</v>
      </c>
      <c r="AJ38" s="100">
        <v>122138.58</v>
      </c>
      <c r="AK38" s="43">
        <v>366695.47</v>
      </c>
      <c r="AL38" s="43">
        <v>0</v>
      </c>
      <c r="AM38" s="3">
        <f>AI38-AJ38-AK38+AL38</f>
        <v>58528053.95</v>
      </c>
      <c r="AN38" s="3">
        <f t="shared" si="3"/>
        <v>58528.05395</v>
      </c>
      <c r="AP38" s="265">
        <v>63280582.989999995</v>
      </c>
      <c r="AQ38" s="100">
        <v>194812.02</v>
      </c>
      <c r="AR38" s="43">
        <v>400858.27</v>
      </c>
      <c r="AS38" s="43">
        <v>0</v>
      </c>
      <c r="AT38" s="3">
        <f>AP38-AQ38-AR38+AS38</f>
        <v>62684912.69999999</v>
      </c>
      <c r="AU38" s="3">
        <f t="shared" si="4"/>
        <v>62684.912699999986</v>
      </c>
    </row>
    <row r="39" spans="1:47" ht="12.75">
      <c r="A39" s="18" t="s">
        <v>29</v>
      </c>
      <c r="B39" s="15">
        <v>22883</v>
      </c>
      <c r="C39" s="15">
        <v>21807</v>
      </c>
      <c r="D39" s="15">
        <v>23611</v>
      </c>
      <c r="E39" s="15">
        <v>24753</v>
      </c>
      <c r="F39" s="15">
        <v>27255</v>
      </c>
      <c r="G39" s="15">
        <v>29462</v>
      </c>
      <c r="H39" s="15">
        <v>31780</v>
      </c>
      <c r="I39" s="15">
        <v>33380</v>
      </c>
      <c r="J39" s="15">
        <v>35664</v>
      </c>
      <c r="K39" s="15">
        <v>37524.65357999999</v>
      </c>
      <c r="L39" s="272">
        <f>(K39-J39)*100/J39</f>
        <v>5.217175807536987</v>
      </c>
      <c r="M39" s="50">
        <f>(K39-Z39)*100/Z39</f>
        <v>76.3708102086858</v>
      </c>
      <c r="N39" s="17"/>
      <c r="O39" s="25">
        <v>10141</v>
      </c>
      <c r="P39" s="15">
        <v>10503</v>
      </c>
      <c r="Q39" s="28">
        <v>12278</v>
      </c>
      <c r="R39" s="28">
        <v>13084</v>
      </c>
      <c r="S39" s="28">
        <v>14241</v>
      </c>
      <c r="T39" s="28">
        <v>15789</v>
      </c>
      <c r="U39" s="28">
        <v>17455</v>
      </c>
      <c r="V39" s="28">
        <v>18140</v>
      </c>
      <c r="W39" s="28">
        <v>19030</v>
      </c>
      <c r="X39" s="29">
        <v>19975</v>
      </c>
      <c r="Y39" s="15">
        <f>21423.706-462.395</f>
        <v>20961.310999999998</v>
      </c>
      <c r="Z39" s="29">
        <v>21276</v>
      </c>
      <c r="AA39" s="29"/>
      <c r="AB39" s="3">
        <v>33772166</v>
      </c>
      <c r="AC39" s="101">
        <v>195572.91</v>
      </c>
      <c r="AD39" s="101">
        <v>196171.15</v>
      </c>
      <c r="AE39" s="101">
        <v>0</v>
      </c>
      <c r="AF39" s="3">
        <f>AB39-AC39-AD39+AE39</f>
        <v>33380421.940000005</v>
      </c>
      <c r="AG39" s="3">
        <f t="shared" si="2"/>
        <v>33380.42194000001</v>
      </c>
      <c r="AI39" s="3">
        <v>36538572</v>
      </c>
      <c r="AJ39" s="101">
        <v>658428.98</v>
      </c>
      <c r="AK39" s="101">
        <v>217023.99</v>
      </c>
      <c r="AL39" s="101">
        <v>835.58</v>
      </c>
      <c r="AM39" s="3">
        <f>AI39-AJ39-AK39+AL39</f>
        <v>35663954.61</v>
      </c>
      <c r="AN39" s="3">
        <f t="shared" si="3"/>
        <v>35663.95461</v>
      </c>
      <c r="AP39" s="265">
        <v>38486373.19999999</v>
      </c>
      <c r="AQ39" s="101">
        <v>710460.66</v>
      </c>
      <c r="AR39" s="101">
        <v>251258.96</v>
      </c>
      <c r="AS39" s="101">
        <v>0</v>
      </c>
      <c r="AT39" s="3">
        <f>AP39-AQ39-AR39+AS39</f>
        <v>37524653.57999999</v>
      </c>
      <c r="AU39" s="3">
        <f t="shared" si="4"/>
        <v>37524.65357999999</v>
      </c>
    </row>
    <row r="40" spans="1:42" ht="12.75">
      <c r="A40" s="1" t="s">
        <v>241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19"/>
      <c r="R40" s="19"/>
      <c r="S40" s="19"/>
      <c r="W40" s="19"/>
      <c r="Y40" s="20"/>
      <c r="AP40" s="265"/>
    </row>
    <row r="41" ht="12.75">
      <c r="Y41" s="15"/>
    </row>
    <row r="42" spans="1:25" ht="12.75">
      <c r="A42" s="32" t="s">
        <v>103</v>
      </c>
      <c r="Q42" s="15"/>
      <c r="R42" s="15"/>
      <c r="S42" s="15"/>
      <c r="Y42" s="15"/>
    </row>
    <row r="43" spans="1:25" ht="12.75">
      <c r="A43" s="1" t="s">
        <v>104</v>
      </c>
      <c r="Q43" s="15"/>
      <c r="R43" s="15"/>
      <c r="S43" s="15"/>
      <c r="Y43" s="15"/>
    </row>
    <row r="44" spans="17:25" ht="12.75">
      <c r="Q44" s="15"/>
      <c r="R44" s="15"/>
      <c r="S44" s="15"/>
      <c r="Y44" s="15"/>
    </row>
    <row r="45" spans="12:25" ht="12.75">
      <c r="L45" s="97"/>
      <c r="M45" s="97"/>
      <c r="N45" s="97"/>
      <c r="Q45" s="15"/>
      <c r="R45" s="15"/>
      <c r="S45" s="15"/>
      <c r="Y45" s="15"/>
    </row>
    <row r="46" spans="17:25" ht="12.75">
      <c r="Q46" s="15"/>
      <c r="R46" s="15"/>
      <c r="S46" s="15"/>
      <c r="Y46" s="15"/>
    </row>
    <row r="47" spans="12:25" ht="12.75">
      <c r="L47" s="233"/>
      <c r="M47" s="233"/>
      <c r="N47" s="233"/>
      <c r="P47" s="233"/>
      <c r="Q47" s="233"/>
      <c r="Y47" s="15"/>
    </row>
    <row r="48" spans="12:25" ht="12.75">
      <c r="L48" s="233"/>
      <c r="M48" s="233"/>
      <c r="N48" s="233"/>
      <c r="P48" s="233"/>
      <c r="Q48" s="233"/>
      <c r="Y48" s="15"/>
    </row>
    <row r="49" spans="12:25" ht="12.75">
      <c r="L49" s="233"/>
      <c r="M49" s="233"/>
      <c r="N49" s="233"/>
      <c r="P49" s="233"/>
      <c r="Q49" s="233"/>
      <c r="Y49" s="15"/>
    </row>
    <row r="50" spans="12:25" ht="12.75">
      <c r="L50" s="233"/>
      <c r="M50" s="233"/>
      <c r="N50" s="233"/>
      <c r="P50" s="233"/>
      <c r="Q50" s="233"/>
      <c r="Y50" s="15"/>
    </row>
    <row r="51" spans="12:25" ht="12.75">
      <c r="L51" s="233"/>
      <c r="M51" s="233"/>
      <c r="N51" s="233"/>
      <c r="P51" s="233"/>
      <c r="Q51" s="233"/>
      <c r="Y51" s="15"/>
    </row>
    <row r="52" spans="12:25" ht="12.75">
      <c r="L52" s="233"/>
      <c r="M52" s="233"/>
      <c r="N52" s="233"/>
      <c r="P52" s="233"/>
      <c r="Q52" s="233"/>
      <c r="Y52" s="15"/>
    </row>
    <row r="53" spans="12:25" ht="12.75">
      <c r="L53" s="233"/>
      <c r="M53" s="233"/>
      <c r="N53" s="233"/>
      <c r="P53" s="233"/>
      <c r="Q53" s="233"/>
      <c r="Y53" s="15"/>
    </row>
    <row r="54" spans="12:17" ht="12.75">
      <c r="L54" s="233"/>
      <c r="M54" s="233"/>
      <c r="N54" s="233"/>
      <c r="P54" s="233"/>
      <c r="Q54" s="233"/>
    </row>
    <row r="55" spans="12:17" ht="12.75">
      <c r="L55" s="233"/>
      <c r="M55" s="233"/>
      <c r="N55" s="233"/>
      <c r="P55" s="233"/>
      <c r="Q55" s="233"/>
    </row>
    <row r="56" spans="12:17" ht="12.75">
      <c r="L56" s="233"/>
      <c r="M56" s="233"/>
      <c r="N56" s="233"/>
      <c r="P56" s="233"/>
      <c r="Q56" s="233"/>
    </row>
    <row r="57" spans="12:17" ht="12.75">
      <c r="L57" s="233"/>
      <c r="M57" s="233"/>
      <c r="N57" s="233"/>
      <c r="P57" s="233"/>
      <c r="Q57" s="233"/>
    </row>
    <row r="58" spans="12:17" ht="12.75">
      <c r="L58" s="233"/>
      <c r="M58" s="233"/>
      <c r="N58" s="233"/>
      <c r="P58" s="233"/>
      <c r="Q58" s="233"/>
    </row>
    <row r="59" spans="12:17" ht="12.75">
      <c r="L59" s="233"/>
      <c r="M59" s="233"/>
      <c r="N59" s="233"/>
      <c r="P59" s="233"/>
      <c r="Q59" s="233"/>
    </row>
    <row r="60" spans="12:17" ht="12.75">
      <c r="L60" s="233"/>
      <c r="M60" s="233"/>
      <c r="N60" s="233"/>
      <c r="P60" s="233"/>
      <c r="Q60" s="233"/>
    </row>
    <row r="61" spans="12:17" ht="12.75">
      <c r="L61" s="233"/>
      <c r="M61" s="233"/>
      <c r="N61" s="233"/>
      <c r="P61" s="233"/>
      <c r="Q61" s="233"/>
    </row>
    <row r="62" spans="12:17" ht="12.75">
      <c r="L62" s="233"/>
      <c r="M62" s="233"/>
      <c r="N62" s="233"/>
      <c r="P62" s="233"/>
      <c r="Q62" s="233"/>
    </row>
    <row r="63" spans="12:17" ht="12.75">
      <c r="L63" s="233"/>
      <c r="M63" s="233"/>
      <c r="N63" s="233"/>
      <c r="P63" s="233"/>
      <c r="Q63" s="233"/>
    </row>
    <row r="64" spans="12:17" ht="12.75">
      <c r="L64" s="233"/>
      <c r="M64" s="233"/>
      <c r="N64" s="233"/>
      <c r="P64" s="233"/>
      <c r="Q64" s="233"/>
    </row>
    <row r="65" spans="12:17" ht="12.75">
      <c r="L65" s="233"/>
      <c r="M65" s="233"/>
      <c r="N65" s="233"/>
      <c r="P65" s="233"/>
      <c r="Q65" s="233"/>
    </row>
    <row r="66" spans="12:17" ht="12.75">
      <c r="L66" s="233"/>
      <c r="M66" s="233"/>
      <c r="N66" s="233"/>
      <c r="P66" s="233"/>
      <c r="Q66" s="233"/>
    </row>
    <row r="67" spans="12:17" ht="12.75">
      <c r="L67" s="233"/>
      <c r="M67" s="233"/>
      <c r="N67" s="233"/>
      <c r="P67" s="233"/>
      <c r="Q67" s="233"/>
    </row>
    <row r="68" spans="12:17" ht="12.75">
      <c r="L68" s="233"/>
      <c r="M68" s="233"/>
      <c r="N68" s="233"/>
      <c r="P68" s="233"/>
      <c r="Q68" s="233"/>
    </row>
    <row r="69" spans="12:17" ht="12.75">
      <c r="L69" s="233"/>
      <c r="M69" s="233"/>
      <c r="N69" s="233"/>
      <c r="P69" s="233"/>
      <c r="Q69" s="233"/>
    </row>
    <row r="70" spans="12:17" ht="12.75">
      <c r="L70" s="233"/>
      <c r="M70" s="233"/>
      <c r="N70" s="233"/>
      <c r="P70" s="233"/>
      <c r="Q70" s="233"/>
    </row>
    <row r="71" spans="12:17" ht="12.75">
      <c r="L71" s="233"/>
      <c r="M71" s="233"/>
      <c r="N71" s="233"/>
      <c r="P71" s="233"/>
      <c r="Q71" s="233"/>
    </row>
    <row r="72" spans="12:17" ht="12.75">
      <c r="L72" s="233"/>
      <c r="M72" s="233"/>
      <c r="N72" s="233"/>
      <c r="P72" s="233"/>
      <c r="Q72" s="233"/>
    </row>
    <row r="73" spans="12:17" ht="12.75">
      <c r="L73" s="233"/>
      <c r="M73" s="233"/>
      <c r="N73" s="233"/>
      <c r="P73" s="233"/>
      <c r="Q73" s="233"/>
    </row>
    <row r="74" spans="12:17" ht="12.75">
      <c r="L74" s="233"/>
      <c r="M74" s="233"/>
      <c r="N74" s="233"/>
      <c r="P74" s="233"/>
      <c r="Q74" s="233"/>
    </row>
  </sheetData>
  <sheetProtection password="CAF5" sheet="1" objects="1" scenarios="1"/>
  <mergeCells count="13">
    <mergeCell ref="AP5:AU5"/>
    <mergeCell ref="AT6:AT7"/>
    <mergeCell ref="AU6:AU7"/>
    <mergeCell ref="L7:M7"/>
    <mergeCell ref="AI5:AN5"/>
    <mergeCell ref="AM6:AM7"/>
    <mergeCell ref="AN6:AN7"/>
    <mergeCell ref="AF6:AF7"/>
    <mergeCell ref="AG6:AG7"/>
    <mergeCell ref="A1:M1"/>
    <mergeCell ref="A3:M3"/>
    <mergeCell ref="A4:M4"/>
    <mergeCell ref="AB5:AG5"/>
  </mergeCells>
  <printOptions/>
  <pageMargins left="0.54" right="0.49" top="1" bottom="1" header="0.5" footer="0.5"/>
  <pageSetup fitToHeight="1" fitToWidth="1" orientation="landscape" scale="78" r:id="rId1"/>
  <headerFooter alignWithMargins="0">
    <oddHeader xml:space="preserve">&amp;R&amp;10 </oddHeader>
    <oddFooter>&amp;L&amp;"Lucida Sans,Italic"&amp;10MSDE-DBS  12 / 2007&amp;C- 8 -&amp;R&amp;"Lucida Sans,Italic"&amp;10Selected Financial Data - Part 4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workbookViewId="0" topLeftCell="A4">
      <selection activeCell="K10" sqref="K10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625" style="1" customWidth="1"/>
    <col min="13" max="14" width="8.625" style="1" customWidth="1"/>
    <col min="15" max="15" width="9.125" style="1" bestFit="1" customWidth="1"/>
    <col min="16" max="16" width="8.625" style="1" customWidth="1"/>
    <col min="17" max="17" width="9.125" style="1" bestFit="1" customWidth="1"/>
    <col min="18" max="25" width="10.125" style="1" customWidth="1"/>
    <col min="26" max="26" width="12.625" style="1" customWidth="1"/>
    <col min="27" max="27" width="6.00390625" style="121" customWidth="1"/>
    <col min="28" max="28" width="12.25390625" style="3" customWidth="1"/>
    <col min="29" max="30" width="11.125" style="3" bestFit="1" customWidth="1"/>
    <col min="31" max="31" width="11.125" style="3" customWidth="1"/>
    <col min="32" max="32" width="10.125" style="3" customWidth="1"/>
    <col min="33" max="33" width="4.75390625" style="3" customWidth="1"/>
    <col min="34" max="34" width="12.50390625" style="3" bestFit="1" customWidth="1"/>
    <col min="35" max="35" width="12.625" style="3" customWidth="1"/>
    <col min="36" max="36" width="11.625" style="3" customWidth="1"/>
    <col min="37" max="37" width="12.50390625" style="3" bestFit="1" customWidth="1"/>
    <col min="38" max="41" width="10.125" style="3" customWidth="1"/>
    <col min="42" max="42" width="11.125" style="3" customWidth="1"/>
    <col min="43" max="43" width="10.125" style="3" customWidth="1"/>
    <col min="44" max="44" width="12.50390625" style="3" bestFit="1" customWidth="1"/>
    <col min="45" max="45" width="10.125" style="3" customWidth="1"/>
    <col min="46" max="46" width="19.875" style="3" bestFit="1" customWidth="1"/>
    <col min="47" max="47" width="11.125" style="3" bestFit="1" customWidth="1"/>
    <col min="48" max="49" width="10.125" style="3" customWidth="1"/>
    <col min="50" max="50" width="11.125" style="3" bestFit="1" customWidth="1"/>
    <col min="51" max="51" width="10.125" style="3" customWidth="1"/>
    <col min="52" max="52" width="11.125" style="3" bestFit="1" customWidth="1"/>
    <col min="53" max="57" width="10.125" style="3" customWidth="1"/>
    <col min="58" max="16384" width="10.00390625" style="3" customWidth="1"/>
  </cols>
  <sheetData>
    <row r="1" spans="1:26" ht="15.75" customHeight="1">
      <c r="A1" s="292" t="s">
        <v>93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10"/>
      <c r="O1" s="73"/>
      <c r="P1" s="73"/>
      <c r="Q1" s="10"/>
      <c r="Z1" s="10"/>
    </row>
    <row r="2" spans="1:26" ht="12.75">
      <c r="A2" s="102"/>
      <c r="B2" s="102"/>
      <c r="C2" s="102"/>
      <c r="D2" s="102"/>
      <c r="E2" s="102"/>
      <c r="F2" s="102"/>
      <c r="G2" s="2"/>
      <c r="H2" s="2"/>
      <c r="I2" s="2"/>
      <c r="J2" s="2"/>
      <c r="K2" s="2"/>
      <c r="L2" s="2"/>
      <c r="M2" s="2"/>
      <c r="N2" s="2"/>
      <c r="O2" s="2"/>
      <c r="Z2" s="102"/>
    </row>
    <row r="3" spans="1:26" ht="12.75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22"/>
      <c r="P3" s="10"/>
      <c r="Q3" s="73"/>
      <c r="S3" s="2"/>
      <c r="T3" s="30"/>
      <c r="Z3" s="123"/>
    </row>
    <row r="4" spans="1:26" ht="12.75">
      <c r="A4" s="123" t="s">
        <v>215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222"/>
      <c r="P4" s="10"/>
      <c r="Q4" s="102"/>
      <c r="S4" s="2"/>
      <c r="T4" s="30"/>
      <c r="Z4" s="123"/>
    </row>
    <row r="5" spans="1:26" ht="13.5" thickBo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Z5" s="102"/>
    </row>
    <row r="6" spans="1:48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U6" s="5"/>
      <c r="V6" s="5"/>
      <c r="W6" s="5"/>
      <c r="X6" s="5"/>
      <c r="Y6" s="5"/>
      <c r="Z6" s="5"/>
      <c r="AA6" s="7"/>
      <c r="AB6" s="298" t="s">
        <v>192</v>
      </c>
      <c r="AC6" s="299"/>
      <c r="AD6" s="299"/>
      <c r="AE6" s="299"/>
      <c r="AF6" s="300"/>
      <c r="AH6" s="298" t="s">
        <v>199</v>
      </c>
      <c r="AI6" s="299"/>
      <c r="AJ6" s="299"/>
      <c r="AK6" s="299"/>
      <c r="AL6" s="300"/>
      <c r="AR6" s="298" t="s">
        <v>222</v>
      </c>
      <c r="AS6" s="299"/>
      <c r="AT6" s="299"/>
      <c r="AU6" s="299"/>
      <c r="AV6" s="300"/>
    </row>
    <row r="7" spans="1:48" ht="12.75">
      <c r="A7" s="7"/>
      <c r="B7" s="7"/>
      <c r="C7" s="7"/>
      <c r="L7" s="290" t="s">
        <v>34</v>
      </c>
      <c r="M7" s="290"/>
      <c r="N7" s="247"/>
      <c r="P7" s="7"/>
      <c r="Q7" s="7"/>
      <c r="R7" s="7"/>
      <c r="U7" s="7"/>
      <c r="V7" s="7"/>
      <c r="W7" s="7"/>
      <c r="X7" s="7"/>
      <c r="Y7" s="7"/>
      <c r="Z7" s="7"/>
      <c r="AA7" s="7"/>
      <c r="AB7" s="121" t="s">
        <v>119</v>
      </c>
      <c r="AC7" s="121" t="s">
        <v>119</v>
      </c>
      <c r="AD7" s="121" t="s">
        <v>119</v>
      </c>
      <c r="AE7" s="121" t="s">
        <v>118</v>
      </c>
      <c r="AF7" s="209"/>
      <c r="AH7" s="121" t="s">
        <v>119</v>
      </c>
      <c r="AI7" s="121" t="s">
        <v>119</v>
      </c>
      <c r="AJ7" s="121" t="s">
        <v>200</v>
      </c>
      <c r="AK7" s="121" t="s">
        <v>118</v>
      </c>
      <c r="AL7" s="209"/>
      <c r="AR7" s="121" t="s">
        <v>119</v>
      </c>
      <c r="AS7" s="121" t="s">
        <v>119</v>
      </c>
      <c r="AT7" s="121" t="s">
        <v>200</v>
      </c>
      <c r="AU7" s="121" t="s">
        <v>118</v>
      </c>
      <c r="AV7" s="209"/>
    </row>
    <row r="8" spans="1:5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7" t="s">
        <v>87</v>
      </c>
      <c r="M8" s="27" t="s">
        <v>88</v>
      </c>
      <c r="N8" s="27"/>
      <c r="P8" s="7"/>
      <c r="Q8" s="7"/>
      <c r="R8" s="7"/>
      <c r="U8" s="7"/>
      <c r="V8" s="7"/>
      <c r="W8" s="7"/>
      <c r="X8" s="7"/>
      <c r="Y8" s="7"/>
      <c r="Z8" s="7"/>
      <c r="AA8" s="7"/>
      <c r="AB8" s="121" t="s">
        <v>116</v>
      </c>
      <c r="AC8" s="121" t="s">
        <v>116</v>
      </c>
      <c r="AD8" s="121" t="s">
        <v>116</v>
      </c>
      <c r="AE8" s="121" t="s">
        <v>116</v>
      </c>
      <c r="AH8" s="121" t="s">
        <v>116</v>
      </c>
      <c r="AI8" s="121" t="s">
        <v>116</v>
      </c>
      <c r="AJ8" s="301" t="s">
        <v>201</v>
      </c>
      <c r="AK8" s="121" t="s">
        <v>116</v>
      </c>
      <c r="AN8" s="3" t="s">
        <v>202</v>
      </c>
      <c r="AR8" s="121" t="s">
        <v>116</v>
      </c>
      <c r="AS8" s="121" t="s">
        <v>116</v>
      </c>
      <c r="AT8" s="301" t="s">
        <v>201</v>
      </c>
      <c r="AU8" s="121" t="s">
        <v>116</v>
      </c>
      <c r="AX8" s="3" t="s">
        <v>202</v>
      </c>
    </row>
    <row r="9" spans="1:51" ht="13.5" thickBot="1">
      <c r="A9" s="8" t="s">
        <v>1</v>
      </c>
      <c r="B9" s="36" t="s">
        <v>184</v>
      </c>
      <c r="C9" s="36" t="s">
        <v>185</v>
      </c>
      <c r="D9" s="42" t="s">
        <v>186</v>
      </c>
      <c r="E9" s="42" t="s">
        <v>106</v>
      </c>
      <c r="F9" s="42" t="s">
        <v>107</v>
      </c>
      <c r="G9" s="42" t="s">
        <v>163</v>
      </c>
      <c r="H9" s="42" t="s">
        <v>171</v>
      </c>
      <c r="I9" s="42" t="s">
        <v>187</v>
      </c>
      <c r="J9" s="42" t="s">
        <v>197</v>
      </c>
      <c r="K9" s="42" t="s">
        <v>213</v>
      </c>
      <c r="L9" s="9" t="s">
        <v>86</v>
      </c>
      <c r="M9" s="9" t="s">
        <v>86</v>
      </c>
      <c r="N9" s="27"/>
      <c r="O9" s="10" t="s">
        <v>51</v>
      </c>
      <c r="P9" s="9" t="s">
        <v>35</v>
      </c>
      <c r="Q9" s="9" t="s">
        <v>31</v>
      </c>
      <c r="R9" s="9" t="s">
        <v>64</v>
      </c>
      <c r="S9" s="9" t="s">
        <v>32</v>
      </c>
      <c r="T9" s="9" t="s">
        <v>72</v>
      </c>
      <c r="U9" s="9" t="s">
        <v>67</v>
      </c>
      <c r="V9" s="8" t="s">
        <v>68</v>
      </c>
      <c r="W9" s="8" t="s">
        <v>69</v>
      </c>
      <c r="X9" s="36" t="s">
        <v>181</v>
      </c>
      <c r="Y9" s="36" t="s">
        <v>182</v>
      </c>
      <c r="Z9" s="36" t="s">
        <v>183</v>
      </c>
      <c r="AA9" s="7"/>
      <c r="AB9" s="210" t="s">
        <v>114</v>
      </c>
      <c r="AC9" s="210" t="s">
        <v>112</v>
      </c>
      <c r="AD9" s="210" t="s">
        <v>117</v>
      </c>
      <c r="AE9" s="210"/>
      <c r="AF9" s="209" t="s">
        <v>193</v>
      </c>
      <c r="AH9" s="210" t="s">
        <v>114</v>
      </c>
      <c r="AI9" s="210" t="s">
        <v>112</v>
      </c>
      <c r="AJ9" s="302"/>
      <c r="AK9" s="210"/>
      <c r="AL9" s="209" t="s">
        <v>193</v>
      </c>
      <c r="AN9" s="3" t="s">
        <v>203</v>
      </c>
      <c r="AO9" s="3" t="s">
        <v>130</v>
      </c>
      <c r="AR9" s="210" t="s">
        <v>114</v>
      </c>
      <c r="AS9" s="210" t="s">
        <v>112</v>
      </c>
      <c r="AT9" s="302"/>
      <c r="AU9" s="210"/>
      <c r="AV9" s="209" t="s">
        <v>193</v>
      </c>
      <c r="AX9" s="3" t="s">
        <v>203</v>
      </c>
      <c r="AY9" s="3" t="s">
        <v>130</v>
      </c>
    </row>
    <row r="10" spans="1:52" ht="13.5" thickTop="1">
      <c r="A10" s="7" t="s">
        <v>5</v>
      </c>
      <c r="B10" s="11">
        <f aca="true" t="shared" si="0" ref="B10:I10">SUM(B12:B43)</f>
        <v>497836</v>
      </c>
      <c r="C10" s="11">
        <f t="shared" si="0"/>
        <v>526342</v>
      </c>
      <c r="D10" s="11">
        <f t="shared" si="0"/>
        <v>567346</v>
      </c>
      <c r="E10" s="11">
        <f t="shared" si="0"/>
        <v>600655</v>
      </c>
      <c r="F10" s="11">
        <f t="shared" si="0"/>
        <v>671779</v>
      </c>
      <c r="G10" s="11">
        <f t="shared" si="0"/>
        <v>719684</v>
      </c>
      <c r="H10" s="11">
        <f t="shared" si="0"/>
        <v>771606</v>
      </c>
      <c r="I10" s="11">
        <f t="shared" si="0"/>
        <v>781598</v>
      </c>
      <c r="J10" s="11">
        <f>SUM(J12:J43)</f>
        <v>835434</v>
      </c>
      <c r="K10" s="11">
        <f>SUM(K12:K43)</f>
        <v>900461.1051699999</v>
      </c>
      <c r="L10" s="273">
        <f>(K10-J10)*100/J10</f>
        <v>7.783631641757443</v>
      </c>
      <c r="M10" s="50">
        <f>(K10-Z10)*100/Z10</f>
        <v>97.88527326488541</v>
      </c>
      <c r="N10" s="50"/>
      <c r="O10" s="14">
        <f>SUM(R12:R43)</f>
        <v>248755</v>
      </c>
      <c r="P10" s="11">
        <f>SUM(S12:S43)</f>
        <v>277909</v>
      </c>
      <c r="Q10" s="11">
        <f>SUM(T12:T43)</f>
        <v>307575</v>
      </c>
      <c r="R10" s="11">
        <f>SUM(R12:R39)</f>
        <v>248755</v>
      </c>
      <c r="S10" s="11">
        <f>SUM(S12:S39)</f>
        <v>277909</v>
      </c>
      <c r="T10" s="11">
        <f>SUM(T12:T39)</f>
        <v>307575</v>
      </c>
      <c r="U10" s="11">
        <f>SUM(U12:U39)</f>
        <v>339623</v>
      </c>
      <c r="V10" s="11">
        <f>SUM(X12:X43)</f>
        <v>392840</v>
      </c>
      <c r="W10" s="11">
        <v>376915</v>
      </c>
      <c r="X10" s="11">
        <v>392840</v>
      </c>
      <c r="Y10" s="11">
        <v>429711</v>
      </c>
      <c r="Z10" s="11">
        <f>SUM(Z12:Z43)</f>
        <v>455042</v>
      </c>
      <c r="AA10" s="7"/>
      <c r="AB10" s="11">
        <f>SUM(AB12:AB43)</f>
        <v>997381235.5500001</v>
      </c>
      <c r="AC10" s="11">
        <f>SUM(AC12:AC43)</f>
        <v>2783147.85</v>
      </c>
      <c r="AD10" s="11">
        <f>SUM(AD12:AD43)</f>
        <v>213000796.39999998</v>
      </c>
      <c r="AE10" s="11">
        <f>SUM(AE12:AE39)</f>
        <v>781597291.2999998</v>
      </c>
      <c r="AF10" s="11">
        <f>SUM(AF12:AF39)</f>
        <v>781597.2913</v>
      </c>
      <c r="AH10" s="11">
        <f>SUM(AH12:AH43)</f>
        <v>1055050629.94</v>
      </c>
      <c r="AI10" s="11">
        <f>SUM(AI12:AI43)</f>
        <v>3532912.7699999996</v>
      </c>
      <c r="AJ10" s="11">
        <f>SUM(AJ12:AJ43)</f>
        <v>216085889</v>
      </c>
      <c r="AK10" s="11">
        <f>SUM(AK12:AK39)</f>
        <v>835431828.1699998</v>
      </c>
      <c r="AL10" s="11">
        <f>SUM(AL12:AL39)</f>
        <v>835431.8281700001</v>
      </c>
      <c r="AN10" s="3">
        <v>211618317</v>
      </c>
      <c r="AO10" s="3">
        <v>4467572.5</v>
      </c>
      <c r="AP10" s="11">
        <f>SUM(AP12:AP43)</f>
        <v>216085889.01999998</v>
      </c>
      <c r="AR10" s="11">
        <f>SUM(AR12:AR43)</f>
        <v>1138655990.2500002</v>
      </c>
      <c r="AS10" s="11">
        <f>SUM(AS12:AS43)</f>
        <v>5238188</v>
      </c>
      <c r="AT10" s="11">
        <f>SUM(AT12:AT43)</f>
        <v>232956697.07999995</v>
      </c>
      <c r="AU10" s="11">
        <f>SUM(AU12:AU39)</f>
        <v>900461105.1699998</v>
      </c>
      <c r="AV10" s="11">
        <f>SUM(AV12:AV39)</f>
        <v>900461.1051699999</v>
      </c>
      <c r="AX10" s="11">
        <f>SUM(AX12:AX43)</f>
        <v>217777559.76999995</v>
      </c>
      <c r="AY10" s="11">
        <f>SUM(AY12:AY43)</f>
        <v>15179137.31</v>
      </c>
      <c r="AZ10" s="11">
        <f>SUM(AZ12:AZ43)</f>
        <v>232956697.07999995</v>
      </c>
    </row>
    <row r="11" spans="2:27" ht="12.75">
      <c r="B11" s="15"/>
      <c r="C11" s="15"/>
      <c r="D11" s="15"/>
      <c r="L11" s="16"/>
      <c r="M11" s="15"/>
      <c r="N11" s="15"/>
      <c r="P11" s="15"/>
      <c r="S11" s="15"/>
      <c r="T11" s="15"/>
      <c r="Z11" s="15"/>
      <c r="AA11" s="7"/>
    </row>
    <row r="12" spans="1:52" ht="12.75">
      <c r="A12" s="1" t="s">
        <v>6</v>
      </c>
      <c r="B12" s="15">
        <v>5261</v>
      </c>
      <c r="C12" s="15">
        <v>5960</v>
      </c>
      <c r="D12" s="15">
        <v>7004</v>
      </c>
      <c r="E12" s="1">
        <v>7480</v>
      </c>
      <c r="F12" s="1">
        <v>7928</v>
      </c>
      <c r="G12" s="1">
        <v>8639</v>
      </c>
      <c r="H12" s="1">
        <v>8538</v>
      </c>
      <c r="I12" s="1">
        <v>9067</v>
      </c>
      <c r="J12" s="1">
        <v>10183</v>
      </c>
      <c r="K12" s="1">
        <v>10545.763649999999</v>
      </c>
      <c r="L12" s="273">
        <f>(K12-J12)*100/J12</f>
        <v>3.5624437788470877</v>
      </c>
      <c r="M12" s="50">
        <f>(K12-Z12)*100/Z12</f>
        <v>107.30811185374482</v>
      </c>
      <c r="N12" s="50"/>
      <c r="O12" s="15">
        <v>2090</v>
      </c>
      <c r="P12" s="15">
        <v>2233</v>
      </c>
      <c r="Q12" s="15">
        <v>2386</v>
      </c>
      <c r="R12" s="15">
        <v>2596</v>
      </c>
      <c r="S12" s="15">
        <v>2860</v>
      </c>
      <c r="T12" s="15">
        <v>2958</v>
      </c>
      <c r="U12" s="15">
        <v>3194</v>
      </c>
      <c r="V12" s="15">
        <v>3554</v>
      </c>
      <c r="W12" s="15">
        <v>3826</v>
      </c>
      <c r="X12" s="15">
        <v>4123</v>
      </c>
      <c r="Y12" s="15">
        <v>4517</v>
      </c>
      <c r="Z12" s="15">
        <v>5087</v>
      </c>
      <c r="AA12" s="7"/>
      <c r="AB12" s="3">
        <v>10918175</v>
      </c>
      <c r="AC12" s="3">
        <v>79529.93</v>
      </c>
      <c r="AD12" s="170">
        <v>1771864.05</v>
      </c>
      <c r="AE12" s="3">
        <f>AB12-AC12-AD12</f>
        <v>9066781.02</v>
      </c>
      <c r="AF12" s="3">
        <f>AE12/1000</f>
        <v>9066.78102</v>
      </c>
      <c r="AH12" s="3">
        <v>12129099</v>
      </c>
      <c r="AI12" s="100">
        <v>36951</v>
      </c>
      <c r="AJ12" s="170">
        <v>1909245</v>
      </c>
      <c r="AK12" s="3">
        <f>AH12-AI12-AJ12</f>
        <v>10182903</v>
      </c>
      <c r="AL12" s="3">
        <f>AK12/1000</f>
        <v>10182.903</v>
      </c>
      <c r="AO12" s="3">
        <v>1909245</v>
      </c>
      <c r="AP12" s="3">
        <f>SUM(AN12:AO12)</f>
        <v>1909245</v>
      </c>
      <c r="AR12" s="3">
        <v>13147433.809999999</v>
      </c>
      <c r="AS12" s="100">
        <v>76250.54</v>
      </c>
      <c r="AT12" s="170">
        <v>2525419.62</v>
      </c>
      <c r="AU12" s="3">
        <f>AR12-AS12-AT12</f>
        <v>10545763.649999999</v>
      </c>
      <c r="AV12" s="3">
        <f>AU12/1000</f>
        <v>10545.763649999999</v>
      </c>
      <c r="AX12" s="274">
        <v>0</v>
      </c>
      <c r="AY12" s="3">
        <v>2525419.62</v>
      </c>
      <c r="AZ12" s="3">
        <f>SUM(AX12:AY12)</f>
        <v>2525419.62</v>
      </c>
    </row>
    <row r="13" spans="1:52" ht="12.75">
      <c r="A13" s="1" t="s">
        <v>7</v>
      </c>
      <c r="B13" s="15">
        <v>37363</v>
      </c>
      <c r="C13" s="15">
        <v>37754</v>
      </c>
      <c r="D13" s="15">
        <v>43597</v>
      </c>
      <c r="E13" s="1">
        <v>50243</v>
      </c>
      <c r="F13" s="1">
        <v>56132</v>
      </c>
      <c r="G13" s="1">
        <v>56169</v>
      </c>
      <c r="H13" s="1">
        <v>59347</v>
      </c>
      <c r="I13" s="1">
        <v>59432</v>
      </c>
      <c r="J13" s="1">
        <v>64155</v>
      </c>
      <c r="K13" s="1">
        <v>67517.28245</v>
      </c>
      <c r="L13" s="273">
        <f>(K13-J13)*100/J13</f>
        <v>5.240873587405501</v>
      </c>
      <c r="M13" s="50">
        <f>(K13-Z13)*100/Z13</f>
        <v>92.44465411583629</v>
      </c>
      <c r="N13" s="50"/>
      <c r="O13" s="15">
        <v>16227</v>
      </c>
      <c r="P13" s="15">
        <v>16022</v>
      </c>
      <c r="Q13" s="15">
        <v>17631</v>
      </c>
      <c r="R13" s="15">
        <v>19079</v>
      </c>
      <c r="S13" s="15">
        <v>21546</v>
      </c>
      <c r="T13" s="15">
        <v>24252</v>
      </c>
      <c r="U13" s="15">
        <v>27103</v>
      </c>
      <c r="V13" s="15">
        <v>27487</v>
      </c>
      <c r="W13" s="15">
        <v>29985</v>
      </c>
      <c r="X13" s="15">
        <v>31701</v>
      </c>
      <c r="Y13" s="15">
        <v>34353</v>
      </c>
      <c r="Z13" s="15">
        <v>35084</v>
      </c>
      <c r="AA13" s="7"/>
      <c r="AB13" s="3">
        <v>76501217</v>
      </c>
      <c r="AC13" s="3">
        <v>430093.88</v>
      </c>
      <c r="AD13" s="100">
        <v>16638996</v>
      </c>
      <c r="AE13" s="3">
        <f>AB13-AC13-AD13</f>
        <v>59432127.120000005</v>
      </c>
      <c r="AF13" s="3">
        <f>AE13/1000</f>
        <v>59432.127120000005</v>
      </c>
      <c r="AH13" s="3">
        <v>81677432</v>
      </c>
      <c r="AI13" s="100">
        <v>233492.33</v>
      </c>
      <c r="AJ13" s="100">
        <v>17288927</v>
      </c>
      <c r="AK13" s="3">
        <f>AH13-AI13-AJ13</f>
        <v>64155012.67</v>
      </c>
      <c r="AL13" s="3">
        <f>AK13/1000</f>
        <v>64155.012670000004</v>
      </c>
      <c r="AN13" s="3">
        <v>17288927</v>
      </c>
      <c r="AO13" s="3">
        <v>0</v>
      </c>
      <c r="AP13" s="3">
        <f>SUM(AN13:AO13)</f>
        <v>17288927</v>
      </c>
      <c r="AR13" s="3">
        <v>86085852.28</v>
      </c>
      <c r="AS13" s="100">
        <v>343272</v>
      </c>
      <c r="AT13" s="100">
        <v>18225297.83</v>
      </c>
      <c r="AU13" s="3">
        <f>AR13-AS13-AT13</f>
        <v>67517282.45</v>
      </c>
      <c r="AV13" s="3">
        <f>AU13/1000</f>
        <v>67517.28245</v>
      </c>
      <c r="AX13" s="274">
        <v>18225297.83</v>
      </c>
      <c r="AY13" s="3">
        <v>0</v>
      </c>
      <c r="AZ13" s="3">
        <f>SUM(AX13:AY13)</f>
        <v>18225297.83</v>
      </c>
    </row>
    <row r="14" spans="1:52" ht="12.75">
      <c r="A14" s="1" t="s">
        <v>8</v>
      </c>
      <c r="B14" s="15">
        <v>108011</v>
      </c>
      <c r="C14" s="15">
        <v>109129</v>
      </c>
      <c r="D14" s="15">
        <v>117956</v>
      </c>
      <c r="E14" s="1">
        <v>102569</v>
      </c>
      <c r="F14" s="1">
        <v>130572</v>
      </c>
      <c r="G14" s="1">
        <v>130794</v>
      </c>
      <c r="H14" s="1">
        <v>140272</v>
      </c>
      <c r="I14" s="1">
        <v>123243</v>
      </c>
      <c r="J14" s="1">
        <v>120955</v>
      </c>
      <c r="K14" s="1">
        <v>126247.17480000001</v>
      </c>
      <c r="L14" s="273">
        <f>(K14-J14)*100/J14</f>
        <v>4.375325368938868</v>
      </c>
      <c r="M14" s="50">
        <f>(K14-Z14)*100/Z14</f>
        <v>36.14050532173014</v>
      </c>
      <c r="N14" s="50"/>
      <c r="O14" s="15">
        <v>38171</v>
      </c>
      <c r="P14" s="15">
        <v>44015</v>
      </c>
      <c r="Q14" s="15">
        <v>47542</v>
      </c>
      <c r="R14" s="15">
        <v>53409</v>
      </c>
      <c r="S14" s="15">
        <v>57414</v>
      </c>
      <c r="T14" s="15">
        <v>63820</v>
      </c>
      <c r="U14" s="15">
        <v>69995</v>
      </c>
      <c r="V14" s="15">
        <v>70795</v>
      </c>
      <c r="W14" s="15">
        <v>73123</v>
      </c>
      <c r="X14" s="15">
        <v>73827</v>
      </c>
      <c r="Y14" s="15">
        <v>84522</v>
      </c>
      <c r="Z14" s="15">
        <v>92733</v>
      </c>
      <c r="AA14" s="7"/>
      <c r="AB14" s="3">
        <v>174468566</v>
      </c>
      <c r="AC14" s="3">
        <v>336812.84</v>
      </c>
      <c r="AD14" s="100">
        <v>50888720</v>
      </c>
      <c r="AE14" s="3">
        <f>AB14-AC14-AD14</f>
        <v>123243033.16</v>
      </c>
      <c r="AF14" s="3">
        <f>AE14/1000</f>
        <v>123243.03315999999</v>
      </c>
      <c r="AH14" s="3">
        <v>169918049</v>
      </c>
      <c r="AI14" s="100">
        <v>519693.92</v>
      </c>
      <c r="AJ14" s="100">
        <v>48443624</v>
      </c>
      <c r="AK14" s="3">
        <f>AH14-AI14-AJ14</f>
        <v>120954731.08000001</v>
      </c>
      <c r="AL14" s="3">
        <f>AK14/1000</f>
        <v>120954.73108000001</v>
      </c>
      <c r="AN14" s="3">
        <v>46415767</v>
      </c>
      <c r="AO14" s="3">
        <v>2027857</v>
      </c>
      <c r="AP14" s="3">
        <f>SUM(AN14:AO14)</f>
        <v>48443624</v>
      </c>
      <c r="AR14" s="3">
        <v>177693257.09</v>
      </c>
      <c r="AS14" s="100">
        <v>735826.45</v>
      </c>
      <c r="AT14" s="100">
        <v>50710255.839999996</v>
      </c>
      <c r="AU14" s="3">
        <f>AR14-AS14-AT14</f>
        <v>126247174.80000001</v>
      </c>
      <c r="AV14" s="3">
        <f>AU14/1000</f>
        <v>126247.17480000001</v>
      </c>
      <c r="AX14" s="274">
        <v>48767177.44</v>
      </c>
      <c r="AY14" s="3">
        <v>1943078.4</v>
      </c>
      <c r="AZ14" s="3">
        <f>SUM(AX14:AY14)</f>
        <v>50710255.839999996</v>
      </c>
    </row>
    <row r="15" spans="1:52" ht="12.75">
      <c r="A15" s="1" t="s">
        <v>9</v>
      </c>
      <c r="B15" s="15">
        <v>63197</v>
      </c>
      <c r="C15" s="15">
        <v>65269</v>
      </c>
      <c r="D15" s="15">
        <v>60798</v>
      </c>
      <c r="E15" s="1">
        <v>73547</v>
      </c>
      <c r="F15" s="1">
        <v>78520</v>
      </c>
      <c r="G15" s="1">
        <v>86267</v>
      </c>
      <c r="H15" s="1">
        <v>91097</v>
      </c>
      <c r="I15" s="1">
        <v>94277</v>
      </c>
      <c r="J15" s="1">
        <v>102359</v>
      </c>
      <c r="K15" s="1">
        <v>111157.16015999997</v>
      </c>
      <c r="L15" s="273">
        <f>(K15-J15)*100/J15</f>
        <v>8.595394796744761</v>
      </c>
      <c r="M15" s="50">
        <f>(K15-Z15)*100/Z15</f>
        <v>114.09314360554694</v>
      </c>
      <c r="N15" s="50"/>
      <c r="O15" s="15">
        <v>25379</v>
      </c>
      <c r="P15" s="15">
        <v>24852</v>
      </c>
      <c r="Q15" s="15">
        <v>27548</v>
      </c>
      <c r="R15" s="15">
        <v>29383</v>
      </c>
      <c r="S15" s="15">
        <v>34631</v>
      </c>
      <c r="T15" s="15">
        <v>37668</v>
      </c>
      <c r="U15" s="15">
        <v>40558</v>
      </c>
      <c r="V15" s="15">
        <v>41223</v>
      </c>
      <c r="W15" s="15">
        <v>50368</v>
      </c>
      <c r="X15" s="15">
        <v>45879</v>
      </c>
      <c r="Y15" s="15">
        <v>48417</v>
      </c>
      <c r="Z15" s="15">
        <v>51920</v>
      </c>
      <c r="AA15" s="7"/>
      <c r="AB15" s="3">
        <v>122499790</v>
      </c>
      <c r="AC15" s="3">
        <v>365666.03</v>
      </c>
      <c r="AD15" s="100">
        <v>27857478</v>
      </c>
      <c r="AE15" s="3">
        <f>AB15-AC15-AD15</f>
        <v>94276645.97</v>
      </c>
      <c r="AF15" s="3">
        <f>AE15/1000</f>
        <v>94276.64597</v>
      </c>
      <c r="AH15" s="3">
        <v>132193628</v>
      </c>
      <c r="AI15" s="100">
        <v>450908.34</v>
      </c>
      <c r="AJ15" s="100">
        <v>29384119</v>
      </c>
      <c r="AK15" s="3">
        <f>AH15-AI15-AJ15</f>
        <v>102358600.66</v>
      </c>
      <c r="AL15" s="3">
        <f>AK15/1000</f>
        <v>102358.60066</v>
      </c>
      <c r="AN15" s="3">
        <v>29384119</v>
      </c>
      <c r="AO15" s="3">
        <v>0</v>
      </c>
      <c r="AP15" s="3">
        <f>SUM(AN15:AO15)</f>
        <v>29384119</v>
      </c>
      <c r="AR15" s="3">
        <v>142443850.76999998</v>
      </c>
      <c r="AS15" s="100">
        <v>448630.61</v>
      </c>
      <c r="AT15" s="100">
        <v>30838060</v>
      </c>
      <c r="AU15" s="3">
        <f>AR15-AS15-AT15</f>
        <v>111157160.15999997</v>
      </c>
      <c r="AV15" s="3">
        <f>AU15/1000</f>
        <v>111157.16015999997</v>
      </c>
      <c r="AX15" s="274">
        <v>29156789</v>
      </c>
      <c r="AY15" s="3">
        <v>1681271</v>
      </c>
      <c r="AZ15" s="3">
        <f>SUM(AX15:AY15)</f>
        <v>30838060</v>
      </c>
    </row>
    <row r="16" spans="1:52" ht="12.75">
      <c r="A16" s="1" t="s">
        <v>10</v>
      </c>
      <c r="B16" s="15">
        <v>6759</v>
      </c>
      <c r="C16" s="15">
        <v>7456</v>
      </c>
      <c r="D16" s="15">
        <v>8460</v>
      </c>
      <c r="E16" s="1">
        <v>9506</v>
      </c>
      <c r="F16" s="1">
        <v>10131</v>
      </c>
      <c r="G16" s="1">
        <v>11601</v>
      </c>
      <c r="H16" s="1">
        <v>13034</v>
      </c>
      <c r="I16" s="1">
        <v>14337</v>
      </c>
      <c r="J16" s="1">
        <v>15008</v>
      </c>
      <c r="K16" s="1">
        <v>16561.664160000008</v>
      </c>
      <c r="L16" s="273">
        <f>(K16-J16)*100/J16</f>
        <v>10.35223987206828</v>
      </c>
      <c r="M16" s="50">
        <f>(K16-Z16)*100/Z16</f>
        <v>161.72035651074603</v>
      </c>
      <c r="N16" s="50"/>
      <c r="O16" s="15">
        <v>2119</v>
      </c>
      <c r="P16" s="15">
        <v>2143</v>
      </c>
      <c r="Q16" s="15">
        <v>2337</v>
      </c>
      <c r="R16" s="15">
        <v>2490</v>
      </c>
      <c r="S16" s="15">
        <v>2718</v>
      </c>
      <c r="T16" s="15">
        <v>3302</v>
      </c>
      <c r="U16" s="15">
        <v>3735</v>
      </c>
      <c r="V16" s="15">
        <v>4502</v>
      </c>
      <c r="W16" s="15">
        <v>4623</v>
      </c>
      <c r="X16" s="15">
        <v>5316</v>
      </c>
      <c r="Y16" s="15">
        <v>5757</v>
      </c>
      <c r="Z16" s="15">
        <v>6328</v>
      </c>
      <c r="AA16" s="7"/>
      <c r="AB16" s="3">
        <v>16649814</v>
      </c>
      <c r="AC16" s="3">
        <v>114754.43</v>
      </c>
      <c r="AD16" s="100">
        <v>2198223.53</v>
      </c>
      <c r="AE16" s="3">
        <f>AB16-AC16-AD16</f>
        <v>14336836.040000001</v>
      </c>
      <c r="AF16" s="3">
        <f>AE16/1000</f>
        <v>14336.83604</v>
      </c>
      <c r="AH16" s="3">
        <v>17422671</v>
      </c>
      <c r="AI16" s="100">
        <v>331912.92</v>
      </c>
      <c r="AJ16" s="100">
        <v>2082749</v>
      </c>
      <c r="AK16" s="3">
        <f>AH16-AI16-AJ16</f>
        <v>15008009.079999998</v>
      </c>
      <c r="AL16" s="3">
        <f>AK16/1000</f>
        <v>15008.009079999998</v>
      </c>
      <c r="AN16" s="3">
        <v>2082749</v>
      </c>
      <c r="AO16" s="3">
        <v>0</v>
      </c>
      <c r="AP16" s="3">
        <f>SUM(AN16:AO16)</f>
        <v>2082749</v>
      </c>
      <c r="AR16" s="3">
        <v>18668617.150000006</v>
      </c>
      <c r="AS16" s="100">
        <v>101841.97</v>
      </c>
      <c r="AT16" s="100">
        <v>2005111.02</v>
      </c>
      <c r="AU16" s="3">
        <f>AR16-AS16-AT16</f>
        <v>16561664.160000008</v>
      </c>
      <c r="AV16" s="3">
        <f>AU16/1000</f>
        <v>16561.664160000008</v>
      </c>
      <c r="AX16" s="274">
        <v>886193.46</v>
      </c>
      <c r="AY16" s="3">
        <v>1118917.56</v>
      </c>
      <c r="AZ16" s="3">
        <f>SUM(AX16:AY16)</f>
        <v>2005111.02</v>
      </c>
    </row>
    <row r="17" spans="2:50" ht="12.75">
      <c r="B17" s="15"/>
      <c r="C17" s="15"/>
      <c r="D17" s="15"/>
      <c r="L17" s="50"/>
      <c r="M17" s="50"/>
      <c r="N17" s="50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7"/>
      <c r="AD17" s="100"/>
      <c r="AI17" s="100"/>
      <c r="AJ17" s="100"/>
      <c r="AS17" s="100"/>
      <c r="AT17" s="100"/>
      <c r="AX17" s="274"/>
    </row>
    <row r="18" spans="1:52" ht="12.75">
      <c r="A18" s="1" t="s">
        <v>11</v>
      </c>
      <c r="B18" s="15">
        <v>2182</v>
      </c>
      <c r="C18" s="15">
        <v>2351</v>
      </c>
      <c r="D18" s="15">
        <v>2573</v>
      </c>
      <c r="E18" s="1">
        <v>2851</v>
      </c>
      <c r="F18" s="1">
        <v>2920</v>
      </c>
      <c r="G18" s="1">
        <v>3124</v>
      </c>
      <c r="H18" s="1">
        <v>3492</v>
      </c>
      <c r="I18" s="1">
        <v>3870</v>
      </c>
      <c r="J18" s="1">
        <v>3890</v>
      </c>
      <c r="K18" s="1">
        <v>4203.39742</v>
      </c>
      <c r="L18" s="273">
        <f>(K18-J18)*100/J18</f>
        <v>8.05648894601543</v>
      </c>
      <c r="M18" s="50">
        <f>(K18-Z18)*100/Z18</f>
        <v>99.87624441274372</v>
      </c>
      <c r="N18" s="50"/>
      <c r="O18" s="15">
        <v>833</v>
      </c>
      <c r="P18" s="15">
        <v>751</v>
      </c>
      <c r="Q18" s="15">
        <v>884</v>
      </c>
      <c r="R18" s="15">
        <v>972</v>
      </c>
      <c r="S18" s="15">
        <v>1083</v>
      </c>
      <c r="T18" s="15">
        <v>1229</v>
      </c>
      <c r="U18" s="15">
        <v>1318</v>
      </c>
      <c r="V18" s="15">
        <v>1451</v>
      </c>
      <c r="W18" s="15">
        <v>1532</v>
      </c>
      <c r="X18" s="15">
        <v>1730</v>
      </c>
      <c r="Y18" s="15">
        <v>1923</v>
      </c>
      <c r="Z18" s="15">
        <v>2103</v>
      </c>
      <c r="AA18" s="7"/>
      <c r="AB18" s="3">
        <v>4423746.35</v>
      </c>
      <c r="AC18" s="3">
        <v>19781.51</v>
      </c>
      <c r="AD18" s="100">
        <v>534149</v>
      </c>
      <c r="AE18" s="3">
        <f>AB18-AC18-AD18</f>
        <v>3869815.84</v>
      </c>
      <c r="AF18" s="3">
        <f>AE18/1000</f>
        <v>3869.8158399999998</v>
      </c>
      <c r="AH18" s="3">
        <v>4412108.67</v>
      </c>
      <c r="AI18" s="100">
        <v>2254.48</v>
      </c>
      <c r="AJ18" s="100">
        <v>519727</v>
      </c>
      <c r="AK18" s="3">
        <f>AH18-AI18-AJ18</f>
        <v>3890127.1899999995</v>
      </c>
      <c r="AL18" s="3">
        <f>AK18/1000</f>
        <v>3890.1271899999997</v>
      </c>
      <c r="AN18" s="3">
        <v>365918</v>
      </c>
      <c r="AO18" s="3">
        <v>153809</v>
      </c>
      <c r="AP18" s="3">
        <f>SUM(AN18:AO18)</f>
        <v>519727</v>
      </c>
      <c r="AR18" s="3">
        <v>4854551.63</v>
      </c>
      <c r="AS18" s="100">
        <v>31210.11</v>
      </c>
      <c r="AT18" s="100">
        <v>619944.1</v>
      </c>
      <c r="AU18" s="3">
        <f>AR18-AS18-AT18</f>
        <v>4203397.42</v>
      </c>
      <c r="AV18" s="3">
        <f>AU18/1000</f>
        <v>4203.39742</v>
      </c>
      <c r="AX18" s="274">
        <v>456856.1</v>
      </c>
      <c r="AY18" s="3">
        <v>163088</v>
      </c>
      <c r="AZ18" s="3">
        <f>SUM(AX18:AY18)</f>
        <v>619944.1</v>
      </c>
    </row>
    <row r="19" spans="1:52" ht="12.75">
      <c r="A19" s="1" t="s">
        <v>12</v>
      </c>
      <c r="B19" s="15">
        <v>11035</v>
      </c>
      <c r="C19" s="15">
        <v>12135</v>
      </c>
      <c r="D19" s="15">
        <v>13744</v>
      </c>
      <c r="E19" s="1">
        <v>14818</v>
      </c>
      <c r="F19" s="1">
        <v>16127</v>
      </c>
      <c r="G19" s="1">
        <v>17485</v>
      </c>
      <c r="H19" s="1">
        <v>18674</v>
      </c>
      <c r="I19" s="1">
        <v>19976</v>
      </c>
      <c r="J19" s="1">
        <v>21466</v>
      </c>
      <c r="K19" s="1">
        <v>23318.22693</v>
      </c>
      <c r="L19" s="273">
        <f>(K19-J19)*100/J19</f>
        <v>8.62865429050592</v>
      </c>
      <c r="M19" s="50">
        <f>(K19-Z19)*100/Z19</f>
        <v>117.54106661069129</v>
      </c>
      <c r="N19" s="50"/>
      <c r="O19" s="15">
        <v>3815</v>
      </c>
      <c r="P19" s="15">
        <v>3771</v>
      </c>
      <c r="Q19" s="15">
        <v>4310</v>
      </c>
      <c r="R19" s="15">
        <v>4866</v>
      </c>
      <c r="S19" s="15">
        <v>5607</v>
      </c>
      <c r="T19" s="15">
        <v>6252</v>
      </c>
      <c r="U19" s="15">
        <v>6868</v>
      </c>
      <c r="V19" s="15">
        <v>7602</v>
      </c>
      <c r="W19" s="15">
        <v>8476</v>
      </c>
      <c r="X19" s="15">
        <v>8803</v>
      </c>
      <c r="Y19" s="15">
        <v>9821</v>
      </c>
      <c r="Z19" s="15">
        <v>10719</v>
      </c>
      <c r="AA19" s="7"/>
      <c r="AB19" s="3">
        <v>25452669</v>
      </c>
      <c r="AC19" s="3">
        <v>123912.28</v>
      </c>
      <c r="AD19" s="100">
        <v>5352717.97</v>
      </c>
      <c r="AE19" s="3">
        <f>AB19-AC19-AD19</f>
        <v>19976038.75</v>
      </c>
      <c r="AF19" s="3">
        <f>AE19/1000</f>
        <v>19976.03875</v>
      </c>
      <c r="AH19" s="3">
        <v>27590826</v>
      </c>
      <c r="AI19" s="100">
        <v>101994.46</v>
      </c>
      <c r="AJ19" s="100">
        <v>6023256</v>
      </c>
      <c r="AK19" s="3">
        <f>AH19-AI19-AJ19</f>
        <v>21465575.54</v>
      </c>
      <c r="AL19" s="3">
        <f>AK19/1000</f>
        <v>21465.575539999998</v>
      </c>
      <c r="AN19" s="3">
        <v>5974950</v>
      </c>
      <c r="AO19" s="3">
        <v>48306</v>
      </c>
      <c r="AP19" s="3">
        <f>SUM(AN19:AO19)</f>
        <v>6023256</v>
      </c>
      <c r="AR19" s="3">
        <v>29909361.07</v>
      </c>
      <c r="AS19" s="100">
        <v>155744.05</v>
      </c>
      <c r="AT19" s="100">
        <v>6435390.09</v>
      </c>
      <c r="AU19" s="3">
        <f>AR19-AS19-AT19</f>
        <v>23318226.93</v>
      </c>
      <c r="AV19" s="3">
        <f>AU19/1000</f>
        <v>23318.22693</v>
      </c>
      <c r="AX19" s="274">
        <v>6383566.52</v>
      </c>
      <c r="AY19" s="3">
        <v>51823.57</v>
      </c>
      <c r="AZ19" s="3">
        <f>SUM(AX19:AY19)</f>
        <v>6435390.09</v>
      </c>
    </row>
    <row r="20" spans="1:52" ht="12.75">
      <c r="A20" s="1" t="s">
        <v>13</v>
      </c>
      <c r="B20" s="15">
        <v>7518</v>
      </c>
      <c r="C20" s="15">
        <v>8046</v>
      </c>
      <c r="D20" s="15">
        <v>9143</v>
      </c>
      <c r="E20" s="1">
        <v>9914</v>
      </c>
      <c r="F20" s="1">
        <v>10894</v>
      </c>
      <c r="G20" s="1">
        <v>12051</v>
      </c>
      <c r="H20" s="1">
        <v>12932</v>
      </c>
      <c r="I20" s="1">
        <v>13730</v>
      </c>
      <c r="J20" s="1">
        <v>14873</v>
      </c>
      <c r="K20" s="1">
        <v>16844.90405</v>
      </c>
      <c r="L20" s="273">
        <f>(K20-J20)*100/J20</f>
        <v>13.258280441067713</v>
      </c>
      <c r="M20" s="50">
        <f>(K20-Z20)*100/Z20</f>
        <v>135.46133701425777</v>
      </c>
      <c r="N20" s="50"/>
      <c r="O20" s="15">
        <v>2348</v>
      </c>
      <c r="P20" s="15">
        <v>2486</v>
      </c>
      <c r="Q20" s="15">
        <v>2731</v>
      </c>
      <c r="R20" s="15">
        <v>3349</v>
      </c>
      <c r="S20" s="15">
        <v>3702</v>
      </c>
      <c r="T20" s="15">
        <v>4382</v>
      </c>
      <c r="U20" s="15">
        <v>4729</v>
      </c>
      <c r="V20" s="15">
        <v>4991</v>
      </c>
      <c r="W20" s="15">
        <v>5452</v>
      </c>
      <c r="X20" s="15">
        <v>6063</v>
      </c>
      <c r="Y20" s="15">
        <v>6622</v>
      </c>
      <c r="Z20" s="15">
        <v>7154</v>
      </c>
      <c r="AA20" s="7"/>
      <c r="AB20" s="3">
        <v>16240490</v>
      </c>
      <c r="AC20" s="3">
        <v>138294.1</v>
      </c>
      <c r="AD20" s="100">
        <v>2372012.69</v>
      </c>
      <c r="AE20" s="3">
        <f>AB20-AC20-AD20</f>
        <v>13730183.21</v>
      </c>
      <c r="AF20" s="3">
        <f>AE20/1000</f>
        <v>13730.183210000001</v>
      </c>
      <c r="AH20" s="3">
        <v>17605614</v>
      </c>
      <c r="AI20" s="100">
        <v>40005.06</v>
      </c>
      <c r="AJ20" s="100">
        <v>2693078</v>
      </c>
      <c r="AK20" s="3">
        <f>AH20-AI20-AJ20</f>
        <v>14872530.940000001</v>
      </c>
      <c r="AL20" s="3">
        <f>AK20/1000</f>
        <v>14872.53094</v>
      </c>
      <c r="AN20" s="3">
        <v>2693078</v>
      </c>
      <c r="AO20" s="3">
        <v>0</v>
      </c>
      <c r="AP20" s="3">
        <f>SUM(AN20:AO20)</f>
        <v>2693078</v>
      </c>
      <c r="AR20" s="3">
        <v>20631439.919999998</v>
      </c>
      <c r="AS20" s="100">
        <v>30095.47</v>
      </c>
      <c r="AT20" s="100">
        <v>3756440.4</v>
      </c>
      <c r="AU20" s="3">
        <f>AR20-AS20-AT20</f>
        <v>16844904.05</v>
      </c>
      <c r="AV20" s="3">
        <f>AU20/1000</f>
        <v>16844.90405</v>
      </c>
      <c r="AX20" s="274">
        <v>3756440.4</v>
      </c>
      <c r="AY20" s="3">
        <v>0</v>
      </c>
      <c r="AZ20" s="3">
        <f>SUM(AX20:AY20)</f>
        <v>3756440.4</v>
      </c>
    </row>
    <row r="21" spans="1:52" ht="12.75">
      <c r="A21" s="1" t="s">
        <v>14</v>
      </c>
      <c r="B21" s="15">
        <v>10035</v>
      </c>
      <c r="C21" s="15">
        <v>10903</v>
      </c>
      <c r="D21" s="15">
        <v>11852</v>
      </c>
      <c r="E21" s="1">
        <v>13117</v>
      </c>
      <c r="F21" s="1">
        <v>13986</v>
      </c>
      <c r="G21" s="1">
        <v>15176</v>
      </c>
      <c r="H21" s="1">
        <v>16613</v>
      </c>
      <c r="I21" s="1">
        <v>17681</v>
      </c>
      <c r="J21" s="1">
        <v>19507</v>
      </c>
      <c r="K21" s="1">
        <v>21303.441909999998</v>
      </c>
      <c r="L21" s="273">
        <f>(K21-J21)*100/J21</f>
        <v>9.209216742707733</v>
      </c>
      <c r="M21" s="50">
        <f>(K21-Z21)*100/Z21</f>
        <v>116.34448979384582</v>
      </c>
      <c r="N21" s="50"/>
      <c r="O21" s="15">
        <v>4413</v>
      </c>
      <c r="P21" s="15">
        <v>4646</v>
      </c>
      <c r="Q21" s="15">
        <v>5140</v>
      </c>
      <c r="R21" s="15">
        <v>5593</v>
      </c>
      <c r="S21" s="15">
        <v>6183</v>
      </c>
      <c r="T21" s="15">
        <v>6934</v>
      </c>
      <c r="U21" s="15">
        <v>7950</v>
      </c>
      <c r="V21" s="15">
        <v>8476</v>
      </c>
      <c r="W21" s="15">
        <v>9200</v>
      </c>
      <c r="X21" s="15">
        <v>9675</v>
      </c>
      <c r="Y21" s="15">
        <v>10183</v>
      </c>
      <c r="Z21" s="15">
        <v>9847</v>
      </c>
      <c r="AA21" s="7"/>
      <c r="AB21" s="3">
        <v>20767942</v>
      </c>
      <c r="AC21" s="3">
        <v>48501.84</v>
      </c>
      <c r="AD21" s="100">
        <v>3038027.57</v>
      </c>
      <c r="AE21" s="3">
        <f>AB21-AC21-AD21</f>
        <v>17681412.59</v>
      </c>
      <c r="AF21" s="3">
        <f>AE21/1000</f>
        <v>17681.41259</v>
      </c>
      <c r="AH21" s="3">
        <v>22635075</v>
      </c>
      <c r="AI21" s="100">
        <v>22656.65</v>
      </c>
      <c r="AJ21" s="100">
        <v>3105690</v>
      </c>
      <c r="AK21" s="3">
        <f>AH21-AI21-AJ21</f>
        <v>19506728.35</v>
      </c>
      <c r="AL21" s="3">
        <f>AK21/1000</f>
        <v>19506.72835</v>
      </c>
      <c r="AN21" s="3">
        <v>2980146</v>
      </c>
      <c r="AO21" s="3">
        <v>125544</v>
      </c>
      <c r="AP21" s="3">
        <f>SUM(AN21:AO21)</f>
        <v>3105690</v>
      </c>
      <c r="AR21" s="3">
        <v>24013341.47</v>
      </c>
      <c r="AS21" s="100">
        <v>6259.85</v>
      </c>
      <c r="AT21" s="100">
        <v>2703639.71</v>
      </c>
      <c r="AU21" s="3">
        <f>AR21-AS21-AT21</f>
        <v>21303441.909999996</v>
      </c>
      <c r="AV21" s="3">
        <f>AU21/1000</f>
        <v>21303.441909999998</v>
      </c>
      <c r="AX21" s="274">
        <v>2665818.65</v>
      </c>
      <c r="AY21" s="3">
        <v>37821.06</v>
      </c>
      <c r="AZ21" s="3">
        <f>SUM(AX21:AY21)</f>
        <v>2703639.71</v>
      </c>
    </row>
    <row r="22" spans="1:52" ht="12.75">
      <c r="A22" s="1" t="s">
        <v>15</v>
      </c>
      <c r="B22" s="15">
        <v>2656</v>
      </c>
      <c r="C22" s="15">
        <v>2630</v>
      </c>
      <c r="D22" s="15">
        <v>2660</v>
      </c>
      <c r="E22" s="1">
        <v>2655</v>
      </c>
      <c r="F22" s="1">
        <v>3063</v>
      </c>
      <c r="G22" s="1">
        <v>2944</v>
      </c>
      <c r="H22" s="1">
        <v>3383</v>
      </c>
      <c r="I22" s="1">
        <v>3648</v>
      </c>
      <c r="J22" s="1">
        <v>3905</v>
      </c>
      <c r="K22" s="1">
        <v>4117.022169999999</v>
      </c>
      <c r="L22" s="273">
        <f>(K22-J22)*100/J22</f>
        <v>5.4295049935979325</v>
      </c>
      <c r="M22" s="50">
        <f>(K22-Z22)*100/Z22</f>
        <v>67.83620750101913</v>
      </c>
      <c r="N22" s="50"/>
      <c r="O22" s="15">
        <v>1058</v>
      </c>
      <c r="P22" s="15">
        <v>1039</v>
      </c>
      <c r="Q22" s="15">
        <v>1149</v>
      </c>
      <c r="R22" s="15">
        <v>1296</v>
      </c>
      <c r="S22" s="15">
        <v>1511</v>
      </c>
      <c r="T22" s="15">
        <v>1717</v>
      </c>
      <c r="U22" s="15">
        <v>1811</v>
      </c>
      <c r="V22" s="15">
        <v>1846</v>
      </c>
      <c r="W22" s="15">
        <v>1960</v>
      </c>
      <c r="X22" s="15">
        <v>2156</v>
      </c>
      <c r="Y22" s="15">
        <v>2275</v>
      </c>
      <c r="Z22" s="15">
        <v>2453</v>
      </c>
      <c r="AA22" s="7"/>
      <c r="AB22" s="3">
        <v>3735448.84</v>
      </c>
      <c r="AC22" s="3">
        <v>87314.09</v>
      </c>
      <c r="AD22" s="100">
        <v>0</v>
      </c>
      <c r="AE22" s="3">
        <f>AB22-AC22-AD22</f>
        <v>3648134.75</v>
      </c>
      <c r="AF22" s="3">
        <f>AE22/1000</f>
        <v>3648.13475</v>
      </c>
      <c r="AH22" s="3">
        <v>3923543.55</v>
      </c>
      <c r="AI22" s="100">
        <v>18085.38</v>
      </c>
      <c r="AJ22" s="100">
        <v>0</v>
      </c>
      <c r="AK22" s="3">
        <f>AH22-AI22-AJ22</f>
        <v>3905458.17</v>
      </c>
      <c r="AL22" s="3">
        <f>AK22/1000</f>
        <v>3905.45817</v>
      </c>
      <c r="AN22" s="3">
        <v>0</v>
      </c>
      <c r="AO22" s="3">
        <v>0</v>
      </c>
      <c r="AP22" s="3">
        <f>SUM(AN22:AO22)</f>
        <v>0</v>
      </c>
      <c r="AR22" s="3">
        <v>4233739.14</v>
      </c>
      <c r="AS22" s="100">
        <v>116716.97</v>
      </c>
      <c r="AT22" s="100">
        <v>0</v>
      </c>
      <c r="AU22" s="3">
        <f>AR22-AS22-AT22</f>
        <v>4117022.1699999995</v>
      </c>
      <c r="AV22" s="3">
        <f>AU22/1000</f>
        <v>4117.022169999999</v>
      </c>
      <c r="AX22" s="274">
        <v>0</v>
      </c>
      <c r="AY22" s="3">
        <v>0</v>
      </c>
      <c r="AZ22" s="3">
        <f>SUM(AX22:AY22)</f>
        <v>0</v>
      </c>
    </row>
    <row r="23" spans="2:50" ht="12.75">
      <c r="B23" s="15"/>
      <c r="C23" s="15"/>
      <c r="D23" s="15"/>
      <c r="L23" s="50"/>
      <c r="M23" s="50"/>
      <c r="N23" s="50"/>
      <c r="O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7"/>
      <c r="AD23" s="100"/>
      <c r="AI23" s="100"/>
      <c r="AJ23" s="100"/>
      <c r="AS23" s="100"/>
      <c r="AT23" s="100"/>
      <c r="AX23" s="274"/>
    </row>
    <row r="24" spans="1:52" ht="12.75">
      <c r="A24" s="1" t="s">
        <v>16</v>
      </c>
      <c r="B24" s="15">
        <v>14021</v>
      </c>
      <c r="C24" s="15">
        <v>14858</v>
      </c>
      <c r="D24" s="15">
        <v>16115</v>
      </c>
      <c r="E24" s="1">
        <v>17517</v>
      </c>
      <c r="F24" s="1">
        <v>18572</v>
      </c>
      <c r="G24" s="1">
        <v>21129</v>
      </c>
      <c r="H24" s="1">
        <v>22231</v>
      </c>
      <c r="I24" s="1">
        <v>25272</v>
      </c>
      <c r="J24" s="1">
        <v>27447</v>
      </c>
      <c r="K24" s="1">
        <v>30380.379829999998</v>
      </c>
      <c r="L24" s="273">
        <f>(K24-J24)*100/J24</f>
        <v>10.687433344263482</v>
      </c>
      <c r="M24" s="50">
        <f>(K24-Z24)*100/Z24</f>
        <v>125.60804864102181</v>
      </c>
      <c r="N24" s="50"/>
      <c r="O24" s="15">
        <v>4233</v>
      </c>
      <c r="P24" s="15">
        <v>4298</v>
      </c>
      <c r="Q24" s="15">
        <v>4746</v>
      </c>
      <c r="R24" s="15">
        <v>5306</v>
      </c>
      <c r="S24" s="15">
        <v>6563</v>
      </c>
      <c r="T24" s="15">
        <v>7771</v>
      </c>
      <c r="U24" s="15">
        <v>8814</v>
      </c>
      <c r="V24" s="15">
        <v>9353</v>
      </c>
      <c r="W24" s="15">
        <v>10151</v>
      </c>
      <c r="X24" s="15">
        <v>11429</v>
      </c>
      <c r="Y24" s="15">
        <v>12814</v>
      </c>
      <c r="Z24" s="15">
        <v>13466</v>
      </c>
      <c r="AA24" s="7"/>
      <c r="AB24" s="3">
        <v>28521444</v>
      </c>
      <c r="AC24" s="3">
        <v>50926.45</v>
      </c>
      <c r="AD24" s="100">
        <v>3198938.99</v>
      </c>
      <c r="AE24" s="3">
        <f>AB24-AC24-AD24</f>
        <v>25271578.560000002</v>
      </c>
      <c r="AF24" s="3">
        <f>AE24/1000</f>
        <v>25271.57856</v>
      </c>
      <c r="AH24" s="3">
        <v>31525077</v>
      </c>
      <c r="AI24" s="100">
        <v>49664</v>
      </c>
      <c r="AJ24" s="100">
        <v>4028699</v>
      </c>
      <c r="AK24" s="3">
        <f>AH24-AI24-AJ24</f>
        <v>27446714</v>
      </c>
      <c r="AL24" s="3">
        <f>AK24/1000</f>
        <v>27446.714</v>
      </c>
      <c r="AN24" s="3">
        <v>4028699</v>
      </c>
      <c r="AO24" s="3">
        <v>0</v>
      </c>
      <c r="AP24" s="3">
        <f>SUM(AN24:AO24)</f>
        <v>4028699</v>
      </c>
      <c r="AR24" s="3">
        <v>34450466.43</v>
      </c>
      <c r="AS24" s="100">
        <v>42438.82</v>
      </c>
      <c r="AT24" s="100">
        <v>4027647.78</v>
      </c>
      <c r="AU24" s="3">
        <f>AR24-AS24-AT24</f>
        <v>30380379.83</v>
      </c>
      <c r="AV24" s="3">
        <f>AU24/1000</f>
        <v>30380.379829999998</v>
      </c>
      <c r="AX24" s="274">
        <v>4027647.78</v>
      </c>
      <c r="AY24" s="3">
        <v>0</v>
      </c>
      <c r="AZ24" s="3">
        <f>SUM(AX24:AY24)</f>
        <v>4027647.78</v>
      </c>
    </row>
    <row r="25" spans="1:52" ht="12.75">
      <c r="A25" s="1" t="s">
        <v>17</v>
      </c>
      <c r="B25" s="15">
        <v>2289</v>
      </c>
      <c r="C25" s="15">
        <v>2460</v>
      </c>
      <c r="D25" s="15">
        <v>2579</v>
      </c>
      <c r="E25" s="1">
        <v>2563</v>
      </c>
      <c r="F25" s="1">
        <v>2677</v>
      </c>
      <c r="G25" s="1">
        <v>2862</v>
      </c>
      <c r="H25" s="1">
        <v>2931</v>
      </c>
      <c r="I25" s="1">
        <v>3100</v>
      </c>
      <c r="J25" s="1">
        <v>3288</v>
      </c>
      <c r="K25" s="1">
        <v>3453.90693</v>
      </c>
      <c r="L25" s="273">
        <f>(K25-J25)*100/J25</f>
        <v>5.0458312043795654</v>
      </c>
      <c r="M25" s="50">
        <f>(K25-Z25)*100/Z25</f>
        <v>59.386568066451325</v>
      </c>
      <c r="N25" s="50"/>
      <c r="O25" s="15">
        <v>995</v>
      </c>
      <c r="P25" s="15">
        <v>1045</v>
      </c>
      <c r="Q25" s="15">
        <v>1276</v>
      </c>
      <c r="R25" s="15">
        <v>1406</v>
      </c>
      <c r="S25" s="15">
        <v>1626</v>
      </c>
      <c r="T25" s="15">
        <v>1707</v>
      </c>
      <c r="U25" s="15">
        <v>1781</v>
      </c>
      <c r="V25" s="15">
        <v>1775</v>
      </c>
      <c r="W25" s="15">
        <v>1846</v>
      </c>
      <c r="X25" s="15">
        <v>2039</v>
      </c>
      <c r="Y25" s="15">
        <v>2162</v>
      </c>
      <c r="Z25" s="15">
        <v>2167</v>
      </c>
      <c r="AA25" s="7"/>
      <c r="AB25" s="3">
        <v>3289015.75</v>
      </c>
      <c r="AC25" s="3">
        <v>12019.89</v>
      </c>
      <c r="AD25" s="100">
        <v>176852.13</v>
      </c>
      <c r="AE25" s="3">
        <f>AB25-AC25-AD25</f>
        <v>3100143.73</v>
      </c>
      <c r="AF25" s="3">
        <f>AE25/1000</f>
        <v>3100.14373</v>
      </c>
      <c r="AH25" s="3">
        <v>3514852.39</v>
      </c>
      <c r="AI25" s="100">
        <v>19979.26</v>
      </c>
      <c r="AJ25" s="100">
        <v>206745</v>
      </c>
      <c r="AK25" s="3">
        <f>AH25-AI25-AJ25</f>
        <v>3288128.1300000004</v>
      </c>
      <c r="AL25" s="3">
        <f>AK25/1000</f>
        <v>3288.1281300000005</v>
      </c>
      <c r="AN25" s="3">
        <v>206745</v>
      </c>
      <c r="AO25" s="3">
        <v>0</v>
      </c>
      <c r="AP25" s="3">
        <f>SUM(AN25:AO25)</f>
        <v>206745</v>
      </c>
      <c r="AR25" s="3">
        <v>3725929.61</v>
      </c>
      <c r="AS25" s="100">
        <v>6674.8</v>
      </c>
      <c r="AT25" s="100">
        <v>265347.88</v>
      </c>
      <c r="AU25" s="3">
        <f>AR25-AS25-AT25</f>
        <v>3453906.93</v>
      </c>
      <c r="AV25" s="3">
        <f>AU25/1000</f>
        <v>3453.90693</v>
      </c>
      <c r="AX25" s="274">
        <v>258943.66</v>
      </c>
      <c r="AY25" s="3">
        <v>6404.22</v>
      </c>
      <c r="AZ25" s="3">
        <f>SUM(AX25:AY25)</f>
        <v>265347.88</v>
      </c>
    </row>
    <row r="26" spans="1:52" ht="12.75">
      <c r="A26" s="1" t="s">
        <v>18</v>
      </c>
      <c r="B26" s="15">
        <v>15918</v>
      </c>
      <c r="C26" s="15">
        <v>17303</v>
      </c>
      <c r="D26" s="15">
        <v>17898</v>
      </c>
      <c r="E26" s="1">
        <v>19645</v>
      </c>
      <c r="F26" s="1">
        <v>21363</v>
      </c>
      <c r="G26" s="1">
        <v>23806</v>
      </c>
      <c r="H26" s="1">
        <v>24120</v>
      </c>
      <c r="I26" s="1">
        <v>25598</v>
      </c>
      <c r="J26" s="1">
        <v>26940</v>
      </c>
      <c r="K26" s="1">
        <v>31797.527760000004</v>
      </c>
      <c r="L26" s="273">
        <f>(K26-J26)*100/J26</f>
        <v>18.030912249443222</v>
      </c>
      <c r="M26" s="50">
        <f>(K26-Z26)*100/Z26</f>
        <v>114.54374036839623</v>
      </c>
      <c r="N26" s="50"/>
      <c r="O26" s="15">
        <v>4614</v>
      </c>
      <c r="P26" s="15">
        <v>4704</v>
      </c>
      <c r="Q26" s="15">
        <v>5343</v>
      </c>
      <c r="R26" s="15">
        <v>5979</v>
      </c>
      <c r="S26" s="15">
        <v>6927</v>
      </c>
      <c r="T26" s="15">
        <v>7707</v>
      </c>
      <c r="U26" s="15">
        <v>8932</v>
      </c>
      <c r="V26" s="15">
        <v>9621</v>
      </c>
      <c r="W26" s="15">
        <v>10440</v>
      </c>
      <c r="X26" s="15">
        <v>12030</v>
      </c>
      <c r="Y26" s="15">
        <v>13951</v>
      </c>
      <c r="Z26" s="15">
        <v>14821</v>
      </c>
      <c r="AA26" s="7"/>
      <c r="AB26" s="3">
        <v>32371030</v>
      </c>
      <c r="AC26" s="3">
        <v>99371.71</v>
      </c>
      <c r="AD26" s="100">
        <v>6673444</v>
      </c>
      <c r="AE26" s="3">
        <f>AB26-AC26-AD26</f>
        <v>25598214.29</v>
      </c>
      <c r="AF26" s="3">
        <f>AE26/1000</f>
        <v>25598.21429</v>
      </c>
      <c r="AH26" s="3">
        <v>34263946</v>
      </c>
      <c r="AI26" s="100">
        <v>171930.57</v>
      </c>
      <c r="AJ26" s="100">
        <v>7151683</v>
      </c>
      <c r="AK26" s="3">
        <f>AH26-AI26-AJ26</f>
        <v>26940332.43</v>
      </c>
      <c r="AL26" s="3">
        <f>AK26/1000</f>
        <v>26940.33243</v>
      </c>
      <c r="AN26" s="3">
        <v>7151683</v>
      </c>
      <c r="AO26" s="3">
        <v>0</v>
      </c>
      <c r="AP26" s="3">
        <f>SUM(AN26:AO26)</f>
        <v>7151683</v>
      </c>
      <c r="AR26" s="3">
        <v>40211800.650000006</v>
      </c>
      <c r="AS26" s="100">
        <v>124967.76</v>
      </c>
      <c r="AT26" s="100">
        <v>8289305.130000001</v>
      </c>
      <c r="AU26" s="3">
        <f>AR26-AS26-AT26</f>
        <v>31797527.760000005</v>
      </c>
      <c r="AV26" s="3">
        <f>AU26/1000</f>
        <v>31797.527760000004</v>
      </c>
      <c r="AX26" s="274">
        <v>8289305.130000001</v>
      </c>
      <c r="AY26" s="3">
        <v>0</v>
      </c>
      <c r="AZ26" s="3">
        <f>SUM(AX26:AY26)</f>
        <v>8289305.130000001</v>
      </c>
    </row>
    <row r="27" spans="1:52" ht="12.75">
      <c r="A27" s="1" t="s">
        <v>19</v>
      </c>
      <c r="B27" s="15">
        <v>23576</v>
      </c>
      <c r="C27" s="15">
        <v>25977</v>
      </c>
      <c r="D27" s="15">
        <v>28449</v>
      </c>
      <c r="E27" s="1">
        <v>35578</v>
      </c>
      <c r="F27" s="1">
        <v>39298</v>
      </c>
      <c r="G27" s="1">
        <v>44978</v>
      </c>
      <c r="H27" s="1">
        <v>51812</v>
      </c>
      <c r="I27" s="1">
        <v>57043</v>
      </c>
      <c r="J27" s="1">
        <v>66972</v>
      </c>
      <c r="K27" s="1">
        <v>68317.16096000001</v>
      </c>
      <c r="L27" s="273">
        <f>(K27-J27)*100/J27</f>
        <v>2.008542316191854</v>
      </c>
      <c r="M27" s="50">
        <f>(K27-Z27)*100/Z27</f>
        <v>207.2229210774835</v>
      </c>
      <c r="N27" s="50"/>
      <c r="O27" s="15">
        <v>7187</v>
      </c>
      <c r="P27" s="15">
        <v>6957</v>
      </c>
      <c r="Q27" s="15">
        <v>8121</v>
      </c>
      <c r="R27" s="15">
        <v>9202</v>
      </c>
      <c r="S27" s="15">
        <v>10972</v>
      </c>
      <c r="T27" s="15">
        <v>12786</v>
      </c>
      <c r="U27" s="15">
        <v>15245</v>
      </c>
      <c r="V27" s="15">
        <v>15876</v>
      </c>
      <c r="W27" s="15">
        <v>16684</v>
      </c>
      <c r="X27" s="15">
        <v>18682</v>
      </c>
      <c r="Y27" s="15">
        <v>20517</v>
      </c>
      <c r="Z27" s="15">
        <v>22237</v>
      </c>
      <c r="AA27" s="7"/>
      <c r="AB27" s="3">
        <v>65372846</v>
      </c>
      <c r="AC27" s="3">
        <v>99208.87</v>
      </c>
      <c r="AD27" s="100">
        <v>8231032</v>
      </c>
      <c r="AE27" s="3">
        <f>AB27-AC27-AD27</f>
        <v>57042605.13</v>
      </c>
      <c r="AF27" s="3">
        <f>AE27/1000</f>
        <v>57042.60513</v>
      </c>
      <c r="AH27" s="3">
        <v>71627425</v>
      </c>
      <c r="AI27" s="100">
        <v>483881.93</v>
      </c>
      <c r="AJ27" s="100">
        <v>4171756</v>
      </c>
      <c r="AK27" s="3">
        <f>AH27-AI27-AJ27</f>
        <v>66971787.06999999</v>
      </c>
      <c r="AL27" s="3">
        <f>AK27/1000</f>
        <v>66971.78706999999</v>
      </c>
      <c r="AN27" s="3">
        <v>4143873.07</v>
      </c>
      <c r="AO27" s="3">
        <v>27882.5</v>
      </c>
      <c r="AP27" s="3">
        <f>SUM(AN27:AO27)</f>
        <v>4171755.57</v>
      </c>
      <c r="AR27" s="3">
        <v>75667634.48000002</v>
      </c>
      <c r="AS27" s="100">
        <v>139376.7</v>
      </c>
      <c r="AT27" s="100">
        <v>7211096.82</v>
      </c>
      <c r="AU27" s="3">
        <f>AR27-AS27-AT27</f>
        <v>68317160.96000001</v>
      </c>
      <c r="AV27" s="3">
        <f>AU27/1000</f>
        <v>68317.16096000001</v>
      </c>
      <c r="AX27" s="274">
        <v>20251</v>
      </c>
      <c r="AY27" s="3">
        <v>7190845.82</v>
      </c>
      <c r="AZ27" s="3">
        <f>SUM(AX27:AY27)</f>
        <v>7211096.82</v>
      </c>
    </row>
    <row r="28" spans="1:52" ht="12.75">
      <c r="A28" s="1" t="s">
        <v>20</v>
      </c>
      <c r="B28" s="15">
        <v>1386</v>
      </c>
      <c r="C28" s="15">
        <v>1653</v>
      </c>
      <c r="D28" s="15">
        <v>1505</v>
      </c>
      <c r="E28" s="1">
        <v>1643</v>
      </c>
      <c r="F28" s="1">
        <v>1850</v>
      </c>
      <c r="G28" s="1">
        <v>1981</v>
      </c>
      <c r="H28" s="1">
        <v>2206</v>
      </c>
      <c r="I28" s="1">
        <v>2117</v>
      </c>
      <c r="J28" s="1">
        <v>2389</v>
      </c>
      <c r="K28" s="1">
        <v>2473.13535</v>
      </c>
      <c r="L28" s="273">
        <f>(K28-J28)*100/J28</f>
        <v>3.5217810799497706</v>
      </c>
      <c r="M28" s="50">
        <f>(K28-Z28)*100/Z28</f>
        <v>84.9764659685864</v>
      </c>
      <c r="N28" s="50"/>
      <c r="O28" s="15">
        <v>576</v>
      </c>
      <c r="P28" s="15">
        <v>625</v>
      </c>
      <c r="Q28" s="15">
        <v>717</v>
      </c>
      <c r="R28" s="15">
        <v>772</v>
      </c>
      <c r="S28" s="15">
        <v>841</v>
      </c>
      <c r="T28" s="15">
        <v>904</v>
      </c>
      <c r="U28" s="15">
        <v>1002</v>
      </c>
      <c r="V28" s="15">
        <v>970</v>
      </c>
      <c r="W28" s="15">
        <v>1097</v>
      </c>
      <c r="X28" s="15">
        <v>1162</v>
      </c>
      <c r="Y28" s="229">
        <v>1289</v>
      </c>
      <c r="Z28" s="15">
        <v>1337</v>
      </c>
      <c r="AA28" s="7"/>
      <c r="AB28" s="3">
        <v>2196101.49</v>
      </c>
      <c r="AC28" s="3">
        <v>15514.84</v>
      </c>
      <c r="AD28" s="100">
        <v>63179</v>
      </c>
      <c r="AE28" s="3">
        <f>AB28-AC28-AD28</f>
        <v>2117407.6500000004</v>
      </c>
      <c r="AF28" s="3">
        <f>AE28/1000</f>
        <v>2117.4076500000006</v>
      </c>
      <c r="AH28" s="3">
        <v>2449149.07</v>
      </c>
      <c r="AI28" s="100">
        <v>2999</v>
      </c>
      <c r="AJ28" s="100">
        <v>56897</v>
      </c>
      <c r="AK28" s="3">
        <f>AH28-AI28-AJ28</f>
        <v>2389253.07</v>
      </c>
      <c r="AL28" s="3">
        <f>AK28/1000</f>
        <v>2389.2530699999998</v>
      </c>
      <c r="AN28" s="3">
        <v>0</v>
      </c>
      <c r="AO28" s="3">
        <v>56897</v>
      </c>
      <c r="AP28" s="3">
        <f>SUM(AN28:AO28)</f>
        <v>56897</v>
      </c>
      <c r="AR28" s="3">
        <v>2605619.35</v>
      </c>
      <c r="AS28" s="100">
        <v>7261</v>
      </c>
      <c r="AT28" s="100">
        <v>125223</v>
      </c>
      <c r="AU28" s="3">
        <f>AR28-AS28-AT28</f>
        <v>2473135.35</v>
      </c>
      <c r="AV28" s="3">
        <f>AU28/1000</f>
        <v>2473.13535</v>
      </c>
      <c r="AX28" s="274">
        <v>14833</v>
      </c>
      <c r="AY28" s="3">
        <v>110390</v>
      </c>
      <c r="AZ28" s="3">
        <f>SUM(AX28:AY28)</f>
        <v>125223</v>
      </c>
    </row>
    <row r="29" spans="2:50" ht="12.75">
      <c r="B29" s="15"/>
      <c r="C29" s="15"/>
      <c r="D29" s="15"/>
      <c r="L29" s="50"/>
      <c r="M29" s="50"/>
      <c r="N29" s="5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229"/>
      <c r="Z29" s="15"/>
      <c r="AA29" s="7"/>
      <c r="AD29" s="100"/>
      <c r="AI29" s="100"/>
      <c r="AJ29" s="100"/>
      <c r="AS29" s="100"/>
      <c r="AT29" s="100"/>
      <c r="AX29" s="274"/>
    </row>
    <row r="30" spans="1:52" ht="12.75">
      <c r="A30" s="1" t="s">
        <v>21</v>
      </c>
      <c r="B30" s="15">
        <v>84710</v>
      </c>
      <c r="C30" s="15">
        <v>93711</v>
      </c>
      <c r="D30" s="15">
        <v>103122</v>
      </c>
      <c r="E30" s="1">
        <v>109753</v>
      </c>
      <c r="F30" s="1">
        <v>120506</v>
      </c>
      <c r="G30" s="1">
        <v>130693</v>
      </c>
      <c r="H30" s="1">
        <v>140568</v>
      </c>
      <c r="I30" s="1">
        <v>149381</v>
      </c>
      <c r="J30" s="1">
        <v>162674</v>
      </c>
      <c r="K30" s="1">
        <v>175883.92051000003</v>
      </c>
      <c r="L30" s="273">
        <f>(K30-J30)*100/J30</f>
        <v>8.12048668502651</v>
      </c>
      <c r="M30" s="50">
        <f>(K30-Z30)*100/Z30</f>
        <v>120.31756752931159</v>
      </c>
      <c r="N30" s="50"/>
      <c r="O30" s="15">
        <v>41206</v>
      </c>
      <c r="P30" s="15">
        <v>38568</v>
      </c>
      <c r="Q30" s="15">
        <v>41858</v>
      </c>
      <c r="R30" s="15">
        <v>47379</v>
      </c>
      <c r="S30" s="15">
        <v>51935</v>
      </c>
      <c r="T30" s="15">
        <v>57575</v>
      </c>
      <c r="U30" s="15">
        <v>63257</v>
      </c>
      <c r="V30" s="15">
        <v>64542</v>
      </c>
      <c r="W30" s="15">
        <v>66567</v>
      </c>
      <c r="X30" s="15">
        <v>70805</v>
      </c>
      <c r="Y30" s="229">
        <v>76286</v>
      </c>
      <c r="Z30" s="15">
        <v>79832</v>
      </c>
      <c r="AA30" s="7"/>
      <c r="AB30" s="3">
        <v>178954324</v>
      </c>
      <c r="AC30" s="3">
        <v>191584.28</v>
      </c>
      <c r="AD30" s="100">
        <v>29381340</v>
      </c>
      <c r="AE30" s="3">
        <f>AB30-AC30-AD30</f>
        <v>149381399.72</v>
      </c>
      <c r="AF30" s="3">
        <f>AE30/1000</f>
        <v>149381.39972</v>
      </c>
      <c r="AH30" s="3">
        <v>193923456</v>
      </c>
      <c r="AI30" s="100">
        <v>230887.82</v>
      </c>
      <c r="AJ30" s="100">
        <v>31019017</v>
      </c>
      <c r="AK30" s="3">
        <f>AH30-AI30-AJ30</f>
        <v>162673551.18</v>
      </c>
      <c r="AL30" s="3">
        <f>AK30/1000</f>
        <v>162673.55118</v>
      </c>
      <c r="AN30" s="3">
        <v>30927436</v>
      </c>
      <c r="AO30" s="3">
        <v>91581</v>
      </c>
      <c r="AP30" s="3">
        <f>SUM(AN30:AO30)</f>
        <v>31019017</v>
      </c>
      <c r="AR30" s="3">
        <v>208211238.27</v>
      </c>
      <c r="AS30" s="100">
        <v>967728</v>
      </c>
      <c r="AT30" s="100">
        <v>31359589.76</v>
      </c>
      <c r="AU30" s="3">
        <f>AR30-AS30-AT30</f>
        <v>175883920.51000002</v>
      </c>
      <c r="AV30" s="3">
        <f>AU30/1000</f>
        <v>175883.92051000003</v>
      </c>
      <c r="AX30" s="274">
        <v>31259393.76</v>
      </c>
      <c r="AY30" s="3">
        <v>100196</v>
      </c>
      <c r="AZ30" s="3">
        <f>SUM(AX30:AY30)</f>
        <v>31359589.76</v>
      </c>
    </row>
    <row r="31" spans="1:52" ht="12.75">
      <c r="A31" s="1" t="s">
        <v>22</v>
      </c>
      <c r="B31" s="15">
        <v>70093</v>
      </c>
      <c r="C31" s="15">
        <v>75130</v>
      </c>
      <c r="D31" s="15">
        <v>81906</v>
      </c>
      <c r="E31" s="1">
        <v>86529</v>
      </c>
      <c r="F31" s="1">
        <v>93259</v>
      </c>
      <c r="G31" s="1">
        <v>101191</v>
      </c>
      <c r="H31" s="1">
        <v>108284</v>
      </c>
      <c r="I31" s="1">
        <v>105112</v>
      </c>
      <c r="J31" s="1">
        <v>110686</v>
      </c>
      <c r="K31" s="1">
        <v>123107.16812999996</v>
      </c>
      <c r="L31" s="273">
        <f>(K31-J31)*100/J31</f>
        <v>11.22198663787648</v>
      </c>
      <c r="M31" s="50">
        <f>(K31-Z31)*100/Z31</f>
        <v>81.51241928254422</v>
      </c>
      <c r="N31" s="50"/>
      <c r="O31" s="15">
        <v>32147</v>
      </c>
      <c r="P31" s="15">
        <v>31320</v>
      </c>
      <c r="Q31" s="15">
        <v>34223</v>
      </c>
      <c r="R31" s="15">
        <v>38782</v>
      </c>
      <c r="S31" s="15">
        <v>43033</v>
      </c>
      <c r="T31" s="15">
        <v>45925</v>
      </c>
      <c r="U31" s="15">
        <v>50300</v>
      </c>
      <c r="V31" s="15">
        <v>50951</v>
      </c>
      <c r="W31" s="15">
        <v>56192</v>
      </c>
      <c r="X31" s="15">
        <v>60467</v>
      </c>
      <c r="Y31" s="229">
        <v>65650</v>
      </c>
      <c r="Z31" s="15">
        <v>67823</v>
      </c>
      <c r="AA31" s="7"/>
      <c r="AB31" s="3">
        <v>153202949</v>
      </c>
      <c r="AC31" s="3">
        <v>262903.38</v>
      </c>
      <c r="AD31" s="100">
        <v>47828432</v>
      </c>
      <c r="AE31" s="3">
        <f>AB31-AC31-AD31</f>
        <v>105111613.62</v>
      </c>
      <c r="AF31" s="3">
        <f>AE31/1000</f>
        <v>105111.61362</v>
      </c>
      <c r="AH31" s="3">
        <v>162246315</v>
      </c>
      <c r="AI31" s="100">
        <v>671357.94</v>
      </c>
      <c r="AJ31" s="100">
        <v>50889116</v>
      </c>
      <c r="AK31" s="3">
        <f>AH31-AI31-AJ31</f>
        <v>110685841.06</v>
      </c>
      <c r="AL31" s="3">
        <f>AK31/1000</f>
        <v>110685.84106</v>
      </c>
      <c r="AN31" s="3">
        <v>50889116</v>
      </c>
      <c r="AO31" s="3">
        <v>0</v>
      </c>
      <c r="AP31" s="3">
        <f>SUM(AN31:AO31)</f>
        <v>50889116</v>
      </c>
      <c r="AR31" s="3">
        <v>181422328.99999997</v>
      </c>
      <c r="AS31" s="100">
        <v>1546169.74</v>
      </c>
      <c r="AT31" s="100">
        <v>56768991.13</v>
      </c>
      <c r="AU31" s="3">
        <f>AR31-AS31-AT31</f>
        <v>123107168.12999997</v>
      </c>
      <c r="AV31" s="3">
        <f>AU31/1000</f>
        <v>123107.16812999996</v>
      </c>
      <c r="AX31" s="274">
        <v>56768991.13</v>
      </c>
      <c r="AY31" s="3">
        <v>0</v>
      </c>
      <c r="AZ31" s="3">
        <f>SUM(AX31:AY31)</f>
        <v>56768991.13</v>
      </c>
    </row>
    <row r="32" spans="1:52" ht="12.75">
      <c r="A32" s="1" t="s">
        <v>23</v>
      </c>
      <c r="B32" s="15">
        <v>2921</v>
      </c>
      <c r="C32" s="15">
        <v>3093</v>
      </c>
      <c r="D32" s="15">
        <v>3590</v>
      </c>
      <c r="E32" s="1">
        <v>3791</v>
      </c>
      <c r="F32" s="1">
        <v>4206</v>
      </c>
      <c r="G32" s="1">
        <v>4774</v>
      </c>
      <c r="H32" s="1">
        <v>5165</v>
      </c>
      <c r="I32" s="1">
        <v>5554</v>
      </c>
      <c r="J32" s="1">
        <v>5883</v>
      </c>
      <c r="K32" s="1">
        <v>6506.3838399999995</v>
      </c>
      <c r="L32" s="273">
        <f>(K32-J32)*100/J32</f>
        <v>10.596359680435143</v>
      </c>
      <c r="M32" s="50">
        <f>(K32-Z32)*100/Z32</f>
        <v>142.3234204841713</v>
      </c>
      <c r="N32" s="50"/>
      <c r="O32" s="15">
        <v>918</v>
      </c>
      <c r="P32" s="15">
        <v>1130</v>
      </c>
      <c r="Q32" s="15">
        <v>1451</v>
      </c>
      <c r="R32" s="15">
        <v>1574</v>
      </c>
      <c r="S32" s="15">
        <v>1454</v>
      </c>
      <c r="T32" s="15">
        <v>1602</v>
      </c>
      <c r="U32" s="15">
        <v>1863</v>
      </c>
      <c r="V32" s="15">
        <v>1895</v>
      </c>
      <c r="W32" s="15">
        <v>2343</v>
      </c>
      <c r="X32" s="15">
        <v>2463</v>
      </c>
      <c r="Y32" s="15">
        <v>2492</v>
      </c>
      <c r="Z32" s="15">
        <v>2685</v>
      </c>
      <c r="AA32" s="7"/>
      <c r="AB32" s="3">
        <v>6329760</v>
      </c>
      <c r="AC32" s="3">
        <v>27216.53</v>
      </c>
      <c r="AD32" s="100">
        <v>748786.09</v>
      </c>
      <c r="AE32" s="3">
        <f>AB32-AC32-AD32</f>
        <v>5553757.38</v>
      </c>
      <c r="AF32" s="3">
        <f>AE32/1000</f>
        <v>5553.75738</v>
      </c>
      <c r="AH32" s="3">
        <v>6836887</v>
      </c>
      <c r="AI32" s="100">
        <v>6686.2</v>
      </c>
      <c r="AJ32" s="100">
        <v>947180</v>
      </c>
      <c r="AK32" s="3">
        <f>AH32-AI32-AJ32</f>
        <v>5883020.8</v>
      </c>
      <c r="AL32" s="3">
        <f>AK32/1000</f>
        <v>5883.0208</v>
      </c>
      <c r="AN32" s="3">
        <v>947180</v>
      </c>
      <c r="AO32" s="3">
        <v>0</v>
      </c>
      <c r="AP32" s="3">
        <f>SUM(AN32:AO32)</f>
        <v>947180</v>
      </c>
      <c r="AR32" s="3">
        <v>7251930.449999999</v>
      </c>
      <c r="AS32" s="100">
        <v>11604.1</v>
      </c>
      <c r="AT32" s="100">
        <v>733942.51</v>
      </c>
      <c r="AU32" s="3">
        <f>AR32-AS32-AT32</f>
        <v>6506383.84</v>
      </c>
      <c r="AV32" s="3">
        <f>AU32/1000</f>
        <v>6506.3838399999995</v>
      </c>
      <c r="AX32" s="274">
        <v>733942.51</v>
      </c>
      <c r="AY32" s="3">
        <v>0</v>
      </c>
      <c r="AZ32" s="3">
        <f>SUM(AX32:AY32)</f>
        <v>733942.51</v>
      </c>
    </row>
    <row r="33" spans="1:52" ht="12.75">
      <c r="A33" s="1" t="s">
        <v>24</v>
      </c>
      <c r="B33" s="15">
        <v>7410</v>
      </c>
      <c r="C33" s="15">
        <v>8050</v>
      </c>
      <c r="D33" s="15">
        <v>9129</v>
      </c>
      <c r="E33" s="1">
        <v>9729</v>
      </c>
      <c r="F33" s="1">
        <v>10405</v>
      </c>
      <c r="G33" s="1">
        <v>11463</v>
      </c>
      <c r="H33" s="1">
        <v>12344</v>
      </c>
      <c r="I33" s="1">
        <v>12819</v>
      </c>
      <c r="J33" s="1">
        <v>14006</v>
      </c>
      <c r="K33" s="1">
        <v>14659.3299</v>
      </c>
      <c r="L33" s="273">
        <f>(K33-J33)*100/J33</f>
        <v>4.664643010138517</v>
      </c>
      <c r="M33" s="50">
        <f>(K33-Z33)*100/Z33</f>
        <v>112.73153243360908</v>
      </c>
      <c r="N33" s="50"/>
      <c r="O33" s="15">
        <v>2918</v>
      </c>
      <c r="P33" s="15">
        <v>3758</v>
      </c>
      <c r="Q33" s="15">
        <v>3773</v>
      </c>
      <c r="R33" s="15">
        <v>4201</v>
      </c>
      <c r="S33" s="15">
        <v>4643</v>
      </c>
      <c r="T33" s="15">
        <v>4977</v>
      </c>
      <c r="U33" s="15">
        <v>5540</v>
      </c>
      <c r="V33" s="15">
        <v>5831</v>
      </c>
      <c r="W33" s="15">
        <v>6027</v>
      </c>
      <c r="X33" s="15">
        <v>6222</v>
      </c>
      <c r="Y33" s="15">
        <v>6568</v>
      </c>
      <c r="Z33" s="15">
        <v>6891</v>
      </c>
      <c r="AA33" s="7"/>
      <c r="AB33" s="3">
        <v>14268196</v>
      </c>
      <c r="AC33" s="3">
        <v>75165</v>
      </c>
      <c r="AD33" s="100">
        <v>1373877.74</v>
      </c>
      <c r="AE33" s="3">
        <f>AB33-AC33-AD33</f>
        <v>12819153.26</v>
      </c>
      <c r="AF33" s="3">
        <f>AE33/1000</f>
        <v>12819.15326</v>
      </c>
      <c r="AH33" s="3">
        <v>15664804</v>
      </c>
      <c r="AI33" s="100">
        <v>0</v>
      </c>
      <c r="AJ33" s="100">
        <v>1659207</v>
      </c>
      <c r="AK33" s="3">
        <f>AH33-AI33-AJ33</f>
        <v>14005597</v>
      </c>
      <c r="AL33" s="3">
        <f>AK33/1000</f>
        <v>14005.597</v>
      </c>
      <c r="AN33" s="3">
        <v>1659207</v>
      </c>
      <c r="AO33" s="3">
        <v>0</v>
      </c>
      <c r="AP33" s="3">
        <f>SUM(AN33:AO33)</f>
        <v>1659207</v>
      </c>
      <c r="AR33" s="3">
        <v>16539668.41</v>
      </c>
      <c r="AS33" s="100">
        <v>0</v>
      </c>
      <c r="AT33" s="100">
        <v>1880338.51</v>
      </c>
      <c r="AU33" s="3">
        <f>AR33-AS33-AT33</f>
        <v>14659329.9</v>
      </c>
      <c r="AV33" s="3">
        <f>AU33/1000</f>
        <v>14659.3299</v>
      </c>
      <c r="AX33" s="274">
        <v>1846417.51</v>
      </c>
      <c r="AY33" s="3">
        <v>33921</v>
      </c>
      <c r="AZ33" s="3">
        <f>SUM(AX33:AY33)</f>
        <v>1880338.51</v>
      </c>
    </row>
    <row r="34" spans="1:52" ht="12.75">
      <c r="A34" s="1" t="s">
        <v>25</v>
      </c>
      <c r="B34" s="15">
        <v>1532</v>
      </c>
      <c r="C34" s="15">
        <v>1505</v>
      </c>
      <c r="D34" s="15">
        <v>1684</v>
      </c>
      <c r="E34" s="1">
        <v>1761</v>
      </c>
      <c r="F34" s="1">
        <v>1844</v>
      </c>
      <c r="G34" s="1">
        <v>2036</v>
      </c>
      <c r="H34" s="1">
        <v>2234</v>
      </c>
      <c r="I34" s="1">
        <v>2314</v>
      </c>
      <c r="J34" s="1">
        <v>2327</v>
      </c>
      <c r="K34" s="1">
        <v>2483.1027899999995</v>
      </c>
      <c r="L34" s="273">
        <f>(K34-J34)*100/J34</f>
        <v>6.708327889987085</v>
      </c>
      <c r="M34" s="50">
        <f>(K34-Z34)*100/Z34</f>
        <v>57.95819274809157</v>
      </c>
      <c r="N34" s="50"/>
      <c r="O34" s="15">
        <v>650</v>
      </c>
      <c r="P34" s="15">
        <v>742</v>
      </c>
      <c r="Q34" s="15">
        <v>802</v>
      </c>
      <c r="R34" s="15">
        <v>964</v>
      </c>
      <c r="S34" s="15">
        <v>1091</v>
      </c>
      <c r="T34" s="15">
        <v>1232</v>
      </c>
      <c r="U34" s="15">
        <v>1349</v>
      </c>
      <c r="V34" s="15">
        <v>1365</v>
      </c>
      <c r="W34" s="15">
        <v>1462</v>
      </c>
      <c r="X34" s="15">
        <v>1541</v>
      </c>
      <c r="Y34" s="15">
        <v>1523</v>
      </c>
      <c r="Z34" s="15">
        <v>1572</v>
      </c>
      <c r="AA34" s="7"/>
      <c r="AB34" s="3">
        <v>2526433.88</v>
      </c>
      <c r="AC34" s="3">
        <v>103289.67</v>
      </c>
      <c r="AD34" s="100">
        <v>109411.2</v>
      </c>
      <c r="AE34" s="3">
        <f>AB34-AC34-AD34</f>
        <v>2313733.01</v>
      </c>
      <c r="AF34" s="3">
        <f>AE34/1000</f>
        <v>2313.73301</v>
      </c>
      <c r="AH34" s="3">
        <v>2347501.28</v>
      </c>
      <c r="AI34" s="100">
        <v>3229.86</v>
      </c>
      <c r="AJ34" s="100">
        <v>16853</v>
      </c>
      <c r="AK34" s="3">
        <f>AH34-AI34-AJ34</f>
        <v>2327418.42</v>
      </c>
      <c r="AL34" s="3">
        <f>AK34/1000</f>
        <v>2327.41842</v>
      </c>
      <c r="AN34" s="3">
        <v>16853</v>
      </c>
      <c r="AO34" s="3">
        <v>0</v>
      </c>
      <c r="AP34" s="3">
        <f>SUM(AN34:AO34)</f>
        <v>16853</v>
      </c>
      <c r="AR34" s="3">
        <v>2501870.26</v>
      </c>
      <c r="AS34" s="100">
        <v>15842.47</v>
      </c>
      <c r="AT34" s="100">
        <v>2925</v>
      </c>
      <c r="AU34" s="3">
        <f>AR34-AS34-AT34</f>
        <v>2483102.7899999996</v>
      </c>
      <c r="AV34" s="3">
        <f>AU34/1000</f>
        <v>2483.1027899999995</v>
      </c>
      <c r="AX34" s="274">
        <v>0</v>
      </c>
      <c r="AY34" s="3">
        <v>2925</v>
      </c>
      <c r="AZ34" s="3">
        <f>SUM(AX34:AY34)</f>
        <v>2925</v>
      </c>
    </row>
    <row r="35" spans="2:50" ht="12.75">
      <c r="B35" s="15"/>
      <c r="C35" s="15"/>
      <c r="D35" s="15"/>
      <c r="L35" s="50"/>
      <c r="M35" s="50"/>
      <c r="N35" s="50"/>
      <c r="P35" s="15"/>
      <c r="Q35" s="15"/>
      <c r="S35" s="15"/>
      <c r="T35" s="15"/>
      <c r="U35" s="15"/>
      <c r="V35" s="15"/>
      <c r="W35" s="15"/>
      <c r="X35" s="15"/>
      <c r="Y35" s="15"/>
      <c r="Z35" s="15"/>
      <c r="AA35" s="7"/>
      <c r="AD35" s="100"/>
      <c r="AI35" s="100"/>
      <c r="AJ35" s="100"/>
      <c r="AS35" s="100"/>
      <c r="AT35" s="100"/>
      <c r="AX35" s="274"/>
    </row>
    <row r="36" spans="1:52" ht="12.75">
      <c r="A36" s="1" t="s">
        <v>26</v>
      </c>
      <c r="B36" s="15">
        <v>2076</v>
      </c>
      <c r="C36" s="15">
        <v>2328</v>
      </c>
      <c r="D36" s="15">
        <v>2660</v>
      </c>
      <c r="E36" s="1">
        <v>2521</v>
      </c>
      <c r="F36" s="1">
        <v>2587</v>
      </c>
      <c r="G36" s="1">
        <v>2905</v>
      </c>
      <c r="H36" s="1">
        <v>2903</v>
      </c>
      <c r="I36" s="1">
        <v>3138</v>
      </c>
      <c r="J36" s="1">
        <v>3218</v>
      </c>
      <c r="K36" s="1">
        <v>3202.33827</v>
      </c>
      <c r="L36" s="273">
        <f>(K36-J36)*100/J36</f>
        <v>-0.4866914232442451</v>
      </c>
      <c r="M36" s="50">
        <f>(K36-Z36)*100/Z36</f>
        <v>68.27841671045718</v>
      </c>
      <c r="N36" s="50"/>
      <c r="O36" s="15">
        <v>902</v>
      </c>
      <c r="P36" s="15">
        <v>857</v>
      </c>
      <c r="Q36" s="15">
        <v>926</v>
      </c>
      <c r="R36" s="15">
        <v>1185</v>
      </c>
      <c r="S36" s="15">
        <v>1378</v>
      </c>
      <c r="T36" s="15">
        <v>1513</v>
      </c>
      <c r="U36" s="15">
        <v>1549</v>
      </c>
      <c r="V36" s="15">
        <v>1609</v>
      </c>
      <c r="W36" s="15">
        <v>1657</v>
      </c>
      <c r="X36" s="15">
        <v>1802</v>
      </c>
      <c r="Y36" s="15">
        <v>1765</v>
      </c>
      <c r="Z36" s="15">
        <v>1903</v>
      </c>
      <c r="AA36" s="7"/>
      <c r="AB36" s="3">
        <v>3187150.24</v>
      </c>
      <c r="AC36" s="3">
        <v>48687.83</v>
      </c>
      <c r="AD36" s="100">
        <v>0</v>
      </c>
      <c r="AE36" s="3">
        <f>AB36-AC36-AD36</f>
        <v>3138462.41</v>
      </c>
      <c r="AF36" s="3">
        <f>AE36/1000</f>
        <v>3138.46241</v>
      </c>
      <c r="AH36" s="3">
        <v>3277818.98</v>
      </c>
      <c r="AI36" s="100">
        <v>59848.53</v>
      </c>
      <c r="AJ36" s="100">
        <v>0</v>
      </c>
      <c r="AK36" s="3">
        <f>AH36-AI36-AJ36</f>
        <v>3217970.45</v>
      </c>
      <c r="AL36" s="3">
        <f>AK36/1000</f>
        <v>3217.9704500000003</v>
      </c>
      <c r="AN36" s="3">
        <v>0</v>
      </c>
      <c r="AO36" s="3">
        <v>0</v>
      </c>
      <c r="AP36" s="3">
        <f>SUM(AN36:AO36)</f>
        <v>0</v>
      </c>
      <c r="AR36" s="3">
        <v>3317098.64</v>
      </c>
      <c r="AS36" s="100">
        <v>85714.22</v>
      </c>
      <c r="AT36" s="100">
        <v>29046.15</v>
      </c>
      <c r="AU36" s="3">
        <f>AR36-AS36-AT36</f>
        <v>3202338.27</v>
      </c>
      <c r="AV36" s="3">
        <f>AU36/1000</f>
        <v>3202.33827</v>
      </c>
      <c r="AX36" s="274">
        <v>29046.15</v>
      </c>
      <c r="AY36" s="3">
        <v>0</v>
      </c>
      <c r="AZ36" s="3">
        <f>SUM(AX36:AY36)</f>
        <v>29046.15</v>
      </c>
    </row>
    <row r="37" spans="1:52" ht="12.75">
      <c r="A37" s="1" t="s">
        <v>27</v>
      </c>
      <c r="B37" s="15">
        <v>8663</v>
      </c>
      <c r="C37" s="15">
        <v>8643</v>
      </c>
      <c r="D37" s="15">
        <v>9784</v>
      </c>
      <c r="E37" s="1">
        <v>10600</v>
      </c>
      <c r="F37" s="1">
        <v>11293</v>
      </c>
      <c r="G37" s="1">
        <v>12418</v>
      </c>
      <c r="H37" s="1">
        <v>13270</v>
      </c>
      <c r="I37" s="1">
        <v>13668</v>
      </c>
      <c r="J37" s="1">
        <v>14622</v>
      </c>
      <c r="K37" s="1">
        <v>16225.664009999999</v>
      </c>
      <c r="L37" s="273">
        <f>(K37-J37)*100/J37</f>
        <v>10.967473738202699</v>
      </c>
      <c r="M37" s="50">
        <f>(K37-Z37)*100/Z37</f>
        <v>90.41971611313224</v>
      </c>
      <c r="N37" s="50"/>
      <c r="O37" s="15">
        <v>3562</v>
      </c>
      <c r="P37" s="15">
        <v>3557</v>
      </c>
      <c r="Q37" s="15">
        <v>3872</v>
      </c>
      <c r="R37" s="15">
        <v>4256</v>
      </c>
      <c r="S37" s="15">
        <v>4739</v>
      </c>
      <c r="T37" s="15">
        <v>5239</v>
      </c>
      <c r="U37" s="15">
        <v>5902</v>
      </c>
      <c r="V37" s="15">
        <v>6384</v>
      </c>
      <c r="W37" s="15">
        <v>6712</v>
      </c>
      <c r="X37" s="15">
        <v>7373</v>
      </c>
      <c r="Y37" s="15">
        <v>8329</v>
      </c>
      <c r="Z37" s="15">
        <v>8521</v>
      </c>
      <c r="AA37" s="7"/>
      <c r="AB37" s="3">
        <v>17729194</v>
      </c>
      <c r="AC37" s="3">
        <v>12912.35</v>
      </c>
      <c r="AD37" s="100">
        <v>4048694</v>
      </c>
      <c r="AE37" s="3">
        <f>AB37-AC37-AD37</f>
        <v>13667587.649999999</v>
      </c>
      <c r="AF37" s="3">
        <f>AE37/1000</f>
        <v>13667.587649999998</v>
      </c>
      <c r="AH37" s="3">
        <v>18592977</v>
      </c>
      <c r="AI37" s="100">
        <v>22851</v>
      </c>
      <c r="AJ37" s="100">
        <v>3948202</v>
      </c>
      <c r="AK37" s="3">
        <f>AH37-AI37-AJ37</f>
        <v>14621924</v>
      </c>
      <c r="AL37" s="3">
        <f>AK37/1000</f>
        <v>14621.924</v>
      </c>
      <c r="AN37" s="3">
        <v>3929767</v>
      </c>
      <c r="AO37" s="3">
        <v>18435</v>
      </c>
      <c r="AP37" s="3">
        <f>SUM(AN37:AO37)</f>
        <v>3948202</v>
      </c>
      <c r="AR37" s="3">
        <v>20349320.919999998</v>
      </c>
      <c r="AS37" s="100">
        <v>195680.12</v>
      </c>
      <c r="AT37" s="100">
        <v>3927976.79</v>
      </c>
      <c r="AU37" s="3">
        <f>AR37-AS37-AT37</f>
        <v>16225664.009999998</v>
      </c>
      <c r="AV37" s="3">
        <f>AU37/1000</f>
        <v>16225.664009999999</v>
      </c>
      <c r="AX37" s="274">
        <v>3909125.79</v>
      </c>
      <c r="AY37" s="3">
        <v>18851</v>
      </c>
      <c r="AZ37" s="3">
        <f>SUM(AX37:AY37)</f>
        <v>3927976.79</v>
      </c>
    </row>
    <row r="38" spans="1:52" ht="12.75">
      <c r="A38" s="1" t="s">
        <v>28</v>
      </c>
      <c r="B38" s="15">
        <v>6102</v>
      </c>
      <c r="C38" s="15">
        <v>6712</v>
      </c>
      <c r="D38" s="15">
        <v>7664</v>
      </c>
      <c r="E38" s="1">
        <v>8416</v>
      </c>
      <c r="F38" s="1">
        <v>9151</v>
      </c>
      <c r="G38" s="1">
        <v>10026</v>
      </c>
      <c r="H38" s="1">
        <v>10580</v>
      </c>
      <c r="I38" s="1">
        <v>11209</v>
      </c>
      <c r="J38" s="1">
        <v>11919</v>
      </c>
      <c r="K38" s="1">
        <v>12809.114689999999</v>
      </c>
      <c r="L38" s="273">
        <f>(K38-J38)*100/J38</f>
        <v>7.468031630170304</v>
      </c>
      <c r="M38" s="50">
        <f>(K38-Z38)*100/Z38</f>
        <v>130.6701726994417</v>
      </c>
      <c r="N38" s="50"/>
      <c r="O38" s="15">
        <v>1940</v>
      </c>
      <c r="P38" s="15">
        <v>2249</v>
      </c>
      <c r="Q38" s="15">
        <v>2394</v>
      </c>
      <c r="R38" s="15">
        <v>3065</v>
      </c>
      <c r="S38" s="15">
        <v>3655</v>
      </c>
      <c r="T38" s="15">
        <v>4138</v>
      </c>
      <c r="U38" s="15">
        <v>4705</v>
      </c>
      <c r="V38" s="15">
        <v>4846</v>
      </c>
      <c r="W38" s="15">
        <v>5023</v>
      </c>
      <c r="X38" s="15">
        <v>5223</v>
      </c>
      <c r="Y38" s="15">
        <v>5368</v>
      </c>
      <c r="Z38" s="15">
        <v>5553</v>
      </c>
      <c r="AA38" s="7"/>
      <c r="AB38" s="3">
        <v>11684240</v>
      </c>
      <c r="AC38" s="3">
        <v>25144.25</v>
      </c>
      <c r="AD38" s="100">
        <v>450215.46</v>
      </c>
      <c r="AE38" s="3">
        <f>AB38-AC38-AD38</f>
        <v>11208880.29</v>
      </c>
      <c r="AF38" s="3">
        <f>AE38/1000</f>
        <v>11208.88029</v>
      </c>
      <c r="AH38" s="3">
        <v>12448266</v>
      </c>
      <c r="AI38" s="100">
        <v>23717.21</v>
      </c>
      <c r="AJ38" s="100">
        <v>505722</v>
      </c>
      <c r="AK38" s="3">
        <f>AH38-AI38-AJ38</f>
        <v>11918826.79</v>
      </c>
      <c r="AL38" s="3">
        <f>AK38/1000</f>
        <v>11918.82679</v>
      </c>
      <c r="AN38" s="3">
        <v>497706</v>
      </c>
      <c r="AO38" s="3">
        <v>8016</v>
      </c>
      <c r="AP38" s="3">
        <f>SUM(AN38:AO38)</f>
        <v>505722</v>
      </c>
      <c r="AR38" s="3">
        <v>13316113.659999996</v>
      </c>
      <c r="AS38" s="100">
        <v>35711.36</v>
      </c>
      <c r="AT38" s="100">
        <v>471287.61</v>
      </c>
      <c r="AU38" s="3">
        <f>AR38-AS38-AT38</f>
        <v>12809114.689999998</v>
      </c>
      <c r="AV38" s="3">
        <f>AU38/1000</f>
        <v>12809.114689999999</v>
      </c>
      <c r="AX38" s="274">
        <v>321522.95</v>
      </c>
      <c r="AY38" s="3">
        <v>149764.66</v>
      </c>
      <c r="AZ38" s="3">
        <f>SUM(AX38:AY38)</f>
        <v>471287.61</v>
      </c>
    </row>
    <row r="39" spans="1:52" ht="12.75">
      <c r="A39" s="18" t="s">
        <v>29</v>
      </c>
      <c r="B39" s="15">
        <v>3122</v>
      </c>
      <c r="C39" s="15">
        <v>3286</v>
      </c>
      <c r="D39" s="15">
        <v>3474</v>
      </c>
      <c r="E39" s="1">
        <v>3909</v>
      </c>
      <c r="F39" s="1">
        <v>4495</v>
      </c>
      <c r="G39" s="1">
        <v>5172</v>
      </c>
      <c r="H39" s="1">
        <v>5576</v>
      </c>
      <c r="I39" s="1">
        <v>6012</v>
      </c>
      <c r="J39" s="1">
        <v>6762</v>
      </c>
      <c r="K39" s="1">
        <v>7345.934500000001</v>
      </c>
      <c r="L39" s="273">
        <f>(K39-J39)*100/J39</f>
        <v>8.635529429162988</v>
      </c>
      <c r="M39" s="50">
        <f>(K39-Z39)*100/Z39</f>
        <v>161.7938168210977</v>
      </c>
      <c r="N39" s="50"/>
      <c r="O39" s="15">
        <v>1148</v>
      </c>
      <c r="P39" s="15">
        <v>1350</v>
      </c>
      <c r="Q39" s="15">
        <v>1482</v>
      </c>
      <c r="R39" s="15">
        <v>1651</v>
      </c>
      <c r="S39" s="15">
        <v>1797</v>
      </c>
      <c r="T39" s="15">
        <v>1985</v>
      </c>
      <c r="U39" s="15">
        <v>2123</v>
      </c>
      <c r="V39" s="15">
        <v>2177</v>
      </c>
      <c r="W39" s="15">
        <v>2169</v>
      </c>
      <c r="X39" s="15">
        <v>2329</v>
      </c>
      <c r="Y39" s="15">
        <v>2607</v>
      </c>
      <c r="Z39" s="15">
        <v>2806</v>
      </c>
      <c r="AA39" s="7"/>
      <c r="AB39" s="3">
        <v>6090693</v>
      </c>
      <c r="AC39" s="3">
        <v>14541.87</v>
      </c>
      <c r="AD39" s="115">
        <v>64404.98</v>
      </c>
      <c r="AE39" s="3">
        <f>AB39-AC39-AD39</f>
        <v>6011746.149999999</v>
      </c>
      <c r="AF39" s="3">
        <f>AE39/1000</f>
        <v>6011.746149999999</v>
      </c>
      <c r="AH39" s="3">
        <v>6824109</v>
      </c>
      <c r="AI39" s="115">
        <v>27924.91</v>
      </c>
      <c r="AJ39" s="115">
        <v>34397</v>
      </c>
      <c r="AK39" s="3">
        <f>AH39-AI39-AJ39</f>
        <v>6761787.09</v>
      </c>
      <c r="AL39" s="3">
        <f>AK39/1000</f>
        <v>6761.78709</v>
      </c>
      <c r="AN39" s="3">
        <v>34397.45</v>
      </c>
      <c r="AO39" s="3">
        <v>0</v>
      </c>
      <c r="AP39" s="3">
        <f>SUM(AN39:AO39)</f>
        <v>34397.45</v>
      </c>
      <c r="AR39" s="3">
        <v>7403525.790000001</v>
      </c>
      <c r="AS39" s="115">
        <v>13170.89</v>
      </c>
      <c r="AT39" s="115">
        <v>44420.4</v>
      </c>
      <c r="AU39" s="3">
        <f>AR39-AS39-AT39</f>
        <v>7345934.500000001</v>
      </c>
      <c r="AV39" s="3">
        <f>AU39/1000</f>
        <v>7345.934500000001</v>
      </c>
      <c r="AX39" s="274">
        <v>0</v>
      </c>
      <c r="AY39" s="3">
        <v>44420.4</v>
      </c>
      <c r="AZ39" s="3">
        <f>SUM(AX39:AY39)</f>
        <v>44420.4</v>
      </c>
    </row>
    <row r="40" spans="1:26" ht="12.75">
      <c r="A40" s="1" t="s">
        <v>243</v>
      </c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Y40" s="19"/>
      <c r="Z40" s="19"/>
    </row>
    <row r="41" spans="1:2" ht="12.75">
      <c r="A41" s="1" t="s">
        <v>105</v>
      </c>
      <c r="B41" s="15"/>
    </row>
    <row r="42" spans="1:26" ht="12.75">
      <c r="A42" s="3"/>
      <c r="B42" s="15"/>
      <c r="R42" s="15"/>
      <c r="S42" s="15"/>
      <c r="T42" s="15"/>
      <c r="Z42" s="15"/>
    </row>
    <row r="43" spans="2:26" ht="12.75">
      <c r="B43" s="15"/>
      <c r="R43" s="15"/>
      <c r="S43" s="15"/>
      <c r="T43" s="15"/>
      <c r="Z43" s="15"/>
    </row>
    <row r="44" spans="2:26" ht="12.75">
      <c r="B44" s="15"/>
      <c r="R44" s="15"/>
      <c r="S44" s="15"/>
      <c r="T44" s="15"/>
      <c r="Z44" s="15"/>
    </row>
    <row r="45" spans="2:26" ht="12.75">
      <c r="B45" s="15"/>
      <c r="R45" s="15"/>
      <c r="S45" s="15"/>
      <c r="T45" s="15"/>
      <c r="Z45" s="15"/>
    </row>
    <row r="46" spans="2:26" ht="12.75">
      <c r="B46" s="15"/>
      <c r="R46" s="15"/>
      <c r="S46" s="15"/>
      <c r="T46" s="15"/>
      <c r="Z46" s="15"/>
    </row>
    <row r="47" spans="2:26" ht="12.75">
      <c r="B47" s="15"/>
      <c r="Z47" s="15"/>
    </row>
    <row r="48" spans="2:26" ht="12.75">
      <c r="B48" s="15"/>
      <c r="Z48" s="15"/>
    </row>
    <row r="49" spans="2:26" ht="12.75">
      <c r="B49" s="15"/>
      <c r="Z49" s="15"/>
    </row>
    <row r="50" spans="2:26" ht="12.75">
      <c r="B50" s="15"/>
      <c r="Z50" s="15"/>
    </row>
    <row r="51" spans="2:26" ht="12.75">
      <c r="B51" s="15"/>
      <c r="Z51" s="15"/>
    </row>
    <row r="52" ht="12.75">
      <c r="B52" s="15"/>
    </row>
    <row r="53" ht="12.75">
      <c r="B53" s="15"/>
    </row>
  </sheetData>
  <sheetProtection password="CAF5" sheet="1" objects="1" scenarios="1"/>
  <mergeCells count="7">
    <mergeCell ref="AR6:AV6"/>
    <mergeCell ref="AT8:AT9"/>
    <mergeCell ref="A1:M1"/>
    <mergeCell ref="AB6:AF6"/>
    <mergeCell ref="AH6:AL6"/>
    <mergeCell ref="AJ8:AJ9"/>
    <mergeCell ref="L7:M7"/>
  </mergeCells>
  <printOptions/>
  <pageMargins left="0.48" right="0.54" top="1" bottom="1" header="0.5" footer="0.5"/>
  <pageSetup fitToHeight="1" fitToWidth="1" orientation="landscape" scale="76" r:id="rId1"/>
  <headerFooter alignWithMargins="0">
    <oddFooter>&amp;L&amp;"Lucida Sans,Italic"&amp;10MSDE-DBS  10 / 2007&amp;C- 9 -&amp;R&amp;"Lucida Sans,Italic"&amp;10Selected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2006 10-25-2007 Release</dc:title>
  <dc:subject>12-21-07 release</dc:subject>
  <dc:creator>Hiatt/Finn/Ieng</dc:creator>
  <cp:keywords/>
  <dc:description/>
  <cp:lastModifiedBy>dnaparstek</cp:lastModifiedBy>
  <cp:lastPrinted>2007-12-21T20:36:35Z</cp:lastPrinted>
  <dcterms:created xsi:type="dcterms:W3CDTF">1997-05-28T15:16:37Z</dcterms:created>
  <dcterms:modified xsi:type="dcterms:W3CDTF">2008-01-02T21:15:57Z</dcterms:modified>
  <cp:category/>
  <cp:version/>
  <cp:contentType/>
  <cp:contentStatus/>
</cp:coreProperties>
</file>