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240" windowWidth="12120" windowHeight="9090" tabRatio="865" activeTab="0"/>
  </bookViews>
  <sheets>
    <sheet name="table 1" sheetId="1" r:id="rId1"/>
    <sheet name="table 2a" sheetId="2" r:id="rId2"/>
    <sheet name="table3" sheetId="3" r:id="rId3"/>
    <sheet name="table4" sheetId="4" r:id="rId4"/>
    <sheet name="table5" sheetId="5" r:id="rId5"/>
    <sheet name="table 6" sheetId="6" r:id="rId6"/>
    <sheet name="state1" sheetId="7" r:id="rId7"/>
    <sheet name="state2" sheetId="8" r:id="rId8"/>
    <sheet name="state3" sheetId="9" r:id="rId9"/>
    <sheet name="state4" sheetId="10" r:id="rId10"/>
    <sheet name="fed1" sheetId="11" r:id="rId11"/>
    <sheet name="fed2" sheetId="12" r:id="rId12"/>
    <sheet name="fed3" sheetId="13" r:id="rId13"/>
    <sheet name="fed4" sheetId="14" r:id="rId14"/>
    <sheet name="table9" sheetId="15" r:id="rId15"/>
    <sheet name="table 10" sheetId="16" r:id="rId16"/>
    <sheet name="table11" sheetId="17" r:id="rId17"/>
    <sheet name="table12" sheetId="18" r:id="rId18"/>
    <sheet name="Table 12 Continued" sheetId="19" r:id="rId19"/>
    <sheet name="Sheet1" sheetId="20" r:id="rId20"/>
  </sheets>
  <definedNames>
    <definedName name="_xlnm.Print_Area" localSheetId="10">'fed1'!$A$1:$O$39</definedName>
    <definedName name="_xlnm.Print_Area" localSheetId="11">'fed2'!$A$1:$L$39</definedName>
    <definedName name="_xlnm.Print_Area" localSheetId="12">'fed3'!$A$1:$M$39</definedName>
    <definedName name="_xlnm.Print_Area" localSheetId="6">'state1'!$A$1:$K$39</definedName>
    <definedName name="_xlnm.Print_Area" localSheetId="9">'state4'!$A$1:$J$39</definedName>
    <definedName name="_xlnm.Print_Area" localSheetId="5">'table 6'!$A$1:$P$43</definedName>
    <definedName name="_xlnm.Print_Area" localSheetId="16">'table11'!$A$1:$F$46</definedName>
    <definedName name="_xlnm.Print_Area" localSheetId="2">'table3'!$A$1:$L$42</definedName>
    <definedName name="_xlnm.Print_Area" localSheetId="3">'table4'!$A$1:$K$39</definedName>
  </definedNames>
  <calcPr fullCalcOnLoad="1"/>
</workbook>
</file>

<file path=xl/sharedStrings.xml><?xml version="1.0" encoding="utf-8"?>
<sst xmlns="http://schemas.openxmlformats.org/spreadsheetml/2006/main" count="958" uniqueCount="295">
  <si>
    <t>Total State</t>
  </si>
  <si>
    <t>Allegany</t>
  </si>
  <si>
    <t>Anne Arundel</t>
  </si>
  <si>
    <t>Baltimore City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</si>
  <si>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</si>
  <si>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</si>
  <si>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</si>
  <si>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</si>
  <si>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</si>
  <si>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</si>
  <si>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</si>
  <si>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</si>
  <si>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</si>
  <si>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</si>
  <si>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</si>
  <si>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</si>
  <si>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</si>
  <si>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</si>
  <si>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</si>
  <si>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</si>
  <si>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</si>
  <si>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</si>
  <si>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</si>
  <si>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</si>
  <si>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</si>
  <si>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Formula</t>
  </si>
  <si>
    <t>Technology</t>
  </si>
  <si>
    <t>Care</t>
  </si>
  <si>
    <t>Abuse</t>
  </si>
  <si>
    <t>Nonpublic</t>
  </si>
  <si>
    <t>Placements</t>
  </si>
  <si>
    <t>Gifted</t>
  </si>
  <si>
    <t>and</t>
  </si>
  <si>
    <t>Talented</t>
  </si>
  <si>
    <t>Education</t>
  </si>
  <si>
    <t>School</t>
  </si>
  <si>
    <t>Community</t>
  </si>
  <si>
    <t>Other</t>
  </si>
  <si>
    <t>Food</t>
  </si>
  <si>
    <t>Service</t>
  </si>
  <si>
    <t>Construc-</t>
  </si>
  <si>
    <t>tion</t>
  </si>
  <si>
    <t>Debt</t>
  </si>
  <si>
    <t>Table 7</t>
  </si>
  <si>
    <t>Total</t>
  </si>
  <si>
    <t>State</t>
  </si>
  <si>
    <t>Funds</t>
  </si>
  <si>
    <t>Current Expense Fund</t>
  </si>
  <si>
    <t>Fund</t>
  </si>
  <si>
    <t>Current</t>
  </si>
  <si>
    <t>Expense</t>
  </si>
  <si>
    <t>Federal</t>
  </si>
  <si>
    <t>Miscellaneous</t>
  </si>
  <si>
    <t>Migrants</t>
  </si>
  <si>
    <t>Preschool</t>
  </si>
  <si>
    <t>Act</t>
  </si>
  <si>
    <t>Elementary and Secondary Education Act</t>
  </si>
  <si>
    <t>Title 1</t>
  </si>
  <si>
    <t>Concentration</t>
  </si>
  <si>
    <t>Expenses</t>
  </si>
  <si>
    <t>Even</t>
  </si>
  <si>
    <t>Start</t>
  </si>
  <si>
    <t>Program</t>
  </si>
  <si>
    <t>Basic and</t>
  </si>
  <si>
    <t>Grants</t>
  </si>
  <si>
    <t>Innovative</t>
  </si>
  <si>
    <t>Educational</t>
  </si>
  <si>
    <t>Strategies</t>
  </si>
  <si>
    <t>Literacy</t>
  </si>
  <si>
    <t>Services</t>
  </si>
  <si>
    <t>Individuals with Disabilities Act</t>
  </si>
  <si>
    <t>Basic</t>
  </si>
  <si>
    <t>Tech</t>
  </si>
  <si>
    <t>Prep</t>
  </si>
  <si>
    <t>Nutrition Act</t>
  </si>
  <si>
    <t>National</t>
  </si>
  <si>
    <t>Value of</t>
  </si>
  <si>
    <t>Commodities</t>
  </si>
  <si>
    <t>Food Service Programs</t>
  </si>
  <si>
    <t>Construction</t>
  </si>
  <si>
    <t>Lunch/Child</t>
  </si>
  <si>
    <t>Local</t>
  </si>
  <si>
    <t>Appropriation</t>
  </si>
  <si>
    <t>Non-</t>
  </si>
  <si>
    <t>Revenue</t>
  </si>
  <si>
    <t>revenue</t>
  </si>
  <si>
    <t>Percent from Each Source</t>
  </si>
  <si>
    <t>Revenue and</t>
  </si>
  <si>
    <t>Nonrevenue</t>
  </si>
  <si>
    <t>Table 1</t>
  </si>
  <si>
    <t>Table 2</t>
  </si>
  <si>
    <t>Table 4</t>
  </si>
  <si>
    <t>Table 5</t>
  </si>
  <si>
    <t>Table 6</t>
  </si>
  <si>
    <t>Children's</t>
  </si>
  <si>
    <t>Payments</t>
  </si>
  <si>
    <t>Sales</t>
  </si>
  <si>
    <t>Table 9</t>
  </si>
  <si>
    <t>State Share</t>
  </si>
  <si>
    <t>NOTE:  Audit adjustments are not included</t>
  </si>
  <si>
    <t>Table 10</t>
  </si>
  <si>
    <t>(B)</t>
  </si>
  <si>
    <t>(C)</t>
  </si>
  <si>
    <t>Assessed</t>
  </si>
  <si>
    <t>Valuation</t>
  </si>
  <si>
    <t>(Thousands)</t>
  </si>
  <si>
    <t>Number</t>
  </si>
  <si>
    <t>of Pupils</t>
  </si>
  <si>
    <t>per Pupil</t>
  </si>
  <si>
    <t>per Capita</t>
  </si>
  <si>
    <t>Table 12</t>
  </si>
  <si>
    <t>Table 11</t>
  </si>
  <si>
    <t>All</t>
  </si>
  <si>
    <t xml:space="preserve">Current </t>
  </si>
  <si>
    <t xml:space="preserve">                                         </t>
  </si>
  <si>
    <t>Table 3</t>
  </si>
  <si>
    <t>Cash</t>
  </si>
  <si>
    <t>Other*</t>
  </si>
  <si>
    <t xml:space="preserve">* Included are taxable income, real and public utility property assessments for state purposes, and 50% of personal property assessments for county purposes; public </t>
  </si>
  <si>
    <t xml:space="preserve">  utility shares and one-half semi-annual are excluded.</t>
  </si>
  <si>
    <t>Valuation for</t>
  </si>
  <si>
    <t>Local Purposes</t>
  </si>
  <si>
    <t>Expenses*</t>
  </si>
  <si>
    <t>Table 7 (continued)</t>
  </si>
  <si>
    <t>Table 8</t>
  </si>
  <si>
    <t>Table 8 (continued)</t>
  </si>
  <si>
    <t xml:space="preserve">Infants </t>
  </si>
  <si>
    <t>Toddlers</t>
  </si>
  <si>
    <t>Innovative Programs</t>
  </si>
  <si>
    <t>Schools</t>
  </si>
  <si>
    <t>Adult Education</t>
  </si>
  <si>
    <t>Partnership</t>
  </si>
  <si>
    <t>Near County</t>
  </si>
  <si>
    <t>Lines</t>
  </si>
  <si>
    <t>Agency</t>
  </si>
  <si>
    <t>(Excluding State-Paid Teachers' Retirement)</t>
  </si>
  <si>
    <t>Adult</t>
  </si>
  <si>
    <t xml:space="preserve">Title II - </t>
  </si>
  <si>
    <t xml:space="preserve">Indian </t>
  </si>
  <si>
    <t>Improvement</t>
  </si>
  <si>
    <t>Title II</t>
  </si>
  <si>
    <t>Title III</t>
  </si>
  <si>
    <t>Title XIX</t>
  </si>
  <si>
    <t xml:space="preserve">Part B - </t>
  </si>
  <si>
    <t xml:space="preserve">Part H - </t>
  </si>
  <si>
    <t>National &amp;</t>
  </si>
  <si>
    <t xml:space="preserve">  Non-</t>
  </si>
  <si>
    <t>(Including State-Paid Teachers' Retirement)</t>
  </si>
  <si>
    <t>USDA</t>
  </si>
  <si>
    <t>Job Training</t>
  </si>
  <si>
    <t>State Grant</t>
  </si>
  <si>
    <t>Neglected</t>
  </si>
  <si>
    <t>Delinquent</t>
  </si>
  <si>
    <t>Out of County</t>
  </si>
  <si>
    <t>Living - Foster</t>
  </si>
  <si>
    <t>Student Transportation</t>
  </si>
  <si>
    <t>Other State Revenue</t>
  </si>
  <si>
    <t>Combined Grants</t>
  </si>
  <si>
    <t>Higher Education Act - Advanced Placement Fees</t>
  </si>
  <si>
    <t>Gaining</t>
  </si>
  <si>
    <t>Early</t>
  </si>
  <si>
    <t>Awareness</t>
  </si>
  <si>
    <t xml:space="preserve">and </t>
  </si>
  <si>
    <t>Readiness</t>
  </si>
  <si>
    <t>Sexual</t>
  </si>
  <si>
    <t xml:space="preserve">State Share of Teachers' Retirement </t>
  </si>
  <si>
    <t>Regular Transportation</t>
  </si>
  <si>
    <t>Transportation of Students with Disibilities</t>
  </si>
  <si>
    <t>DHMH-Tobacco Prevention</t>
  </si>
  <si>
    <t>Continuing Education</t>
  </si>
  <si>
    <t>Local      Education Agency</t>
  </si>
  <si>
    <t>Teacher Stipends &amp; Bonuses</t>
  </si>
  <si>
    <t>Reconsitution</t>
  </si>
  <si>
    <t>Hoyer Funds II</t>
  </si>
  <si>
    <t>Hoyer General Funds</t>
  </si>
  <si>
    <t>Smith Island</t>
  </si>
  <si>
    <t>School Boat</t>
  </si>
  <si>
    <t>Foundation Program</t>
  </si>
  <si>
    <t>Local Education Agency</t>
  </si>
  <si>
    <t>Per Student Foundation Program</t>
  </si>
  <si>
    <t>Wealth Per Student</t>
  </si>
  <si>
    <t>Total Foundation Program minus Local Share                 ( S1)</t>
  </si>
  <si>
    <t>Unadjusted Calculation</t>
  </si>
  <si>
    <t>Wealth Per Student - Table 9</t>
  </si>
  <si>
    <t>Minimum Grant</t>
  </si>
  <si>
    <t>Total Grant - Greater of Adjusted or Minimum Calculation</t>
  </si>
  <si>
    <t>Local Appropriations in Dollars</t>
  </si>
  <si>
    <t>Local Appropriations in Percent of Assessed Valuation</t>
  </si>
  <si>
    <t xml:space="preserve">Infants &amp; Toddlers </t>
  </si>
  <si>
    <t>English Language Acquisition</t>
  </si>
  <si>
    <t>Improving Teacher Quality State Grants</t>
  </si>
  <si>
    <t>21st Century Community Learning Centers.</t>
  </si>
  <si>
    <t>TITLE II</t>
  </si>
  <si>
    <t>Part B - Math &amp; Sciences</t>
  </si>
  <si>
    <t xml:space="preserve">Reading </t>
  </si>
  <si>
    <t>First</t>
  </si>
  <si>
    <t>Other Earnings on Investment</t>
  </si>
  <si>
    <t>Unrestricted and Impact Aid Funds</t>
  </si>
  <si>
    <t xml:space="preserve">Charter </t>
  </si>
  <si>
    <t>Carl T. Perkins - Career and Technology</t>
  </si>
  <si>
    <t>Transition to</t>
  </si>
  <si>
    <t>Teaching</t>
  </si>
  <si>
    <t>Public Health Services Act</t>
  </si>
  <si>
    <t>AIDS</t>
  </si>
  <si>
    <t>ROTC Program</t>
  </si>
  <si>
    <t>Social Security Act Medical Assistance</t>
  </si>
  <si>
    <t>Stewart B. McKinney Homeless Assistance</t>
  </si>
  <si>
    <t>Safe and Drug Free Communities</t>
  </si>
  <si>
    <t>ESEA Title X - Javits Gifted and Talented</t>
  </si>
  <si>
    <t>Title X - Fund for Improvement of Education</t>
  </si>
  <si>
    <t xml:space="preserve">Titles VI </t>
  </si>
  <si>
    <t>Total Local Wealth *</t>
  </si>
  <si>
    <t>GCEI - Regional Difference</t>
  </si>
  <si>
    <t>(D)</t>
  </si>
  <si>
    <t>Additional Grant to Adjusted Calculation</t>
  </si>
  <si>
    <t>Appropriation**</t>
  </si>
  <si>
    <r>
      <t xml:space="preserve">*** </t>
    </r>
    <r>
      <rPr>
        <sz val="10"/>
        <rFont val="Arial"/>
        <family val="0"/>
      </rPr>
      <t>Includes the following:  tuition, transportation fees, transfers from school units in other states, and other miscellaneous revenue.</t>
    </r>
  </si>
  <si>
    <r>
      <t>Other</t>
    </r>
    <r>
      <rPr>
        <b/>
        <sz val="10"/>
        <rFont val="Arial"/>
        <family val="2"/>
      </rPr>
      <t>***</t>
    </r>
  </si>
  <si>
    <t>*  Includes revenue from the following funds:  Current Expense, School Construction, Debt Service, and Food Service.</t>
  </si>
  <si>
    <t>Charles*</t>
  </si>
  <si>
    <t>** Nonrevenue includes earnings on investment, rental income, and other miscellaneous receipts, but excludes interfund transfers</t>
  </si>
  <si>
    <t>*** Includes the following:  tuition, transportation fees, transfers from school units in other states, and other miscellaneous revenue</t>
  </si>
  <si>
    <t>Other***</t>
  </si>
  <si>
    <t>revenue**</t>
  </si>
  <si>
    <t>Compensatory Education Formula</t>
  </si>
  <si>
    <t>Other**</t>
  </si>
  <si>
    <t>Baltimore City***</t>
  </si>
  <si>
    <t>*Includes earnings on investments, rental income, and other miscellaneous local revenue.</t>
  </si>
  <si>
    <t>*    Includes revenue to meet principal and interest obligations.</t>
  </si>
  <si>
    <t>**  Includes miscellaneous other revenue.</t>
  </si>
  <si>
    <t>NOTE:  Audit adjustments are not included.</t>
  </si>
  <si>
    <t>Belonging**</t>
  </si>
  <si>
    <t>* Assessed</t>
  </si>
  <si>
    <t>Greater of (S1) or ( S2)</t>
  </si>
  <si>
    <t>**  Excludes Baltimore City Public Schools  $7,726,540.14 appropriated within the Current Expenses Fund,but transferred to Debt Service Fund.</t>
  </si>
  <si>
    <r>
      <t xml:space="preserve">** </t>
    </r>
    <r>
      <rPr>
        <sz val="10"/>
        <rFont val="Arial"/>
        <family val="0"/>
      </rPr>
      <t>Includes the following:  tuition, transportation fees, transfers from school units in other states, and other miscellaneous revenue.</t>
    </r>
  </si>
  <si>
    <r>
      <t>Other</t>
    </r>
    <r>
      <rPr>
        <sz val="10"/>
        <rFont val="WP TypographicSymbols"/>
        <family val="0"/>
      </rPr>
      <t>**</t>
    </r>
  </si>
  <si>
    <t>Enrollment  09-30-2006</t>
  </si>
  <si>
    <t>Total Foundation Program (Enrollment X $6,694)</t>
  </si>
  <si>
    <t>Local Share         ( Local Wealth X .084177%)</t>
  </si>
  <si>
    <t>Minimum State Share = Foundation Progam x .15           (S2)</t>
  </si>
  <si>
    <t>Students        X $3,247</t>
  </si>
  <si>
    <t>(B) X 80%</t>
  </si>
  <si>
    <t>**     Half-time prekindergarten pupils are expressed in full-time equivalents in arriving at per pupil costs.</t>
  </si>
  <si>
    <t>Local Appropriations in Percent of Total Local Wealth</t>
  </si>
  <si>
    <t>Local Appropriations for Public Schools as a Percent of Assessed Valuation and Total Local Wealth</t>
  </si>
  <si>
    <r>
      <t>***</t>
    </r>
    <r>
      <rPr>
        <sz val="10"/>
        <rFont val="Wingdings"/>
        <family val="0"/>
      </rPr>
      <t xml:space="preserve"> </t>
    </r>
    <r>
      <rPr>
        <sz val="10"/>
        <rFont val="Arial"/>
        <family val="2"/>
      </rPr>
      <t>Excerpt from Table 1 Annual Estimates of the Population for Counties of Maryland: April 1, 2000 to July 1, 2008 (CO-EST2008-01-24).</t>
    </r>
  </si>
  <si>
    <t xml:space="preserve">      Source: http:www.census.gov/popest/counties/tables/CO-EST2008-01-24.xls </t>
  </si>
  <si>
    <t xml:space="preserve">                  Release Date: March 19, 2009.</t>
  </si>
  <si>
    <t>Table 12 (Continued)</t>
  </si>
  <si>
    <t>*    Excludes federal revenue and state revenue for food service operations; excludes sale of meals and value of USDA commodities.</t>
  </si>
  <si>
    <t>Revenue from the Federal Government for Maryland Public Schools:  2008 - 2009</t>
  </si>
  <si>
    <t>Adult Ed - English Lit/Civics</t>
  </si>
  <si>
    <t>ESEA I - LEA School System Support</t>
  </si>
  <si>
    <t>ESEA I - LEA State Administration</t>
  </si>
  <si>
    <t>Revenue from the State for Maryland Public School Purposes: 2008 - 2009</t>
  </si>
  <si>
    <t>Guaranteed Tax Base</t>
  </si>
  <si>
    <t>DLLR--MOU</t>
  </si>
  <si>
    <t>Revenue from the State for Maryland Public School Purposes:  2008 - 2009</t>
  </si>
  <si>
    <t>ESEA</t>
  </si>
  <si>
    <t xml:space="preserve">Title IID </t>
  </si>
  <si>
    <t>Title IIIA</t>
  </si>
  <si>
    <t>ARRA</t>
  </si>
  <si>
    <t xml:space="preserve">Part B- </t>
  </si>
  <si>
    <t>State Pass Through</t>
  </si>
  <si>
    <t>OTHER ARRA GRANT FUNDS</t>
  </si>
  <si>
    <t>Foundation Current Expense Formula Aid for Maryland Public Schools:  2008 - 2009</t>
  </si>
  <si>
    <t>SOURCE:  MSDE final calculations for the Major State Aid Programs for Fiscal Year 2009</t>
  </si>
  <si>
    <t>10-31-2007Eligible FARMS Students</t>
  </si>
  <si>
    <t>Grant Adjusted Calculation        @ .7799343</t>
  </si>
  <si>
    <t>Assessed Valuation per Pupil Belonging and per Capita:  State of Maryland:  2008 - 2009</t>
  </si>
  <si>
    <r>
      <t xml:space="preserve">* </t>
    </r>
    <r>
      <rPr>
        <sz val="10"/>
        <rFont val="Wingdings"/>
        <family val="0"/>
      </rPr>
      <t xml:space="preserve">  </t>
    </r>
    <r>
      <rPr>
        <sz val="10"/>
        <rFont val="Arial"/>
        <family val="2"/>
      </rPr>
      <t>Excerpt from Table 1 - County Assessable Base for the Tax year beginning July 1, 2008 -- Maryland State Department of Assessment</t>
    </r>
  </si>
  <si>
    <r>
      <t>July 1, 2008 Population Estimates</t>
    </r>
    <r>
      <rPr>
        <sz val="10"/>
        <rFont val="Arial"/>
        <family val="2"/>
      </rPr>
      <t xml:space="preserve"> ***</t>
    </r>
  </si>
  <si>
    <t xml:space="preserve">        and Taxation.  Base Estimate date: December 8, 2008 , Revised April 2, 2009  -- http://www.dat.state.md.us/sdatweb/stats</t>
  </si>
  <si>
    <t>Revenue from All Sources for Current Expenses*:   Maryland Public Schools:  2008 - 2009</t>
  </si>
  <si>
    <t>Revenue from All Sources* for Maryland Public Schools:  2008 - 2009</t>
  </si>
  <si>
    <t>Revenue from All Sources for School Construction:  Maryland Public Schools:  2008 - 2009</t>
  </si>
  <si>
    <t>Revenue from All Sources for Debt Service*:  Maryland Public Schools:  2008 - 2009</t>
  </si>
  <si>
    <t>Revenue from All Sources for Food Service Operations:  Maryland Public Schools:  2008 - 2009</t>
  </si>
  <si>
    <t>Maryland Public Schools:  2008 - 2009</t>
  </si>
  <si>
    <t xml:space="preserve">***  Baltimore City Public Schools  appropriated $7,543,937 for debt servicing within the Current Expenses Fund; this amount is classified here as local appropriation. </t>
  </si>
  <si>
    <t>**  Excludes Baltimore City Public Schools  $7,543,937 appropriated within the Current Expenses Fund,but transferred to Debt Service Fund.</t>
  </si>
  <si>
    <t>Supplemental Grants</t>
  </si>
  <si>
    <t>Limited English Proficiency</t>
  </si>
  <si>
    <t>Title I School Improvement</t>
  </si>
  <si>
    <t>External Diploma</t>
  </si>
  <si>
    <t>Literacy Works</t>
  </si>
  <si>
    <t>Science / Math Education</t>
  </si>
  <si>
    <t>*  Local Apprppriations for Food Service $328 in Harford County, and $6,736,059 in Prince George's County are included as Other Local Revenue.</t>
  </si>
  <si>
    <t>State Compensatory Education Aid for Maryland Public Schools:  2008 - 2009</t>
  </si>
  <si>
    <t>Disabled Students</t>
  </si>
  <si>
    <t>School Improvement and Revenue Stabilization</t>
  </si>
  <si>
    <t>School Based Health Center Program</t>
  </si>
  <si>
    <t>Foundation Program*</t>
  </si>
  <si>
    <t>Note: * Included Geographic Cost of Education Index (GCEI)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</si>
</sst>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&quot;$&quot;#,##0\ ;\(&quot;$&quot;#,##0\)"/>
    <numFmt numFmtId="170" formatCode="&quot;$&quot;#,##0.00\ ;\(&quot;$&quot;#,##0.00\)"/>
    <numFmt numFmtId="171" formatCode="#,##0.000"/>
    <numFmt numFmtId="172" formatCode="#,##0.0000"/>
    <numFmt numFmtId="173" formatCode="&quot;$&quot;#,##0.0\ ;\(&quot;$&quot;#,##0.0\)"/>
    <numFmt numFmtId="174" formatCode="_(* #,##0.0_);_(* \(#,##0.0\);_(* &quot;-&quot;?_);_(@_)"/>
    <numFmt numFmtId="175" formatCode="0.000%"/>
    <numFmt numFmtId="176" formatCode="0.0000%"/>
    <numFmt numFmtId="177" formatCode="0.00000%"/>
    <numFmt numFmtId="178" formatCode="#,##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??_);_(@_)"/>
    <numFmt numFmtId="188" formatCode="_(&quot;$&quot;* #,##0.000_);_(&quot;$&quot;* \(#,##0.000\);_(&quot;$&quot;* &quot;-&quot;??_);_(@_)"/>
    <numFmt numFmtId="189" formatCode="_(&quot;$&quot;* #,##0.0000_);_(&quot;$&quot;* \(#,##0.0000\);_(&quot;$&quot;* &quot;-&quot;??_);_(@_)"/>
    <numFmt numFmtId="190" formatCode="&quot;$&quot;#,##0"/>
    <numFmt numFmtId="191" formatCode="_(&quot;$&quot;* #,##0.0_);_(&quot;$&quot;* \(#,##0.0\);_(&quot;$&quot;* &quot;-&quot;_);_(@_)"/>
    <numFmt numFmtId="192" formatCode="_(&quot;$&quot;* #,##0.00_);_(&quot;$&quot;* \(#,##0.00\);_(&quot;$&quot;* &quot;-&quot;_);_(@_)"/>
    <numFmt numFmtId="193" formatCode="_(&quot;$&quot;* #,##0.000_);_(&quot;$&quot;* \(#,##0.000\);_(&quot;$&quot;* &quot;-&quot;_);_(@_)"/>
    <numFmt numFmtId="194" formatCode="m/d"/>
    <numFmt numFmtId="195" formatCode="mmmm\ d\,\ yyyy"/>
    <numFmt numFmtId="196" formatCode="_(* #,##0.0000_);_(* \(#,##0.0000\);_(* &quot;-&quot;???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_(* #,##0.00000_);_(* \(#,##0.00000\);_(* &quot;-&quot;?????_);_(@_)"/>
    <numFmt numFmtId="201" formatCode="[$€-2]\ #,##0.00_);[Red]\([$€-2]\ #,##0.00\)"/>
    <numFmt numFmtId="202" formatCode="0.0"/>
    <numFmt numFmtId="203" formatCode="#,##0;[Red]#,##0"/>
  </numFmts>
  <fonts count="47">
    <font>
      <sz val="10"/>
      <name val="Arial"/>
      <family val="0"/>
    </font>
    <font>
      <sz val="10"/>
      <name val="Times New Roman"/>
      <family val="1"/>
    </font>
    <font>
      <b/>
      <sz val="26"/>
      <name val="Arial"/>
      <family val="2"/>
    </font>
    <font>
      <sz val="10"/>
      <name val="Wingdings"/>
      <family val="0"/>
    </font>
    <font>
      <sz val="10"/>
      <name val="WP TypographicSymbols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0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7" fontId="0" fillId="0" borderId="0" xfId="44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0" fillId="0" borderId="13" xfId="0" applyNumberFormat="1" applyBorder="1" applyAlignment="1">
      <alignment/>
    </xf>
    <xf numFmtId="165" fontId="0" fillId="0" borderId="13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7" fontId="0" fillId="0" borderId="0" xfId="44" applyNumberFormat="1" applyFont="1" applyBorder="1" applyAlignment="1">
      <alignment/>
    </xf>
    <xf numFmtId="0" fontId="0" fillId="0" borderId="10" xfId="0" applyBorder="1" applyAlignment="1">
      <alignment horizontal="center"/>
    </xf>
    <xf numFmtId="43" fontId="0" fillId="0" borderId="0" xfId="0" applyNumberFormat="1" applyAlignment="1">
      <alignment/>
    </xf>
    <xf numFmtId="0" fontId="0" fillId="0" borderId="0" xfId="0" applyAlignment="1">
      <alignment/>
    </xf>
    <xf numFmtId="43" fontId="0" fillId="0" borderId="0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3" fontId="0" fillId="0" borderId="13" xfId="42" applyNumberFormat="1" applyFont="1" applyBorder="1" applyAlignment="1">
      <alignment/>
    </xf>
    <xf numFmtId="43" fontId="0" fillId="0" borderId="0" xfId="42" applyNumberFormat="1" applyFont="1" applyAlignment="1">
      <alignment/>
    </xf>
    <xf numFmtId="10" fontId="0" fillId="0" borderId="0" xfId="59" applyNumberFormat="1" applyFont="1" applyAlignment="1">
      <alignment/>
    </xf>
    <xf numFmtId="43" fontId="0" fillId="0" borderId="0" xfId="42" applyFont="1" applyAlignment="1">
      <alignment/>
    </xf>
    <xf numFmtId="0" fontId="2" fillId="0" borderId="0" xfId="0" applyFont="1" applyAlignment="1">
      <alignment/>
    </xf>
    <xf numFmtId="41" fontId="0" fillId="0" borderId="0" xfId="0" applyNumberFormat="1" applyBorder="1" applyAlignment="1">
      <alignment/>
    </xf>
    <xf numFmtId="41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7" fontId="0" fillId="0" borderId="0" xfId="44" applyNumberFormat="1" applyFont="1" applyAlignment="1">
      <alignment/>
    </xf>
    <xf numFmtId="0" fontId="0" fillId="0" borderId="0" xfId="0" applyBorder="1" applyAlignment="1">
      <alignment wrapText="1"/>
    </xf>
    <xf numFmtId="167" fontId="0" fillId="0" borderId="0" xfId="44" applyNumberFormat="1" applyFont="1" applyBorder="1" applyAlignment="1">
      <alignment horizontal="left" indent="2"/>
    </xf>
    <xf numFmtId="0" fontId="0" fillId="0" borderId="12" xfId="0" applyFont="1" applyBorder="1" applyAlignment="1">
      <alignment/>
    </xf>
    <xf numFmtId="49" fontId="0" fillId="0" borderId="0" xfId="44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165" fontId="0" fillId="0" borderId="0" xfId="42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5" fontId="0" fillId="0" borderId="15" xfId="42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167" fontId="5" fillId="0" borderId="0" xfId="44" applyNumberFormat="1" applyFont="1" applyBorder="1" applyAlignment="1">
      <alignment/>
    </xf>
    <xf numFmtId="41" fontId="0" fillId="0" borderId="0" xfId="0" applyNumberFormat="1" applyFill="1" applyBorder="1" applyAlignment="1">
      <alignment/>
    </xf>
    <xf numFmtId="167" fontId="0" fillId="0" borderId="0" xfId="44" applyNumberFormat="1" applyFont="1" applyBorder="1" applyAlignment="1">
      <alignment horizontal="center"/>
    </xf>
    <xf numFmtId="165" fontId="0" fillId="0" borderId="0" xfId="42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44" fontId="0" fillId="0" borderId="0" xfId="44" applyNumberFormat="1" applyFont="1" applyFill="1" applyBorder="1" applyAlignment="1">
      <alignment horizontal="center"/>
    </xf>
    <xf numFmtId="43" fontId="0" fillId="0" borderId="0" xfId="0" applyNumberFormat="1" applyFill="1" applyBorder="1" applyAlignment="1">
      <alignment/>
    </xf>
    <xf numFmtId="43" fontId="0" fillId="0" borderId="0" xfId="0" applyNumberFormat="1" applyFill="1" applyAlignment="1">
      <alignment/>
    </xf>
    <xf numFmtId="0" fontId="7" fillId="0" borderId="0" xfId="0" applyFont="1" applyAlignment="1">
      <alignment/>
    </xf>
    <xf numFmtId="165" fontId="0" fillId="0" borderId="11" xfId="4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5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165" fontId="0" fillId="0" borderId="0" xfId="42" applyNumberFormat="1" applyFont="1" applyFill="1" applyAlignment="1">
      <alignment/>
    </xf>
    <xf numFmtId="165" fontId="0" fillId="0" borderId="0" xfId="42" applyNumberFormat="1" applyFont="1" applyFill="1" applyBorder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165" fontId="0" fillId="0" borderId="11" xfId="0" applyNumberFormat="1" applyBorder="1" applyAlignment="1">
      <alignment/>
    </xf>
    <xf numFmtId="165" fontId="0" fillId="0" borderId="11" xfId="42" applyNumberFormat="1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ont="1" applyFill="1" applyAlignment="1">
      <alignment/>
    </xf>
    <xf numFmtId="167" fontId="0" fillId="0" borderId="0" xfId="44" applyNumberFormat="1" applyFont="1" applyAlignment="1">
      <alignment/>
    </xf>
    <xf numFmtId="167" fontId="0" fillId="0" borderId="0" xfId="44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5" fontId="0" fillId="0" borderId="14" xfId="42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165" fontId="0" fillId="0" borderId="11" xfId="42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44" applyNumberFormat="1" applyFont="1" applyFill="1" applyBorder="1" applyAlignment="1">
      <alignment horizontal="center"/>
    </xf>
    <xf numFmtId="42" fontId="0" fillId="0" borderId="0" xfId="44" applyNumberFormat="1" applyFont="1" applyFill="1" applyBorder="1" applyAlignment="1">
      <alignment horizontal="center"/>
    </xf>
    <xf numFmtId="10" fontId="0" fillId="0" borderId="0" xfId="59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 horizontal="center"/>
    </xf>
    <xf numFmtId="44" fontId="0" fillId="0" borderId="0" xfId="42" applyNumberFormat="1" applyFont="1" applyFill="1" applyBorder="1" applyAlignment="1">
      <alignment horizontal="center"/>
    </xf>
    <xf numFmtId="165" fontId="0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41" fontId="0" fillId="0" borderId="0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41" fontId="0" fillId="0" borderId="13" xfId="0" applyNumberFormat="1" applyFont="1" applyBorder="1" applyAlignment="1">
      <alignment/>
    </xf>
    <xf numFmtId="43" fontId="0" fillId="0" borderId="13" xfId="42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4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14" xfId="42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1" xfId="42" applyNumberFormat="1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167" fontId="0" fillId="0" borderId="0" xfId="44" applyNumberFormat="1" applyFont="1" applyBorder="1" applyAlignment="1">
      <alignment horizontal="center"/>
    </xf>
    <xf numFmtId="10" fontId="0" fillId="0" borderId="0" xfId="59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165" fontId="0" fillId="0" borderId="0" xfId="42" applyNumberFormat="1" applyFont="1" applyBorder="1" applyAlignment="1">
      <alignment horizontal="center"/>
    </xf>
    <xf numFmtId="164" fontId="0" fillId="0" borderId="0" xfId="42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43" fontId="0" fillId="0" borderId="0" xfId="42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3" xfId="42" applyNumberFormat="1" applyFont="1" applyBorder="1" applyAlignment="1">
      <alignment horizontal="center"/>
    </xf>
    <xf numFmtId="165" fontId="0" fillId="0" borderId="13" xfId="42" applyNumberFormat="1" applyFont="1" applyBorder="1" applyAlignment="1">
      <alignment/>
    </xf>
    <xf numFmtId="43" fontId="0" fillId="0" borderId="13" xfId="42" applyNumberFormat="1" applyFont="1" applyBorder="1" applyAlignment="1">
      <alignment/>
    </xf>
    <xf numFmtId="43" fontId="0" fillId="0" borderId="0" xfId="42" applyNumberFormat="1" applyFont="1" applyBorder="1" applyAlignment="1">
      <alignment/>
    </xf>
    <xf numFmtId="42" fontId="0" fillId="0" borderId="0" xfId="44" applyNumberFormat="1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41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11" xfId="42" applyNumberFormat="1" applyFont="1" applyFill="1" applyBorder="1" applyAlignment="1">
      <alignment horizontal="center"/>
    </xf>
    <xf numFmtId="42" fontId="0" fillId="0" borderId="0" xfId="42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165" fontId="0" fillId="0" borderId="0" xfId="42" applyNumberFormat="1" applyFont="1" applyFill="1" applyAlignment="1">
      <alignment/>
    </xf>
    <xf numFmtId="165" fontId="0" fillId="0" borderId="0" xfId="42" applyNumberFormat="1" applyFont="1" applyFill="1" applyAlignment="1" applyProtection="1">
      <alignment/>
      <protection locked="0"/>
    </xf>
    <xf numFmtId="165" fontId="0" fillId="0" borderId="0" xfId="42" applyNumberFormat="1" applyFont="1" applyFill="1" applyBorder="1" applyAlignment="1">
      <alignment/>
    </xf>
    <xf numFmtId="165" fontId="0" fillId="0" borderId="13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 quotePrefix="1">
      <alignment/>
    </xf>
    <xf numFmtId="0" fontId="0" fillId="0" borderId="0" xfId="0" applyFont="1" applyFill="1" applyAlignment="1" quotePrefix="1">
      <alignment/>
    </xf>
    <xf numFmtId="165" fontId="0" fillId="0" borderId="0" xfId="42" applyNumberFormat="1" applyFont="1" applyFill="1" applyBorder="1" applyAlignment="1">
      <alignment horizontal="center"/>
    </xf>
    <xf numFmtId="43" fontId="0" fillId="0" borderId="0" xfId="42" applyNumberFormat="1" applyFont="1" applyFill="1" applyBorder="1" applyAlignment="1">
      <alignment/>
    </xf>
    <xf numFmtId="0" fontId="4" fillId="0" borderId="0" xfId="0" applyFont="1" applyFill="1" applyAlignment="1" quotePrefix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13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67" fontId="0" fillId="0" borderId="0" xfId="44" applyNumberFormat="1" applyFont="1" applyFill="1" applyBorder="1" applyAlignment="1">
      <alignment horizontal="center"/>
    </xf>
    <xf numFmtId="10" fontId="0" fillId="0" borderId="0" xfId="59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 horizontal="center"/>
    </xf>
    <xf numFmtId="164" fontId="0" fillId="0" borderId="0" xfId="42" applyNumberFormat="1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43" fontId="0" fillId="0" borderId="13" xfId="42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65" fontId="0" fillId="0" borderId="0" xfId="42" applyNumberFormat="1" applyFont="1" applyFill="1" applyBorder="1" applyAlignment="1">
      <alignment horizontal="right" vertical="top" wrapText="1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10" fontId="0" fillId="0" borderId="0" xfId="59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3" fontId="0" fillId="0" borderId="0" xfId="42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43" fontId="0" fillId="0" borderId="0" xfId="42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3" fontId="0" fillId="0" borderId="11" xfId="42" applyFont="1" applyFill="1" applyBorder="1" applyAlignment="1">
      <alignment horizontal="center"/>
    </xf>
    <xf numFmtId="167" fontId="0" fillId="0" borderId="0" xfId="44" applyNumberFormat="1" applyFont="1" applyFill="1" applyAlignment="1">
      <alignment horizontal="left" indent="2"/>
    </xf>
    <xf numFmtId="167" fontId="0" fillId="0" borderId="0" xfId="44" applyNumberFormat="1" applyFont="1" applyFill="1" applyBorder="1" applyAlignment="1">
      <alignment horizontal="right"/>
    </xf>
    <xf numFmtId="10" fontId="0" fillId="0" borderId="0" xfId="59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3" fontId="0" fillId="0" borderId="0" xfId="42" applyFont="1" applyFill="1" applyBorder="1" applyAlignment="1">
      <alignment/>
    </xf>
    <xf numFmtId="41" fontId="0" fillId="0" borderId="0" xfId="42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186" fontId="0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1" fontId="0" fillId="0" borderId="13" xfId="42" applyNumberFormat="1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43" fontId="0" fillId="0" borderId="13" xfId="42" applyFont="1" applyFill="1" applyBorder="1" applyAlignment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 horizontal="right"/>
    </xf>
    <xf numFmtId="43" fontId="0" fillId="0" borderId="0" xfId="42" applyFont="1" applyFill="1" applyAlignment="1">
      <alignment/>
    </xf>
    <xf numFmtId="41" fontId="0" fillId="0" borderId="13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42" fontId="0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 horizontal="center" vertical="center" wrapText="1"/>
    </xf>
    <xf numFmtId="167" fontId="0" fillId="0" borderId="0" xfId="44" applyNumberFormat="1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167" fontId="0" fillId="0" borderId="0" xfId="44" applyNumberFormat="1" applyFont="1" applyFill="1" applyBorder="1" applyAlignment="1">
      <alignment horizontal="left" indent="3"/>
    </xf>
    <xf numFmtId="0" fontId="0" fillId="0" borderId="0" xfId="0" applyFont="1" applyFill="1" applyBorder="1" applyAlignment="1">
      <alignment/>
    </xf>
    <xf numFmtId="167" fontId="0" fillId="0" borderId="11" xfId="0" applyNumberFormat="1" applyFont="1" applyBorder="1" applyAlignment="1">
      <alignment horizontal="center"/>
    </xf>
    <xf numFmtId="0" fontId="0" fillId="0" borderId="12" xfId="0" applyFill="1" applyBorder="1" applyAlignment="1">
      <alignment/>
    </xf>
    <xf numFmtId="165" fontId="0" fillId="0" borderId="11" xfId="42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165" fontId="0" fillId="0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41" fontId="0" fillId="0" borderId="0" xfId="0" applyNumberFormat="1" applyFont="1" applyFill="1" applyBorder="1" applyAlignment="1" quotePrefix="1">
      <alignment/>
    </xf>
    <xf numFmtId="41" fontId="0" fillId="0" borderId="0" xfId="0" applyNumberFormat="1" applyFont="1" applyAlignment="1">
      <alignment/>
    </xf>
    <xf numFmtId="165" fontId="5" fillId="0" borderId="0" xfId="42" applyNumberFormat="1" applyFont="1" applyFill="1" applyAlignment="1" applyProtection="1">
      <alignment/>
      <protection locked="0"/>
    </xf>
    <xf numFmtId="41" fontId="5" fillId="0" borderId="0" xfId="0" applyNumberFormat="1" applyFont="1" applyFill="1" applyBorder="1" applyAlignment="1">
      <alignment/>
    </xf>
    <xf numFmtId="41" fontId="11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165" fontId="0" fillId="0" borderId="11" xfId="42" applyNumberFormat="1" applyFont="1" applyBorder="1" applyAlignment="1">
      <alignment horizontal="center"/>
    </xf>
    <xf numFmtId="165" fontId="0" fillId="0" borderId="0" xfId="42" applyNumberFormat="1" applyFont="1" applyFill="1" applyAlignment="1" applyProtection="1">
      <alignment/>
      <protection locked="0"/>
    </xf>
    <xf numFmtId="165" fontId="0" fillId="0" borderId="13" xfId="0" applyNumberFormat="1" applyFont="1" applyBorder="1" applyAlignment="1">
      <alignment/>
    </xf>
    <xf numFmtId="165" fontId="0" fillId="0" borderId="13" xfId="42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 quotePrefix="1">
      <alignment horizontal="right"/>
    </xf>
    <xf numFmtId="41" fontId="0" fillId="0" borderId="0" xfId="0" applyNumberFormat="1" applyFont="1" applyFill="1" applyBorder="1" applyAlignment="1" applyProtection="1">
      <alignment horizontal="center" vertical="center"/>
      <protection locked="0"/>
    </xf>
    <xf numFmtId="41" fontId="0" fillId="0" borderId="0" xfId="0" applyNumberFormat="1" applyFont="1" applyFill="1" applyBorder="1" applyAlignment="1">
      <alignment horizontal="right"/>
    </xf>
    <xf numFmtId="41" fontId="0" fillId="0" borderId="13" xfId="0" applyNumberFormat="1" applyFont="1" applyFill="1" applyBorder="1" applyAlignment="1">
      <alignment/>
    </xf>
    <xf numFmtId="3" fontId="0" fillId="0" borderId="0" xfId="0" applyNumberFormat="1" applyBorder="1" applyAlignment="1" applyProtection="1" quotePrefix="1">
      <alignment horizontal="right"/>
      <protection locked="0"/>
    </xf>
    <xf numFmtId="3" fontId="0" fillId="0" borderId="0" xfId="0" applyNumberFormat="1" applyFont="1" applyBorder="1" applyAlignment="1">
      <alignment/>
    </xf>
    <xf numFmtId="165" fontId="0" fillId="0" borderId="0" xfId="42" applyNumberFormat="1" applyFont="1" applyFill="1" applyBorder="1" applyAlignment="1">
      <alignment/>
    </xf>
    <xf numFmtId="165" fontId="0" fillId="0" borderId="13" xfId="42" applyNumberFormat="1" applyFont="1" applyFill="1" applyBorder="1" applyAlignment="1">
      <alignment/>
    </xf>
    <xf numFmtId="41" fontId="0" fillId="0" borderId="0" xfId="44" applyNumberFormat="1" applyFont="1" applyFill="1" applyAlignment="1" applyProtection="1">
      <alignment/>
      <protection locked="0"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67" fontId="0" fillId="0" borderId="0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165" fontId="0" fillId="0" borderId="0" xfId="42" applyNumberFormat="1" applyFont="1" applyFill="1" applyAlignment="1" applyProtection="1">
      <alignment/>
      <protection locked="0"/>
    </xf>
    <xf numFmtId="43" fontId="0" fillId="0" borderId="0" xfId="42" applyFont="1" applyFill="1" applyAlignment="1" applyProtection="1">
      <alignment/>
      <protection locked="0"/>
    </xf>
    <xf numFmtId="165" fontId="0" fillId="0" borderId="0" xfId="42" applyNumberFormat="1" applyFont="1" applyFill="1" applyBorder="1" applyAlignment="1" applyProtection="1">
      <alignment/>
      <protection locked="0"/>
    </xf>
    <xf numFmtId="41" fontId="0" fillId="0" borderId="0" xfId="42" applyNumberFormat="1" applyFont="1" applyFill="1" applyAlignment="1" applyProtection="1">
      <alignment/>
      <protection locked="0"/>
    </xf>
    <xf numFmtId="165" fontId="0" fillId="0" borderId="13" xfId="42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42" fontId="0" fillId="0" borderId="0" xfId="0" applyNumberFormat="1" applyFont="1" applyFill="1" applyAlignment="1">
      <alignment/>
    </xf>
    <xf numFmtId="41" fontId="0" fillId="0" borderId="13" xfId="0" applyNumberFormat="1" applyFont="1" applyFill="1" applyBorder="1" applyAlignment="1">
      <alignment/>
    </xf>
    <xf numFmtId="41" fontId="0" fillId="0" borderId="0" xfId="0" applyNumberFormat="1" applyFont="1" applyFill="1" applyAlignment="1" applyProtection="1">
      <alignment/>
      <protection locked="0"/>
    </xf>
    <xf numFmtId="41" fontId="0" fillId="0" borderId="13" xfId="0" applyNumberFormat="1" applyFont="1" applyFill="1" applyBorder="1" applyAlignment="1" applyProtection="1">
      <alignment/>
      <protection locked="0"/>
    </xf>
    <xf numFmtId="165" fontId="5" fillId="0" borderId="0" xfId="42" applyNumberFormat="1" applyFont="1" applyFill="1" applyAlignment="1">
      <alignment/>
    </xf>
    <xf numFmtId="165" fontId="5" fillId="0" borderId="13" xfId="42" applyNumberFormat="1" applyFont="1" applyFill="1" applyBorder="1" applyAlignment="1">
      <alignment/>
    </xf>
    <xf numFmtId="167" fontId="5" fillId="0" borderId="0" xfId="44" applyNumberFormat="1" applyFont="1" applyFill="1" applyAlignment="1">
      <alignment/>
    </xf>
    <xf numFmtId="165" fontId="0" fillId="0" borderId="0" xfId="42" applyNumberFormat="1" applyFont="1" applyFill="1" applyAlignment="1" applyProtection="1">
      <alignment horizontal="right"/>
      <protection locked="0"/>
    </xf>
    <xf numFmtId="165" fontId="0" fillId="0" borderId="0" xfId="42" applyNumberFormat="1" applyFont="1" applyFill="1" applyAlignment="1" applyProtection="1">
      <alignment/>
      <protection locked="0"/>
    </xf>
    <xf numFmtId="165" fontId="0" fillId="0" borderId="0" xfId="42" applyNumberFormat="1" applyFont="1" applyFill="1" applyAlignment="1">
      <alignment/>
    </xf>
    <xf numFmtId="165" fontId="0" fillId="0" borderId="0" xfId="42" applyNumberFormat="1" applyFont="1" applyFill="1" applyAlignment="1">
      <alignment horizontal="right" vertical="top"/>
    </xf>
    <xf numFmtId="41" fontId="0" fillId="0" borderId="0" xfId="42" applyNumberFormat="1" applyFont="1" applyFill="1" applyAlignment="1">
      <alignment/>
    </xf>
    <xf numFmtId="41" fontId="0" fillId="0" borderId="13" xfId="42" applyNumberFormat="1" applyFont="1" applyFill="1" applyBorder="1" applyAlignment="1">
      <alignment/>
    </xf>
    <xf numFmtId="167" fontId="5" fillId="0" borderId="0" xfId="44" applyNumberFormat="1" applyFont="1" applyFill="1" applyAlignment="1">
      <alignment horizontal="left" indent="3"/>
    </xf>
    <xf numFmtId="167" fontId="5" fillId="0" borderId="13" xfId="44" applyNumberFormat="1" applyFont="1" applyFill="1" applyBorder="1" applyAlignment="1">
      <alignment horizontal="left" indent="3"/>
    </xf>
    <xf numFmtId="3" fontId="0" fillId="0" borderId="0" xfId="0" applyNumberFormat="1" applyFont="1" applyFill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43" fontId="0" fillId="0" borderId="0" xfId="42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0" xfId="42" applyNumberFormat="1" applyFont="1" applyFill="1" applyAlignment="1" applyProtection="1">
      <alignment horizontal="left" indent="2"/>
      <protection locked="0"/>
    </xf>
    <xf numFmtId="165" fontId="0" fillId="0" borderId="0" xfId="42" applyNumberFormat="1" applyFont="1" applyAlignment="1">
      <alignment/>
    </xf>
    <xf numFmtId="165" fontId="0" fillId="0" borderId="13" xfId="42" applyNumberFormat="1" applyFont="1" applyFill="1" applyBorder="1" applyAlignment="1">
      <alignment horizontal="right" vertical="top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0" xfId="0" applyFont="1" applyBorder="1" applyAlignment="1">
      <alignment wrapText="1"/>
    </xf>
    <xf numFmtId="43" fontId="0" fillId="0" borderId="0" xfId="42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65" fontId="0" fillId="0" borderId="13" xfId="42" applyNumberFormat="1" applyFont="1" applyFill="1" applyBorder="1" applyAlignment="1">
      <alignment horizontal="right"/>
    </xf>
    <xf numFmtId="165" fontId="0" fillId="0" borderId="0" xfId="42" applyNumberFormat="1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7" fontId="0" fillId="0" borderId="0" xfId="44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3" fontId="0" fillId="0" borderId="14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 horizontal="left" indent="2"/>
    </xf>
    <xf numFmtId="3" fontId="0" fillId="0" borderId="0" xfId="0" applyNumberFormat="1" applyFont="1" applyFill="1" applyAlignment="1">
      <alignment horizontal="left" indent="3"/>
    </xf>
    <xf numFmtId="0" fontId="0" fillId="0" borderId="0" xfId="0" applyFont="1" applyFill="1" applyAlignment="1">
      <alignment horizontal="left" indent="3"/>
    </xf>
    <xf numFmtId="165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/>
    </xf>
    <xf numFmtId="37" fontId="0" fillId="0" borderId="0" xfId="44" applyNumberFormat="1" applyFont="1" applyFill="1" applyAlignment="1">
      <alignment/>
    </xf>
    <xf numFmtId="0" fontId="0" fillId="0" borderId="0" xfId="0" applyFont="1" applyAlignment="1">
      <alignment horizontal="centerContinuous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167" fontId="0" fillId="0" borderId="0" xfId="44" applyNumberFormat="1" applyFont="1" applyFill="1" applyAlignment="1">
      <alignment horizontal="left" indent="2"/>
    </xf>
    <xf numFmtId="3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11" xfId="42" applyNumberFormat="1" applyFont="1" applyFill="1" applyBorder="1" applyAlignment="1">
      <alignment horizontal="center"/>
    </xf>
    <xf numFmtId="3" fontId="0" fillId="0" borderId="11" xfId="42" applyNumberFormat="1" applyFont="1" applyFill="1" applyBorder="1" applyAlignment="1">
      <alignment horizontal="center"/>
    </xf>
    <xf numFmtId="42" fontId="0" fillId="0" borderId="0" xfId="44" applyNumberFormat="1" applyFont="1" applyFill="1" applyBorder="1" applyAlignment="1">
      <alignment horizontal="center"/>
    </xf>
    <xf numFmtId="42" fontId="0" fillId="0" borderId="0" xfId="44" applyNumberFormat="1" applyFont="1" applyFill="1" applyBorder="1" applyAlignment="1">
      <alignment horizontal="right"/>
    </xf>
    <xf numFmtId="42" fontId="0" fillId="0" borderId="0" xfId="42" applyNumberFormat="1" applyFont="1" applyFill="1" applyBorder="1" applyAlignment="1">
      <alignment horizontal="center"/>
    </xf>
    <xf numFmtId="42" fontId="0" fillId="0" borderId="0" xfId="0" applyNumberFormat="1" applyFont="1" applyFill="1" applyBorder="1" applyAlignment="1">
      <alignment horizontal="center"/>
    </xf>
    <xf numFmtId="43" fontId="0" fillId="0" borderId="0" xfId="42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42" fontId="0" fillId="0" borderId="0" xfId="0" applyNumberFormat="1" applyFont="1" applyFill="1" applyAlignment="1" applyProtection="1">
      <alignment/>
      <protection locked="0"/>
    </xf>
    <xf numFmtId="43" fontId="0" fillId="0" borderId="13" xfId="42" applyFont="1" applyFill="1" applyBorder="1" applyAlignment="1" applyProtection="1">
      <alignment/>
      <protection locked="0"/>
    </xf>
    <xf numFmtId="167" fontId="0" fillId="0" borderId="0" xfId="44" applyNumberFormat="1" applyFont="1" applyFill="1" applyAlignment="1" applyProtection="1">
      <alignment/>
      <protection locked="0"/>
    </xf>
    <xf numFmtId="44" fontId="0" fillId="0" borderId="0" xfId="44" applyFont="1" applyFill="1" applyBorder="1" applyAlignment="1">
      <alignment/>
    </xf>
    <xf numFmtId="167" fontId="0" fillId="0" borderId="0" xfId="44" applyNumberFormat="1" applyFont="1" applyFill="1" applyBorder="1" applyAlignment="1" applyProtection="1">
      <alignment/>
      <protection locked="0"/>
    </xf>
    <xf numFmtId="44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Alignment="1">
      <alignment/>
    </xf>
    <xf numFmtId="165" fontId="0" fillId="0" borderId="0" xfId="42" applyNumberFormat="1" applyFont="1" applyFill="1" applyAlignment="1">
      <alignment horizontal="center"/>
    </xf>
    <xf numFmtId="165" fontId="0" fillId="0" borderId="0" xfId="42" applyNumberFormat="1" applyFont="1" applyFill="1" applyBorder="1" applyAlignment="1">
      <alignment horizontal="center" wrapText="1"/>
    </xf>
    <xf numFmtId="167" fontId="0" fillId="0" borderId="0" xfId="44" applyNumberFormat="1" applyFont="1" applyFill="1" applyAlignment="1">
      <alignment/>
    </xf>
    <xf numFmtId="42" fontId="0" fillId="0" borderId="0" xfId="44" applyNumberFormat="1" applyFont="1" applyFill="1" applyAlignment="1">
      <alignment/>
    </xf>
    <xf numFmtId="165" fontId="0" fillId="0" borderId="13" xfId="42" applyNumberFormat="1" applyFont="1" applyFill="1" applyBorder="1" applyAlignment="1" applyProtection="1">
      <alignment/>
      <protection locked="0"/>
    </xf>
    <xf numFmtId="42" fontId="0" fillId="0" borderId="0" xfId="44" applyNumberFormat="1" applyFont="1" applyAlignment="1">
      <alignment/>
    </xf>
    <xf numFmtId="169" fontId="0" fillId="0" borderId="0" xfId="0" applyNumberFormat="1" applyFont="1" applyFill="1" applyAlignment="1">
      <alignment/>
    </xf>
    <xf numFmtId="165" fontId="0" fillId="0" borderId="0" xfId="42" applyNumberFormat="1" applyFont="1" applyBorder="1" applyAlignment="1">
      <alignment horizontal="left" indent="2"/>
    </xf>
    <xf numFmtId="165" fontId="1" fillId="0" borderId="0" xfId="0" applyNumberFormat="1" applyFont="1" applyFill="1" applyAlignment="1">
      <alignment/>
    </xf>
    <xf numFmtId="165" fontId="0" fillId="0" borderId="11" xfId="0" applyNumberFormat="1" applyFont="1" applyFill="1" applyBorder="1" applyAlignment="1">
      <alignment/>
    </xf>
    <xf numFmtId="167" fontId="0" fillId="0" borderId="0" xfId="44" applyNumberFormat="1" applyFont="1" applyFill="1" applyAlignment="1">
      <alignment horizontal="right"/>
    </xf>
    <xf numFmtId="0" fontId="0" fillId="0" borderId="0" xfId="0" applyFont="1" applyFill="1" applyBorder="1" applyAlignment="1">
      <alignment horizontal="center" wrapText="1"/>
    </xf>
    <xf numFmtId="43" fontId="0" fillId="0" borderId="0" xfId="44" applyNumberFormat="1" applyFont="1" applyFill="1" applyAlignment="1">
      <alignment/>
    </xf>
    <xf numFmtId="43" fontId="0" fillId="0" borderId="13" xfId="44" applyNumberFormat="1" applyFont="1" applyFill="1" applyBorder="1" applyAlignment="1">
      <alignment/>
    </xf>
    <xf numFmtId="0" fontId="0" fillId="0" borderId="16" xfId="0" applyFont="1" applyBorder="1" applyAlignment="1">
      <alignment horizontal="centerContinuous"/>
    </xf>
    <xf numFmtId="165" fontId="0" fillId="0" borderId="0" xfId="0" applyNumberFormat="1" applyFont="1" applyAlignment="1">
      <alignment/>
    </xf>
    <xf numFmtId="43" fontId="0" fillId="0" borderId="0" xfId="42" applyFont="1" applyFill="1" applyBorder="1" applyAlignment="1">
      <alignment wrapText="1"/>
    </xf>
    <xf numFmtId="42" fontId="0" fillId="0" borderId="0" xfId="44" applyNumberFormat="1" applyFont="1" applyFill="1" applyBorder="1" applyAlignment="1">
      <alignment/>
    </xf>
    <xf numFmtId="41" fontId="0" fillId="0" borderId="0" xfId="44" applyNumberFormat="1" applyFont="1" applyFill="1" applyAlignment="1">
      <alignment/>
    </xf>
    <xf numFmtId="41" fontId="0" fillId="0" borderId="0" xfId="44" applyNumberFormat="1" applyFont="1" applyFill="1" applyAlignment="1">
      <alignment horizontal="center"/>
    </xf>
    <xf numFmtId="165" fontId="0" fillId="0" borderId="0" xfId="0" applyNumberFormat="1" applyFont="1" applyAlignment="1">
      <alignment/>
    </xf>
    <xf numFmtId="167" fontId="0" fillId="0" borderId="0" xfId="44" applyNumberFormat="1" applyFont="1" applyFill="1" applyBorder="1" applyAlignment="1">
      <alignment/>
    </xf>
    <xf numFmtId="49" fontId="0" fillId="0" borderId="0" xfId="44" applyNumberFormat="1" applyFont="1" applyFill="1" applyBorder="1" applyAlignment="1">
      <alignment/>
    </xf>
    <xf numFmtId="167" fontId="0" fillId="0" borderId="0" xfId="44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right" indent="3"/>
    </xf>
    <xf numFmtId="37" fontId="0" fillId="0" borderId="0" xfId="44" applyNumberFormat="1" applyFont="1" applyAlignment="1">
      <alignment/>
    </xf>
    <xf numFmtId="37" fontId="0" fillId="0" borderId="0" xfId="42" applyNumberFormat="1" applyFont="1" applyAlignment="1">
      <alignment/>
    </xf>
    <xf numFmtId="37" fontId="0" fillId="0" borderId="13" xfId="42" applyNumberFormat="1" applyFont="1" applyBorder="1" applyAlignment="1">
      <alignment/>
    </xf>
    <xf numFmtId="37" fontId="0" fillId="0" borderId="0" xfId="44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wrapText="1"/>
    </xf>
    <xf numFmtId="37" fontId="0" fillId="0" borderId="0" xfId="42" applyNumberFormat="1" applyFont="1" applyFill="1" applyBorder="1" applyAlignment="1">
      <alignment/>
    </xf>
    <xf numFmtId="41" fontId="0" fillId="0" borderId="0" xfId="0" applyNumberFormat="1" applyFont="1" applyFill="1" applyAlignment="1" applyProtection="1">
      <alignment horizontal="left"/>
      <protection locked="0"/>
    </xf>
    <xf numFmtId="43" fontId="0" fillId="0" borderId="13" xfId="42" applyNumberFormat="1" applyFont="1" applyFill="1" applyBorder="1" applyAlignment="1" applyProtection="1">
      <alignment/>
      <protection locked="0"/>
    </xf>
    <xf numFmtId="165" fontId="0" fillId="0" borderId="13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7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5" fontId="0" fillId="0" borderId="17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65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43" fontId="0" fillId="0" borderId="10" xfId="42" applyFont="1" applyFill="1" applyBorder="1" applyAlignment="1">
      <alignment horizontal="center"/>
    </xf>
    <xf numFmtId="43" fontId="0" fillId="0" borderId="13" xfId="42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5" fontId="0" fillId="0" borderId="0" xfId="42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3" fontId="0" fillId="0" borderId="0" xfId="0" applyNumberFormat="1" applyFont="1" applyAlignment="1">
      <alignment horizontal="center"/>
    </xf>
    <xf numFmtId="0" fontId="0" fillId="0" borderId="16" xfId="0" applyFont="1" applyFill="1" applyBorder="1" applyAlignment="1">
      <alignment horizontal="center"/>
    </xf>
    <xf numFmtId="165" fontId="0" fillId="0" borderId="0" xfId="42" applyNumberFormat="1" applyFont="1" applyFill="1" applyBorder="1" applyAlignment="1">
      <alignment horizontal="center" vertical="center" wrapText="1"/>
    </xf>
    <xf numFmtId="165" fontId="0" fillId="0" borderId="11" xfId="42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165" fontId="0" fillId="0" borderId="18" xfId="42" applyNumberFormat="1" applyFont="1" applyBorder="1" applyAlignment="1">
      <alignment horizontal="center"/>
    </xf>
    <xf numFmtId="165" fontId="0" fillId="0" borderId="17" xfId="42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5" fontId="0" fillId="0" borderId="14" xfId="4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165" fontId="0" fillId="0" borderId="18" xfId="42" applyNumberFormat="1" applyFont="1" applyFill="1" applyBorder="1" applyAlignment="1">
      <alignment horizontal="center"/>
    </xf>
    <xf numFmtId="165" fontId="0" fillId="0" borderId="17" xfId="42" applyNumberFormat="1" applyFont="1" applyFill="1" applyBorder="1" applyAlignment="1">
      <alignment horizontal="center"/>
    </xf>
    <xf numFmtId="165" fontId="0" fillId="0" borderId="19" xfId="42" applyNumberFormat="1" applyFont="1" applyFill="1" applyBorder="1" applyAlignment="1">
      <alignment horizontal="center"/>
    </xf>
    <xf numFmtId="165" fontId="0" fillId="0" borderId="19" xfId="42" applyNumberFormat="1" applyFont="1" applyBorder="1" applyAlignment="1">
      <alignment horizontal="center"/>
    </xf>
    <xf numFmtId="165" fontId="0" fillId="0" borderId="20" xfId="42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165" fontId="0" fillId="0" borderId="0" xfId="42" applyNumberFormat="1" applyFont="1" applyBorder="1" applyAlignment="1">
      <alignment horizontal="center" wrapText="1"/>
    </xf>
    <xf numFmtId="165" fontId="0" fillId="0" borderId="0" xfId="4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165" fontId="0" fillId="0" borderId="14" xfId="42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center"/>
    </xf>
    <xf numFmtId="44" fontId="0" fillId="0" borderId="0" xfId="44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3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14.140625" style="90" bestFit="1" customWidth="1"/>
    <col min="2" max="2" width="15.57421875" style="90" customWidth="1"/>
    <col min="3" max="3" width="17.7109375" style="90" bestFit="1" customWidth="1"/>
    <col min="4" max="4" width="13.28125" style="90" bestFit="1" customWidth="1"/>
    <col min="5" max="5" width="14.8515625" style="90" bestFit="1" customWidth="1"/>
    <col min="6" max="6" width="15.00390625" style="90" bestFit="1" customWidth="1"/>
    <col min="7" max="7" width="13.28125" style="90" bestFit="1" customWidth="1"/>
    <col min="8" max="8" width="2.7109375" style="90" customWidth="1"/>
    <col min="9" max="12" width="9.140625" style="90" customWidth="1"/>
  </cols>
  <sheetData>
    <row r="1" spans="1:12" ht="12.75">
      <c r="A1" s="390" t="s">
        <v>89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spans="1:12" ht="12.75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</row>
    <row r="3" spans="1:12" ht="12.75">
      <c r="A3" s="392" t="s">
        <v>275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</row>
    <row r="4" spans="1:12" ht="13.5" thickBot="1">
      <c r="A4" s="23"/>
      <c r="B4" s="123"/>
      <c r="C4" s="23"/>
      <c r="D4" s="23"/>
      <c r="E4" s="23"/>
      <c r="F4" s="23"/>
      <c r="G4" s="23"/>
      <c r="H4" s="23"/>
      <c r="I4" s="47"/>
      <c r="J4" s="23"/>
      <c r="K4" s="23"/>
      <c r="L4" s="23"/>
    </row>
    <row r="5" spans="1:60" ht="15" customHeight="1" thickTop="1">
      <c r="A5" s="124" t="s">
        <v>81</v>
      </c>
      <c r="B5" s="125" t="s">
        <v>44</v>
      </c>
      <c r="C5" s="388"/>
      <c r="D5" s="388"/>
      <c r="E5" s="389"/>
      <c r="F5" s="389"/>
      <c r="G5" s="124"/>
      <c r="H5" s="124"/>
      <c r="I5" s="388" t="s">
        <v>86</v>
      </c>
      <c r="J5" s="388"/>
      <c r="K5" s="388"/>
      <c r="L5" s="388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</row>
    <row r="6" spans="1:12" ht="12.75">
      <c r="A6" s="32" t="s">
        <v>34</v>
      </c>
      <c r="B6" s="126" t="s">
        <v>87</v>
      </c>
      <c r="C6" s="387" t="s">
        <v>81</v>
      </c>
      <c r="D6" s="387"/>
      <c r="E6" s="127"/>
      <c r="F6" s="127"/>
      <c r="G6" s="126" t="s">
        <v>83</v>
      </c>
      <c r="H6" s="126"/>
      <c r="I6" s="128"/>
      <c r="J6" s="128"/>
      <c r="K6" s="128"/>
      <c r="L6" s="128" t="s">
        <v>146</v>
      </c>
    </row>
    <row r="7" spans="1:12" ht="13.5" thickBot="1">
      <c r="A7" s="52" t="s">
        <v>134</v>
      </c>
      <c r="B7" s="129" t="s">
        <v>88</v>
      </c>
      <c r="C7" s="49" t="s">
        <v>82</v>
      </c>
      <c r="D7" s="49" t="s">
        <v>236</v>
      </c>
      <c r="E7" s="49" t="s">
        <v>45</v>
      </c>
      <c r="F7" s="49" t="s">
        <v>51</v>
      </c>
      <c r="G7" s="49" t="s">
        <v>85</v>
      </c>
      <c r="H7" s="49"/>
      <c r="I7" s="129" t="s">
        <v>81</v>
      </c>
      <c r="J7" s="129" t="s">
        <v>45</v>
      </c>
      <c r="K7" s="130" t="s">
        <v>51</v>
      </c>
      <c r="L7" s="130" t="s">
        <v>85</v>
      </c>
    </row>
    <row r="8" spans="1:12" ht="12.75">
      <c r="A8" s="32" t="s">
        <v>0</v>
      </c>
      <c r="B8" s="131">
        <f aca="true" t="shared" si="0" ref="B8:G8">SUM(B10:B37)</f>
        <v>13104083618.93</v>
      </c>
      <c r="C8" s="131">
        <f t="shared" si="0"/>
        <v>6293110294.07</v>
      </c>
      <c r="D8" s="131">
        <f t="shared" si="0"/>
        <v>259476057.01</v>
      </c>
      <c r="E8" s="131">
        <f t="shared" si="0"/>
        <v>5698735024.6</v>
      </c>
      <c r="F8" s="131">
        <f t="shared" si="0"/>
        <v>694846711.3199999</v>
      </c>
      <c r="G8" s="131">
        <f t="shared" si="0"/>
        <v>157915531.92999998</v>
      </c>
      <c r="H8" s="131"/>
      <c r="I8" s="132">
        <f>IF(B8&lt;&gt;0,((+C8+D8)/B8),(IF(C8&lt;&gt;0,1,0)))</f>
        <v>0.5000415551083796</v>
      </c>
      <c r="J8" s="132">
        <f>IF($B8&lt;&gt;0,(E8/$B8),(IF(E8&lt;&gt;0,1,0)))</f>
        <v>0.43488237638896604</v>
      </c>
      <c r="K8" s="132">
        <f>IF($B8&lt;&gt;0,(F8/$B8),(IF(F8&lt;&gt;0,1,0)))</f>
        <v>0.05302520431999021</v>
      </c>
      <c r="L8" s="132">
        <f>IF($B8&lt;&gt;0,(G8/$B8),(IF(G8&lt;&gt;0,1,0)))</f>
        <v>0.012050864182664182</v>
      </c>
    </row>
    <row r="9" spans="1:12" ht="12.75">
      <c r="A9" s="133"/>
      <c r="B9" s="134"/>
      <c r="C9" s="134"/>
      <c r="D9" s="30"/>
      <c r="E9" s="128"/>
      <c r="F9" s="128"/>
      <c r="G9" s="128"/>
      <c r="H9" s="128"/>
      <c r="I9" s="135"/>
      <c r="J9" s="135"/>
      <c r="K9" s="135"/>
      <c r="L9" s="135"/>
    </row>
    <row r="10" spans="1:12" ht="12.75">
      <c r="A10" s="23" t="s">
        <v>1</v>
      </c>
      <c r="B10" s="77">
        <f aca="true" t="shared" si="1" ref="B10:B28">SUM(C10:G10)</f>
        <v>146789868.90999997</v>
      </c>
      <c r="C10" s="134">
        <f>'table 2a'!C11+table4!C11+table5!C11</f>
        <v>30681786.13</v>
      </c>
      <c r="D10" s="30">
        <f>'table 2a'!D11+table4!D11+table5!D11+'table 6'!C12+'table 6'!D12+'table 6'!F12</f>
        <v>2305214.81</v>
      </c>
      <c r="E10" s="134">
        <f>'table 2a'!E11+table4!E11+table5!E11+'table 6'!G12</f>
        <v>94288235.33999999</v>
      </c>
      <c r="F10" s="30">
        <f>'table 2a'!F11+table4!F11+table5!F11+'table 6'!I12</f>
        <v>12022444.5</v>
      </c>
      <c r="G10" s="50">
        <f>table4!G11+table5!G11+'table 6'!K12</f>
        <v>7492188.13</v>
      </c>
      <c r="H10" s="136"/>
      <c r="I10" s="137">
        <f>IF(B10&lt;&gt;0,((+C10+D10)/B10*100),(IF(C10&lt;&gt;0,1,0)))</f>
        <v>22.472259962453567</v>
      </c>
      <c r="J10" s="137">
        <f aca="true" t="shared" si="2" ref="J10:L14">IF($B10&lt;&gt;0,(E10/$B10*100),(IF(E10&lt;&gt;0,1,0)))</f>
        <v>64.2334760839729</v>
      </c>
      <c r="K10" s="137">
        <f t="shared" si="2"/>
        <v>8.190241322016044</v>
      </c>
      <c r="L10" s="137">
        <f t="shared" si="2"/>
        <v>5.10402263155751</v>
      </c>
    </row>
    <row r="11" spans="1:12" ht="12.75">
      <c r="A11" s="23" t="s">
        <v>2</v>
      </c>
      <c r="B11" s="77">
        <f t="shared" si="1"/>
        <v>1093873509.4699998</v>
      </c>
      <c r="C11" s="134">
        <f>'table 2a'!C12+table4!C12+table5!C12</f>
        <v>592373709</v>
      </c>
      <c r="D11" s="30">
        <f>'table 2a'!D12+table4!D12+table5!D12+'table 6'!C13+'table 6'!D13+'table 6'!F13</f>
        <v>15466411.07</v>
      </c>
      <c r="E11" s="134">
        <f>'table 2a'!E12+table4!E12+table5!E12+'table 6'!G13</f>
        <v>361689938.21</v>
      </c>
      <c r="F11" s="30">
        <f>'table 2a'!F12+table4!F12+table5!F12+'table 6'!I13</f>
        <v>45403290.18999999</v>
      </c>
      <c r="G11" s="50">
        <f>table4!G12+table5!G12+'table 6'!K13</f>
        <v>78940161</v>
      </c>
      <c r="H11" s="77"/>
      <c r="I11" s="137">
        <f>IF(B11&lt;&gt;0,((+C11+D11)/B11*100),(IF(C11&lt;&gt;0,1,0)))</f>
        <v>55.56767896907101</v>
      </c>
      <c r="J11" s="137">
        <f t="shared" si="2"/>
        <v>33.06506054664811</v>
      </c>
      <c r="K11" s="137">
        <f t="shared" si="2"/>
        <v>4.150689252178586</v>
      </c>
      <c r="L11" s="137">
        <f t="shared" si="2"/>
        <v>7.216571232102316</v>
      </c>
    </row>
    <row r="12" spans="1:12" ht="12.75">
      <c r="A12" s="23" t="s">
        <v>3</v>
      </c>
      <c r="B12" s="77">
        <f t="shared" si="1"/>
        <v>1386803751.2599998</v>
      </c>
      <c r="C12" s="134">
        <f>'table 2a'!C13+table4!C13+table5!C13</f>
        <v>234937378.71</v>
      </c>
      <c r="D12" s="30">
        <f>'table 2a'!D13+table4!D13+table5!D13+'table 6'!C14+'table 6'!D14+'table 6'!F14</f>
        <v>27636495.12</v>
      </c>
      <c r="E12" s="134">
        <f>'table 2a'!E13+table4!E13+table5!E13+'table 6'!G14</f>
        <v>944414991.51</v>
      </c>
      <c r="F12" s="30">
        <f>'table 2a'!F13+table4!F13+table5!F13+'table 6'!I14</f>
        <v>152920948.82</v>
      </c>
      <c r="G12" s="50">
        <f>table4!G13+table5!C13+'table 6'!K14</f>
        <v>26893937.1</v>
      </c>
      <c r="H12" s="77"/>
      <c r="I12" s="137">
        <f>IF(B12&lt;&gt;0,((+C12+D12)/B12*100),(IF(C12&lt;&gt;0,1,0)))</f>
        <v>18.933744128643646</v>
      </c>
      <c r="J12" s="137">
        <f t="shared" si="2"/>
        <v>68.10011803414424</v>
      </c>
      <c r="K12" s="137">
        <f t="shared" si="2"/>
        <v>11.026862934359785</v>
      </c>
      <c r="L12" s="137">
        <f t="shared" si="2"/>
        <v>1.9392749028523424</v>
      </c>
    </row>
    <row r="13" spans="1:12" ht="12.75">
      <c r="A13" s="23" t="s">
        <v>4</v>
      </c>
      <c r="B13" s="77">
        <f t="shared" si="1"/>
        <v>1459834908.0700002</v>
      </c>
      <c r="C13" s="134">
        <f>'table 2a'!C14+table4!C14+table5!C14</f>
        <v>734408168</v>
      </c>
      <c r="D13" s="30">
        <f>'table 2a'!D14+table4!D14+table5!D14+'table 6'!C15+'table 6'!D15+'table 6'!F15</f>
        <v>20644770.93</v>
      </c>
      <c r="E13" s="134">
        <f>'table 2a'!E14+table4!E14+table5!E14+'table 6'!G15</f>
        <v>628952773.2</v>
      </c>
      <c r="F13" s="30">
        <f>'table 2a'!F14+table4!F14+table5!F14+'table 6'!I15</f>
        <v>75829195.93999998</v>
      </c>
      <c r="G13" s="50">
        <f>table4!G14+table5!G14+'table 6'!K15</f>
        <v>0</v>
      </c>
      <c r="H13" s="77"/>
      <c r="I13" s="137">
        <f>IF(B13&lt;&gt;0,((+C13+D13)/B13*100),(IF(C13&lt;&gt;0,1,0)))</f>
        <v>51.7218032502203</v>
      </c>
      <c r="J13" s="137">
        <f t="shared" si="2"/>
        <v>43.08382884414772</v>
      </c>
      <c r="K13" s="137">
        <f t="shared" si="2"/>
        <v>5.194367905631965</v>
      </c>
      <c r="L13" s="137">
        <f t="shared" si="2"/>
        <v>0</v>
      </c>
    </row>
    <row r="14" spans="1:12" ht="12.75">
      <c r="A14" s="23" t="s">
        <v>5</v>
      </c>
      <c r="B14" s="77">
        <f t="shared" si="1"/>
        <v>238818711.94</v>
      </c>
      <c r="C14" s="134">
        <f>'table 2a'!C15+table4!C15+table5!C15</f>
        <v>116448138.03</v>
      </c>
      <c r="D14" s="30">
        <f>'table 2a'!D15+table4!D15+table5!D15+'table 6'!C16+'table 6'!D16+'table 6'!F16</f>
        <v>7267171.01</v>
      </c>
      <c r="E14" s="134">
        <f>'table 2a'!E15+table4!E15+table5!E15+'table 6'!G16</f>
        <v>107035118.84</v>
      </c>
      <c r="F14" s="30">
        <f>'table 2a'!F15+table4!F15+table5!F15+'table 6'!I16</f>
        <v>8068284.06</v>
      </c>
      <c r="G14" s="50">
        <f>table4!G15+table5!G15+'table 6'!K16</f>
        <v>0</v>
      </c>
      <c r="H14" s="77"/>
      <c r="I14" s="137">
        <f>IF(B14&lt;&gt;0,((+C14+D14)/B14*100),(IF(C14&lt;&gt;0,1,0)))</f>
        <v>51.80302164559107</v>
      </c>
      <c r="J14" s="137">
        <f t="shared" si="2"/>
        <v>44.81856466376519</v>
      </c>
      <c r="K14" s="137">
        <f t="shared" si="2"/>
        <v>3.378413690643742</v>
      </c>
      <c r="L14" s="137">
        <f t="shared" si="2"/>
        <v>0</v>
      </c>
    </row>
    <row r="15" spans="1:12" ht="12.75">
      <c r="A15" s="23"/>
      <c r="B15" s="77"/>
      <c r="C15" s="30"/>
      <c r="D15" s="30"/>
      <c r="E15" s="50"/>
      <c r="F15" s="30"/>
      <c r="G15" s="30"/>
      <c r="H15" s="77"/>
      <c r="I15" s="137"/>
      <c r="J15" s="137"/>
      <c r="K15" s="137"/>
      <c r="L15" s="137"/>
    </row>
    <row r="16" spans="1:12" ht="12.75">
      <c r="A16" s="23" t="s">
        <v>6</v>
      </c>
      <c r="B16" s="77">
        <f t="shared" si="1"/>
        <v>72502501.83</v>
      </c>
      <c r="C16" s="134">
        <f>'table 2a'!C17+table4!C17+table5!C17</f>
        <v>13103739.87</v>
      </c>
      <c r="D16" s="30">
        <f>'table 2a'!D17+table4!D17+table5!D17+'table 6'!C18+'table 6'!D18+'table 6'!F18</f>
        <v>3360466.4000000004</v>
      </c>
      <c r="E16" s="134">
        <f>'table 2a'!E17+table4!E17+table5!E17+'table 6'!G18</f>
        <v>50765860.92</v>
      </c>
      <c r="F16" s="30">
        <f>'table 2a'!F17+table4!F17+table5!F17+'table 6'!I18</f>
        <v>5272434.6400000015</v>
      </c>
      <c r="G16" s="50">
        <f>table4!G17+table5!G17+'table 6'!K18</f>
        <v>0</v>
      </c>
      <c r="H16" s="77"/>
      <c r="I16" s="137">
        <f>IF(B16&lt;&gt;0,((+C16+D16)/B16*100),(IF(C16&lt;&gt;0,1,0)))</f>
        <v>22.708466403827543</v>
      </c>
      <c r="J16" s="137">
        <f aca="true" t="shared" si="3" ref="J16:L20">IF($B16&lt;&gt;0,(E16/$B16*100),(IF(E16&lt;&gt;0,1,0)))</f>
        <v>70.01946089947776</v>
      </c>
      <c r="K16" s="137">
        <f t="shared" si="3"/>
        <v>7.272072696694695</v>
      </c>
      <c r="L16" s="137">
        <f t="shared" si="3"/>
        <v>0</v>
      </c>
    </row>
    <row r="17" spans="1:12" ht="12.75">
      <c r="A17" s="23" t="s">
        <v>7</v>
      </c>
      <c r="B17" s="77">
        <f t="shared" si="1"/>
        <v>419304138.8899999</v>
      </c>
      <c r="C17" s="134">
        <f>'table 2a'!C18+table4!C18+table5!C18</f>
        <v>222600627.5</v>
      </c>
      <c r="D17" s="30">
        <f>'table 2a'!D18+table4!D18+table5!D18+'table 6'!C19+'table 6'!D19+'table 6'!F19</f>
        <v>6448427.619999999</v>
      </c>
      <c r="E17" s="134">
        <f>'table 2a'!E18+table4!E18+table5!E18+'table 6'!G19</f>
        <v>176590526.92999998</v>
      </c>
      <c r="F17" s="30">
        <f>'table 2a'!F18+table4!F18+table5!F18+'table 6'!I19</f>
        <v>13157896.65</v>
      </c>
      <c r="G17" s="50">
        <f>table4!G18+table5!G18+'table 6'!K19</f>
        <v>506660.19</v>
      </c>
      <c r="H17" s="77"/>
      <c r="I17" s="137">
        <f>IF(B17&lt;&gt;0,((+C17+D17)/B17*100),(IF(C17&lt;&gt;0,1,0)))</f>
        <v>54.62599432630181</v>
      </c>
      <c r="J17" s="137">
        <f t="shared" si="3"/>
        <v>42.11514043183024</v>
      </c>
      <c r="K17" s="137">
        <f t="shared" si="3"/>
        <v>3.1380316647558395</v>
      </c>
      <c r="L17" s="137">
        <f t="shared" si="3"/>
        <v>0.12083357711212982</v>
      </c>
    </row>
    <row r="18" spans="1:12" ht="12.75">
      <c r="A18" s="23" t="s">
        <v>8</v>
      </c>
      <c r="B18" s="77">
        <f t="shared" si="1"/>
        <v>219059597.81999996</v>
      </c>
      <c r="C18" s="134">
        <f>'table 2a'!C19+table4!C19+table5!C19</f>
        <v>80676398.13</v>
      </c>
      <c r="D18" s="30">
        <f>'table 2a'!D19+table4!D19+table5!D19+'table 6'!C20+'table 6'!D20+'table 6'!F20</f>
        <v>13484991.090000002</v>
      </c>
      <c r="E18" s="134">
        <f>'table 2a'!E19+table4!E19+table5!E19+'table 6'!G20</f>
        <v>113703766.68999998</v>
      </c>
      <c r="F18" s="30">
        <f>'table 2a'!F19+table4!F19+table5!F19+'table 6'!I20</f>
        <v>11194441.909999998</v>
      </c>
      <c r="G18" s="50">
        <f>table4!G19+table5!G19+'table 6'!K20</f>
        <v>0</v>
      </c>
      <c r="H18" s="77"/>
      <c r="I18" s="137">
        <f>IF(B18&lt;&gt;0,((+C18+D18)/B18*100),(IF(C18&lt;&gt;0,1,0)))</f>
        <v>42.9843705352604</v>
      </c>
      <c r="J18" s="137">
        <f t="shared" si="3"/>
        <v>51.905402831712365</v>
      </c>
      <c r="K18" s="137">
        <f t="shared" si="3"/>
        <v>5.11022663302724</v>
      </c>
      <c r="L18" s="137">
        <f t="shared" si="3"/>
        <v>0</v>
      </c>
    </row>
    <row r="19" spans="1:12" ht="12.75">
      <c r="A19" s="23" t="s">
        <v>9</v>
      </c>
      <c r="B19" s="77">
        <f t="shared" si="1"/>
        <v>354611561.54999995</v>
      </c>
      <c r="C19" s="134">
        <f>'table 2a'!C20+table4!C20+table5!C20</f>
        <v>143473677.01</v>
      </c>
      <c r="D19" s="30">
        <f>'table 2a'!D20+table4!D20+table5!D20+'table 6'!C21+'table 6'!D21+'table 6'!F21</f>
        <v>11815325.95</v>
      </c>
      <c r="E19" s="134">
        <f>'table 2a'!E20+table4!E20+table5!E20+'table 6'!G21</f>
        <v>182728165.94</v>
      </c>
      <c r="F19" s="30">
        <f>'table 2a'!F20+table4!F20+table5!F20+'table 6'!I21</f>
        <v>16564392.649999999</v>
      </c>
      <c r="G19" s="50">
        <f>table4!G20+table5!G20+'table 6'!K21</f>
        <v>30000</v>
      </c>
      <c r="H19" s="77"/>
      <c r="I19" s="137">
        <f>IF(B19&lt;&gt;0,((+C19+D19)/B19*100),(IF(C19&lt;&gt;0,1,0)))</f>
        <v>43.791297238373986</v>
      </c>
      <c r="J19" s="137">
        <f t="shared" si="3"/>
        <v>51.52910557718392</v>
      </c>
      <c r="K19" s="137">
        <f t="shared" si="3"/>
        <v>4.671137223388142</v>
      </c>
      <c r="L19" s="137">
        <f t="shared" si="3"/>
        <v>0.008459961053968632</v>
      </c>
    </row>
    <row r="20" spans="1:12" ht="12.75">
      <c r="A20" s="23" t="s">
        <v>10</v>
      </c>
      <c r="B20" s="77">
        <f t="shared" si="1"/>
        <v>77566205.12</v>
      </c>
      <c r="C20" s="134">
        <f>'table 2a'!C21+table4!C21+table5!C21</f>
        <v>26216318</v>
      </c>
      <c r="D20" s="30">
        <f>'table 2a'!D21+table4!D21+table5!D21+'table 6'!C22+'table 6'!D22+'table 6'!F22</f>
        <v>1549625.6</v>
      </c>
      <c r="E20" s="134">
        <f>'table 2a'!E21+table4!E21+table5!E21+'table 6'!G22</f>
        <v>43799900.32</v>
      </c>
      <c r="F20" s="30">
        <f>'table 2a'!F21+table4!F21+table5!F21+'table 6'!I22</f>
        <v>6000361.199999999</v>
      </c>
      <c r="G20" s="50">
        <f>table4!G21+table5!G21+'table 6'!K22</f>
        <v>0</v>
      </c>
      <c r="H20" s="77"/>
      <c r="I20" s="137">
        <f>IF(B20&lt;&gt;0,((+C20+D20)/B20*100),(IF(C20&lt;&gt;0,1,0)))</f>
        <v>35.79644454314126</v>
      </c>
      <c r="J20" s="137">
        <f t="shared" si="3"/>
        <v>56.467762284152855</v>
      </c>
      <c r="K20" s="137">
        <f t="shared" si="3"/>
        <v>7.735793172705881</v>
      </c>
      <c r="L20" s="137">
        <f t="shared" si="3"/>
        <v>0</v>
      </c>
    </row>
    <row r="21" spans="1:12" ht="12.75">
      <c r="A21" s="23"/>
      <c r="B21" s="77"/>
      <c r="C21" s="30"/>
      <c r="D21" s="30"/>
      <c r="E21" s="50"/>
      <c r="F21" s="30"/>
      <c r="G21" s="30"/>
      <c r="H21" s="77"/>
      <c r="I21" s="137"/>
      <c r="J21" s="137"/>
      <c r="K21" s="137"/>
      <c r="L21" s="137"/>
    </row>
    <row r="22" spans="1:12" ht="12.75">
      <c r="A22" s="23" t="s">
        <v>11</v>
      </c>
      <c r="B22" s="77">
        <f t="shared" si="1"/>
        <v>601956872.6500001</v>
      </c>
      <c r="C22" s="134">
        <f>'table 2a'!C23+table4!C23+table5!C23</f>
        <v>321543511.99</v>
      </c>
      <c r="D22" s="30">
        <f>'table 2a'!D23+table4!D23+table5!D23+'table 6'!C24+'table 6'!D24+'table 6'!F24</f>
        <v>11348200.809999999</v>
      </c>
      <c r="E22" s="134">
        <f>'table 2a'!E23+table4!E23+table5!E23+'table 6'!G24</f>
        <v>248608468.36</v>
      </c>
      <c r="F22" s="30">
        <f>'table 2a'!F23+table4!F23+table5!F23+'table 6'!I24</f>
        <v>19167974.489999995</v>
      </c>
      <c r="G22" s="50">
        <f>table4!G23+table5!G23+'table 6'!K24</f>
        <v>1288717</v>
      </c>
      <c r="H22" s="77"/>
      <c r="I22" s="137">
        <f>IF(B22&lt;&gt;0,((+C22+D22)/B22*100),(IF(C22&lt;&gt;0,1,0)))</f>
        <v>55.30158852319567</v>
      </c>
      <c r="J22" s="137">
        <f aca="true" t="shared" si="4" ref="J22:L26">IF($B22&lt;&gt;0,(E22/$B22*100),(IF(E22&lt;&gt;0,1,0)))</f>
        <v>41.300046507575985</v>
      </c>
      <c r="K22" s="137">
        <f t="shared" si="4"/>
        <v>3.1842770405821015</v>
      </c>
      <c r="L22" s="137">
        <f t="shared" si="4"/>
        <v>0.21408792864622836</v>
      </c>
    </row>
    <row r="23" spans="1:12" ht="12.75">
      <c r="A23" s="23" t="s">
        <v>12</v>
      </c>
      <c r="B23" s="77">
        <f t="shared" si="1"/>
        <v>68610902.71</v>
      </c>
      <c r="C23" s="134">
        <f>'table 2a'!C24+table4!C24+table5!C24</f>
        <v>30933978.58</v>
      </c>
      <c r="D23" s="30">
        <f>'table 2a'!D24+table4!D24+table5!D24+'table 6'!C25+'table 6'!D25+'table 6'!F25</f>
        <v>2767948.2299999995</v>
      </c>
      <c r="E23" s="134">
        <f>'table 2a'!E24+table4!E24+table5!E24+'table 6'!G25</f>
        <v>29459063.71</v>
      </c>
      <c r="F23" s="30">
        <f>'table 2a'!F24+table4!F24+table5!F24+'table 6'!I25</f>
        <v>5185791.189999999</v>
      </c>
      <c r="G23" s="50">
        <f>table4!G24+table5!G24+'table 6'!K25</f>
        <v>264121</v>
      </c>
      <c r="H23" s="77"/>
      <c r="I23" s="137">
        <f>IF(B23&lt;&gt;0,((+C23+D23)/B23*100),(IF(C23&lt;&gt;0,1,0)))</f>
        <v>49.12036641238938</v>
      </c>
      <c r="J23" s="137">
        <f t="shared" si="4"/>
        <v>42.93641760481656</v>
      </c>
      <c r="K23" s="137">
        <f t="shared" si="4"/>
        <v>7.558261129311994</v>
      </c>
      <c r="L23" s="137">
        <f t="shared" si="4"/>
        <v>0.38495485348206115</v>
      </c>
    </row>
    <row r="24" spans="1:12" ht="12.75">
      <c r="A24" s="23" t="s">
        <v>13</v>
      </c>
      <c r="B24" s="77">
        <f t="shared" si="1"/>
        <v>601134441.8100001</v>
      </c>
      <c r="C24" s="134">
        <f>'table 2a'!C25+table4!C25+table5!C25+'table 6'!F26</f>
        <v>312807077</v>
      </c>
      <c r="D24" s="30">
        <f>'table 2a'!D25+table4!D25+table5!D25+'table 6'!C26+'table 6'!D26</f>
        <v>11803275.36</v>
      </c>
      <c r="E24" s="134">
        <f>'table 2a'!E25+table4!E25+table5!E25+'table 6'!G26</f>
        <v>250290309.34</v>
      </c>
      <c r="F24" s="30">
        <f>'table 2a'!F25+table4!F25+table5!F25+'table 6'!I26</f>
        <v>21699780.110000003</v>
      </c>
      <c r="G24" s="50">
        <f>table4!G25+table5!G25+'table 6'!K26</f>
        <v>4534000</v>
      </c>
      <c r="H24" s="77"/>
      <c r="I24" s="137">
        <f>IF(B24&lt;&gt;0,((+C24+D24)/B24*100),(IF(C24&lt;&gt;0,1,0)))</f>
        <v>53.99962633693167</v>
      </c>
      <c r="J24" s="137">
        <f t="shared" si="4"/>
        <v>41.6363282373877</v>
      </c>
      <c r="K24" s="137">
        <f t="shared" si="4"/>
        <v>3.6098048291264986</v>
      </c>
      <c r="L24" s="137">
        <f t="shared" si="4"/>
        <v>0.754240596554116</v>
      </c>
    </row>
    <row r="25" spans="1:12" ht="12.75">
      <c r="A25" s="23" t="s">
        <v>14</v>
      </c>
      <c r="B25" s="77">
        <f t="shared" si="1"/>
        <v>822487212.38</v>
      </c>
      <c r="C25" s="134">
        <f>'table 2a'!C26+table4!C26+table5!C26</f>
        <v>522466201</v>
      </c>
      <c r="D25" s="30">
        <f>'table 2a'!D26+table4!D26+table5!D26+'table 6'!C27+'table 6'!D27+'table 6'!F27</f>
        <v>19564961</v>
      </c>
      <c r="E25" s="134">
        <f>'table 2a'!E26+table4!E26+table5!E26+'table 6'!G27</f>
        <v>258724498.88000003</v>
      </c>
      <c r="F25" s="30">
        <f>'table 2a'!F26+table4!F26+table5!F26+'table 6'!I27</f>
        <v>21029382.5</v>
      </c>
      <c r="G25" s="50">
        <f>table4!G26+table5!G26+'table 6'!K27</f>
        <v>702169</v>
      </c>
      <c r="H25" s="77"/>
      <c r="I25" s="137">
        <f>IF(B25&lt;&gt;0,((+C25+D25)/B25*100),(IF(C25&lt;&gt;0,1,0)))</f>
        <v>65.90146981514096</v>
      </c>
      <c r="J25" s="137">
        <f t="shared" si="4"/>
        <v>31.456355185309054</v>
      </c>
      <c r="K25" s="137">
        <f t="shared" si="4"/>
        <v>2.5568035810730816</v>
      </c>
      <c r="L25" s="137">
        <f t="shared" si="4"/>
        <v>0.08537141847690985</v>
      </c>
    </row>
    <row r="26" spans="1:12" ht="12.75">
      <c r="A26" s="23" t="s">
        <v>15</v>
      </c>
      <c r="B26" s="77">
        <f t="shared" si="1"/>
        <v>35824831.95</v>
      </c>
      <c r="C26" s="134">
        <f>'table 2a'!C27+table4!C27+table5!C27</f>
        <v>18923876</v>
      </c>
      <c r="D26" s="30">
        <f>'table 2a'!D27+table4!D27+table5!D27+'table 6'!C28+'table 6'!D28+'table 6'!F28</f>
        <v>873918</v>
      </c>
      <c r="E26" s="134">
        <f>'table 2a'!E27+table4!E27+table5!E27+'table 6'!G28</f>
        <v>12803467.770000001</v>
      </c>
      <c r="F26" s="30">
        <f>'table 2a'!F27+table4!F27+table5!F27+'table 6'!I28</f>
        <v>3223570.1800000006</v>
      </c>
      <c r="G26" s="50">
        <f>table4!G27+table5!G27+'table 6'!K28</f>
        <v>0</v>
      </c>
      <c r="H26" s="77"/>
      <c r="I26" s="137">
        <f>IF(B26&lt;&gt;0,((+C26+D26)/B26*100),(IF(C26&lt;&gt;0,1,0)))</f>
        <v>55.2627686506147</v>
      </c>
      <c r="J26" s="137">
        <f t="shared" si="4"/>
        <v>35.73908675376215</v>
      </c>
      <c r="K26" s="137">
        <f t="shared" si="4"/>
        <v>8.998144595623149</v>
      </c>
      <c r="L26" s="137">
        <f t="shared" si="4"/>
        <v>0</v>
      </c>
    </row>
    <row r="27" spans="1:12" ht="12.75">
      <c r="A27" s="23"/>
      <c r="B27" s="77"/>
      <c r="C27" s="30"/>
      <c r="D27" s="30"/>
      <c r="E27" s="50"/>
      <c r="F27" s="30"/>
      <c r="G27" s="30"/>
      <c r="H27" s="77"/>
      <c r="I27" s="137"/>
      <c r="J27" s="137"/>
      <c r="K27" s="137"/>
      <c r="L27" s="137"/>
    </row>
    <row r="28" spans="1:12" ht="12.75">
      <c r="A28" s="23" t="s">
        <v>16</v>
      </c>
      <c r="B28" s="77">
        <f t="shared" si="1"/>
        <v>2472461913.09</v>
      </c>
      <c r="C28" s="134">
        <f>'table 2a'!C29+table4!C29+table5!C29</f>
        <v>1741788140.48</v>
      </c>
      <c r="D28" s="30">
        <f>'table 2a'!D29+table4!D29+table5!D29+'table 6'!C30+'table 6'!D30+'table 6'!F30</f>
        <v>36323275.29</v>
      </c>
      <c r="E28" s="134">
        <f>'table 2a'!E29+table4!E29+table5!E29+'table 6'!G30</f>
        <v>602350123.73</v>
      </c>
      <c r="F28" s="30">
        <f>'table 2a'!F29+table4!F29+table5!F29+'table 6'!I30</f>
        <v>91700373.59</v>
      </c>
      <c r="G28" s="50">
        <f>table4!G29+table5!G29+'table 6'!K30</f>
        <v>300000</v>
      </c>
      <c r="H28" s="77"/>
      <c r="I28" s="137">
        <f>IF(B28&lt;&gt;0,((+C28+D28)/B28*100),(IF(C28&lt;&gt;0,1,0)))</f>
        <v>71.91663525153258</v>
      </c>
      <c r="J28" s="137">
        <f aca="true" t="shared" si="5" ref="J28:L32">IF($B28&lt;&gt;0,(E28/$B28*100),(IF(E28&lt;&gt;0,1,0)))</f>
        <v>24.36236208699381</v>
      </c>
      <c r="K28" s="137">
        <f t="shared" si="5"/>
        <v>3.70886900641458</v>
      </c>
      <c r="L28" s="137">
        <f t="shared" si="5"/>
        <v>0.012133655059020507</v>
      </c>
    </row>
    <row r="29" spans="1:12" ht="12.75">
      <c r="A29" s="23" t="s">
        <v>17</v>
      </c>
      <c r="B29" s="77">
        <f aca="true" t="shared" si="6" ref="B29:B37">SUM(C29:G29)</f>
        <v>1906607402.59</v>
      </c>
      <c r="C29" s="134">
        <f>'table 2a'!C30+table4!C30+table5!C30+'table 6'!F31</f>
        <v>679955776.81</v>
      </c>
      <c r="D29" s="30">
        <f>'table 2a'!D30+table4!D30+table5!D30+'table 6'!C31+'table 6'!D31</f>
        <v>38063991.379999995</v>
      </c>
      <c r="E29" s="134">
        <f>'table 2a'!E30+table4!E30+table5!E30+'table 6'!G31</f>
        <v>1062592308.04</v>
      </c>
      <c r="F29" s="30">
        <f>'table 2a'!F30+table4!F30+table5!F30+'table 6'!I31</f>
        <v>117995326.35999995</v>
      </c>
      <c r="G29" s="50">
        <f>table4!G30+table5!G30+'table 6'!K31</f>
        <v>8000000</v>
      </c>
      <c r="H29" s="77"/>
      <c r="I29" s="137">
        <f>IF(B29&lt;&gt;0,((+C29+D29)/B29*100),(IF(C29&lt;&gt;0,1,0)))</f>
        <v>37.65955000566019</v>
      </c>
      <c r="J29" s="137">
        <f t="shared" si="5"/>
        <v>55.73209810244829</v>
      </c>
      <c r="K29" s="137">
        <f t="shared" si="5"/>
        <v>6.1887584302731184</v>
      </c>
      <c r="L29" s="137">
        <f t="shared" si="5"/>
        <v>0.4195934616183976</v>
      </c>
    </row>
    <row r="30" spans="1:12" ht="12.75">
      <c r="A30" s="23" t="s">
        <v>18</v>
      </c>
      <c r="B30" s="77">
        <f t="shared" si="6"/>
        <v>107373792.58</v>
      </c>
      <c r="C30" s="134">
        <f>'table 2a'!C31+table4!C31+table5!C31</f>
        <v>58725319.17</v>
      </c>
      <c r="D30" s="30">
        <f>'table 2a'!D31+table4!D31+table5!D31+'table 6'!C32+'table 6'!D32+'table 6'!F32</f>
        <v>2367413.5200000005</v>
      </c>
      <c r="E30" s="134">
        <f>'table 2a'!E31+table4!E31+table5!E31+'table 6'!G32</f>
        <v>40851908.39999999</v>
      </c>
      <c r="F30" s="30">
        <f>'table 2a'!F31+table4!F31+table5!F31+'table 6'!I32</f>
        <v>5429151.49</v>
      </c>
      <c r="G30" s="50">
        <f>table4!G31+table5!G31+'table 6'!K32</f>
        <v>0</v>
      </c>
      <c r="H30" s="77"/>
      <c r="I30" s="137">
        <f>IF(B30&lt;&gt;0,((+C30+D30)/B30*100),(IF(C30&lt;&gt;0,1,0)))</f>
        <v>56.89724766356018</v>
      </c>
      <c r="J30" s="137">
        <f t="shared" si="5"/>
        <v>38.04644263595592</v>
      </c>
      <c r="K30" s="137">
        <f t="shared" si="5"/>
        <v>5.056309700483898</v>
      </c>
      <c r="L30" s="137">
        <f t="shared" si="5"/>
        <v>0</v>
      </c>
    </row>
    <row r="31" spans="1:12" ht="12.75">
      <c r="A31" s="23" t="s">
        <v>19</v>
      </c>
      <c r="B31" s="77">
        <f t="shared" si="6"/>
        <v>230891719.36999997</v>
      </c>
      <c r="C31" s="134">
        <f>'table 2a'!C32+table4!C32+table5!C32</f>
        <v>98805538.92</v>
      </c>
      <c r="D31" s="30">
        <f>'table 2a'!D32+table4!D32+table5!D32+'table 6'!C33+'table 6'!D33+'table 6'!F33</f>
        <v>4570504.83</v>
      </c>
      <c r="E31" s="134">
        <f>'table 2a'!E32+table4!E32+table5!E32+'table 6'!G33</f>
        <v>113887802.08</v>
      </c>
      <c r="F31" s="30">
        <f>'table 2a'!F32+table4!F32+table5!F32+'table 6'!I33</f>
        <v>13598127.66</v>
      </c>
      <c r="G31" s="50">
        <f>table4!G32+table5!G32+'table 6'!K33</f>
        <v>29745.88</v>
      </c>
      <c r="H31" s="77"/>
      <c r="I31" s="137">
        <f>IF(B31&lt;&gt;0,((+C31+D31)/B31*100),(IF(C31&lt;&gt;0,1,0)))</f>
        <v>44.77252109000136</v>
      </c>
      <c r="J31" s="137">
        <f t="shared" si="5"/>
        <v>49.32519987756545</v>
      </c>
      <c r="K31" s="137">
        <f t="shared" si="5"/>
        <v>5.889395989212258</v>
      </c>
      <c r="L31" s="137">
        <f t="shared" si="5"/>
        <v>0.01288304322093628</v>
      </c>
    </row>
    <row r="32" spans="1:12" ht="12.75">
      <c r="A32" s="23" t="s">
        <v>20</v>
      </c>
      <c r="B32" s="77">
        <f t="shared" si="6"/>
        <v>51536655.35</v>
      </c>
      <c r="C32" s="134">
        <f>'table 2a'!C33+table4!C33+table5!C33</f>
        <v>10475586</v>
      </c>
      <c r="D32" s="30">
        <f>'table 2a'!D33+table4!D33+table5!D33+'table 6'!C34+'table 6'!D34+'table 6'!F34</f>
        <v>669097.06</v>
      </c>
      <c r="E32" s="134">
        <f>'table 2a'!E33+table4!E33+table5!E33+'table 6'!G34</f>
        <v>28712942.610000003</v>
      </c>
      <c r="F32" s="30">
        <f>'table 2a'!F33+table4!F33+table5!F33+'table 6'!I34</f>
        <v>6161424.68</v>
      </c>
      <c r="G32" s="50">
        <f>table4!G33+table5!G33+'table 6'!K34</f>
        <v>5517605</v>
      </c>
      <c r="H32" s="77"/>
      <c r="I32" s="137">
        <f>IF(B32&lt;&gt;0,((+C32+D32)/B32*100),(IF(C32&lt;&gt;0,1,0)))</f>
        <v>21.624769757201562</v>
      </c>
      <c r="J32" s="137">
        <f t="shared" si="5"/>
        <v>55.71363220023164</v>
      </c>
      <c r="K32" s="137">
        <f t="shared" si="5"/>
        <v>11.955422093568204</v>
      </c>
      <c r="L32" s="137">
        <f t="shared" si="5"/>
        <v>10.706175948998599</v>
      </c>
    </row>
    <row r="33" spans="1:12" ht="12.75" customHeight="1">
      <c r="A33" s="23"/>
      <c r="B33" s="77"/>
      <c r="C33" s="30"/>
      <c r="D33" s="30"/>
      <c r="E33" s="50"/>
      <c r="F33" s="30"/>
      <c r="G33" s="30"/>
      <c r="H33" s="77"/>
      <c r="I33" s="23"/>
      <c r="J33" s="23"/>
      <c r="K33" s="23"/>
      <c r="L33" s="23"/>
    </row>
    <row r="34" spans="1:12" ht="12.75">
      <c r="A34" s="23" t="s">
        <v>21</v>
      </c>
      <c r="B34" s="77">
        <f t="shared" si="6"/>
        <v>65072828.96</v>
      </c>
      <c r="C34" s="134">
        <f>'table 2a'!C35+table4!C35+table5!C35</f>
        <v>46776832.230000004</v>
      </c>
      <c r="D34" s="30">
        <f>'table 2a'!D35+table4!D35+table5!D35+'table 6'!C36+'table 6'!D36+'table 6'!F36</f>
        <v>1301913.66</v>
      </c>
      <c r="E34" s="134">
        <f>'table 2a'!E35+table4!E35+table5!E35+'table 6'!G36</f>
        <v>13893728.780000001</v>
      </c>
      <c r="F34" s="30">
        <f>'table 2a'!F35+table4!F35+table5!F35+'table 6'!I36</f>
        <v>3100354.29</v>
      </c>
      <c r="G34" s="50">
        <f>table4!G35+table5!G35+'table 6'!K36</f>
        <v>0</v>
      </c>
      <c r="H34" s="77"/>
      <c r="I34" s="137">
        <f>IF(B34&lt;&gt;0,((+C34+D34)/B34*100),(IF(C34&lt;&gt;0,1,0)))</f>
        <v>73.88451779091056</v>
      </c>
      <c r="J34" s="137">
        <f aca="true" t="shared" si="7" ref="J34:L37">IF($B34&lt;&gt;0,(E34/$B34*100),(IF(E34&lt;&gt;0,1,0)))</f>
        <v>21.351044671102926</v>
      </c>
      <c r="K34" s="137">
        <f t="shared" si="7"/>
        <v>4.764437537986515</v>
      </c>
      <c r="L34" s="137">
        <f t="shared" si="7"/>
        <v>0</v>
      </c>
    </row>
    <row r="35" spans="1:12" ht="12.75">
      <c r="A35" s="23" t="s">
        <v>22</v>
      </c>
      <c r="B35" s="77">
        <f t="shared" si="6"/>
        <v>288551262.6399999</v>
      </c>
      <c r="C35" s="134">
        <f>'table 2a'!C36+table4!C36+table5!C36</f>
        <v>100492776</v>
      </c>
      <c r="D35" s="30">
        <f>'table 2a'!D36+table4!D36+table5!D36+'table 6'!C37+'table 6'!D37+'table 6'!F37</f>
        <v>5775589.4399999995</v>
      </c>
      <c r="E35" s="134">
        <f>'table 2a'!E36+table4!E36+table5!E36+'table 6'!G37</f>
        <v>164893807.1</v>
      </c>
      <c r="F35" s="30">
        <f>'table 2a'!F36+table4!F36+table5!F36+'table 6'!I37</f>
        <v>17383342.950000003</v>
      </c>
      <c r="G35" s="50">
        <f>table4!G36+table5!G36+'table 6'!K37</f>
        <v>5747.15</v>
      </c>
      <c r="H35" s="77"/>
      <c r="I35" s="137">
        <f>IF(B35&lt;&gt;0,((+C35+D35)/B35*100),(IF(C35&lt;&gt;0,1,0)))</f>
        <v>36.828244821296</v>
      </c>
      <c r="J35" s="137">
        <f t="shared" si="7"/>
        <v>57.14541173424824</v>
      </c>
      <c r="K35" s="137">
        <f t="shared" si="7"/>
        <v>6.024351718636447</v>
      </c>
      <c r="L35" s="137">
        <f t="shared" si="7"/>
        <v>0.0019917258193287526</v>
      </c>
    </row>
    <row r="36" spans="1:12" ht="12.75">
      <c r="A36" s="23" t="s">
        <v>23</v>
      </c>
      <c r="B36" s="77">
        <f t="shared" si="6"/>
        <v>241545137.40999997</v>
      </c>
      <c r="C36" s="134">
        <f>'table 2a'!C37+table4!C37+table5!C37</f>
        <v>50204655</v>
      </c>
      <c r="D36" s="30">
        <f>'table 2a'!D37+table4!D37+table5!D37+'table 6'!C38+'table 6'!D38+'table 6'!F38</f>
        <v>12192165.35</v>
      </c>
      <c r="E36" s="134">
        <f>'table 2a'!E37+table4!E37+table5!E37+'table 6'!G38</f>
        <v>140794557.58999997</v>
      </c>
      <c r="F36" s="30">
        <f>'table 2a'!F37+table4!F37+table5!F37+'table 6'!I38</f>
        <v>14943278.989999998</v>
      </c>
      <c r="G36" s="50">
        <f>table4!G37+table5!G37+'table 6'!K38</f>
        <v>23410480.48</v>
      </c>
      <c r="H36" s="77"/>
      <c r="I36" s="137">
        <f>IF(B36&lt;&gt;0,((+C36+D36)/B36*100),(IF(C36&lt;&gt;0,1,0)))</f>
        <v>25.83236450920033</v>
      </c>
      <c r="J36" s="137">
        <f t="shared" si="7"/>
        <v>58.289129352670244</v>
      </c>
      <c r="K36" s="137">
        <f t="shared" si="7"/>
        <v>6.1865368726654175</v>
      </c>
      <c r="L36" s="137">
        <f t="shared" si="7"/>
        <v>9.691969265464007</v>
      </c>
    </row>
    <row r="37" spans="1:12" ht="12.75">
      <c r="A37" s="31" t="s">
        <v>24</v>
      </c>
      <c r="B37" s="138">
        <f t="shared" si="6"/>
        <v>140863890.58</v>
      </c>
      <c r="C37" s="139">
        <f>'table 2a'!C38+table4!C38+table5!C38</f>
        <v>104291084.51</v>
      </c>
      <c r="D37" s="28">
        <f>'table 2a'!D38+table4!D38+table5!D38+'table 6'!C39+'table 6'!D39+'table 6'!F39</f>
        <v>1874903.48</v>
      </c>
      <c r="E37" s="139">
        <f>'table 2a'!E38+table4!E38+table5!E38+'table 6'!G39</f>
        <v>26902760.31</v>
      </c>
      <c r="F37" s="28">
        <f>'table 2a'!F38+table4!F38+table5!F38+'table 6'!I39</f>
        <v>7795142.28</v>
      </c>
      <c r="G37" s="140">
        <f>table4!G38+table5!G38+'table 6'!K39</f>
        <v>0</v>
      </c>
      <c r="H37" s="138"/>
      <c r="I37" s="141">
        <f>IF(B37&lt;&gt;0,((+C37+D37)/B37*100),(IF(C37&lt;&gt;0,1,0)))</f>
        <v>75.36778059506015</v>
      </c>
      <c r="J37" s="141">
        <f t="shared" si="7"/>
        <v>19.098407831296743</v>
      </c>
      <c r="K37" s="141">
        <f t="shared" si="7"/>
        <v>5.533811573643105</v>
      </c>
      <c r="L37" s="141">
        <f t="shared" si="7"/>
        <v>0</v>
      </c>
    </row>
    <row r="38" spans="2:13" ht="12.75">
      <c r="B38" s="83"/>
      <c r="C38" s="166"/>
      <c r="D38" s="83"/>
      <c r="E38" s="83"/>
      <c r="F38" s="83"/>
      <c r="G38" s="83"/>
      <c r="H38" s="83"/>
      <c r="I38" s="167"/>
      <c r="J38" s="167"/>
      <c r="K38" s="167"/>
      <c r="L38" s="167"/>
      <c r="M38" s="83"/>
    </row>
    <row r="39" spans="1:13" ht="12.75">
      <c r="A39" s="165" t="s">
        <v>218</v>
      </c>
      <c r="B39" s="83"/>
      <c r="C39" s="83"/>
      <c r="D39" s="83"/>
      <c r="E39" s="83"/>
      <c r="F39" s="83"/>
      <c r="G39" s="83"/>
      <c r="H39" s="83"/>
      <c r="I39" s="167"/>
      <c r="J39" s="167"/>
      <c r="K39" s="167"/>
      <c r="L39" s="167"/>
      <c r="M39" s="83"/>
    </row>
    <row r="40" spans="1:13" ht="12.75">
      <c r="A40" s="168" t="s">
        <v>235</v>
      </c>
      <c r="B40" s="83"/>
      <c r="C40" s="83"/>
      <c r="D40" s="83"/>
      <c r="E40" s="83"/>
      <c r="F40" s="83"/>
      <c r="G40" s="83"/>
      <c r="H40" s="83"/>
      <c r="I40" s="167"/>
      <c r="J40" s="167"/>
      <c r="K40" s="167"/>
      <c r="L40" s="167"/>
      <c r="M40" s="83"/>
    </row>
    <row r="41" spans="1:12" ht="12.75">
      <c r="A41" s="122"/>
      <c r="I41" s="142"/>
      <c r="J41" s="142"/>
      <c r="K41" s="142"/>
      <c r="L41" s="142"/>
    </row>
    <row r="42" spans="9:12" ht="12.75">
      <c r="I42" s="94"/>
      <c r="J42" s="94"/>
      <c r="K42" s="94"/>
      <c r="L42" s="94"/>
    </row>
    <row r="43" spans="9:12" ht="12.75">
      <c r="I43" s="94"/>
      <c r="J43" s="94"/>
      <c r="K43" s="94"/>
      <c r="L43" s="94"/>
    </row>
  </sheetData>
  <sheetProtection password="CAF5" sheet="1"/>
  <mergeCells count="6">
    <mergeCell ref="C6:D6"/>
    <mergeCell ref="C5:F5"/>
    <mergeCell ref="I5:L5"/>
    <mergeCell ref="A1:L1"/>
    <mergeCell ref="A2:L2"/>
    <mergeCell ref="A3:L3"/>
  </mergeCells>
  <printOptions horizontalCentered="1"/>
  <pageMargins left="0.59" right="0.56" top="0.83" bottom="1" header="0.67" footer="0.5"/>
  <pageSetup fitToHeight="1" fitToWidth="1" horizontalDpi="600" verticalDpi="600" orientation="landscape" scale="89" r:id="rId1"/>
  <headerFooter scaleWithDoc="0">
    <oddHeader>&amp;C
</oddHeader>
    <oddFooter>&amp;L&amp;"Arial,Italic"&amp;9MSDE-LFRO 09 / 2010&amp;C- 1 -&amp;R&amp;"Arial,Italic"&amp;9Selected Financial Data-Part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workbookViewId="0" topLeftCell="D1">
      <selection activeCell="F7" sqref="F7"/>
    </sheetView>
  </sheetViews>
  <sheetFormatPr defaultColWidth="9.140625" defaultRowHeight="12.75"/>
  <cols>
    <col min="1" max="1" width="21.8515625" style="0" customWidth="1"/>
    <col min="2" max="2" width="14.8515625" style="0" customWidth="1"/>
    <col min="3" max="3" width="5.421875" style="0" customWidth="1"/>
    <col min="4" max="4" width="18.28125" style="0" customWidth="1"/>
    <col min="5" max="5" width="5.140625" style="0" customWidth="1"/>
    <col min="6" max="6" width="18.00390625" style="0" customWidth="1"/>
    <col min="7" max="7" width="8.140625" style="0" customWidth="1"/>
    <col min="8" max="8" width="11.28125" style="0" customWidth="1"/>
    <col min="9" max="9" width="8.00390625" style="0" customWidth="1"/>
    <col min="10" max="10" width="11.28125" style="0" bestFit="1" customWidth="1"/>
  </cols>
  <sheetData>
    <row r="1" spans="1:10" ht="12.75">
      <c r="A1" s="397" t="s">
        <v>123</v>
      </c>
      <c r="B1" s="397"/>
      <c r="C1" s="397"/>
      <c r="D1" s="397"/>
      <c r="E1" s="397"/>
      <c r="F1" s="397"/>
      <c r="G1" s="397"/>
      <c r="H1" s="397"/>
      <c r="I1" s="397"/>
      <c r="J1" s="397"/>
    </row>
    <row r="3" spans="1:10" ht="12.75">
      <c r="A3" s="392" t="s">
        <v>258</v>
      </c>
      <c r="B3" s="396"/>
      <c r="C3" s="396"/>
      <c r="D3" s="396"/>
      <c r="E3" s="396"/>
      <c r="F3" s="396"/>
      <c r="G3" s="396"/>
      <c r="H3" s="396"/>
      <c r="I3" s="396"/>
      <c r="J3" s="396"/>
    </row>
    <row r="4" spans="1:10" ht="13.5" thickBo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5" ht="15" customHeight="1" thickTop="1">
      <c r="A5" s="3"/>
      <c r="B5" s="43" t="s">
        <v>114</v>
      </c>
      <c r="C5" s="43"/>
      <c r="D5" s="461"/>
      <c r="E5" s="461"/>
      <c r="F5" s="461"/>
      <c r="G5" s="461"/>
      <c r="H5" s="461"/>
      <c r="I5" s="4"/>
      <c r="K5" s="3"/>
      <c r="L5" s="3"/>
      <c r="M5" s="3"/>
      <c r="N5" s="3"/>
      <c r="O5" s="3"/>
    </row>
    <row r="6" spans="1:15" ht="12.75">
      <c r="A6" s="3" t="s">
        <v>81</v>
      </c>
      <c r="B6" s="461" t="s">
        <v>38</v>
      </c>
      <c r="C6" s="461"/>
      <c r="D6" s="461"/>
      <c r="E6" s="461"/>
      <c r="F6" s="4" t="s">
        <v>35</v>
      </c>
      <c r="G6" s="4"/>
      <c r="H6" s="4"/>
      <c r="I6" s="4"/>
      <c r="J6" s="4" t="s">
        <v>42</v>
      </c>
      <c r="K6" s="3"/>
      <c r="L6" s="3"/>
      <c r="M6" s="3"/>
      <c r="N6" s="3"/>
      <c r="O6" s="3"/>
    </row>
    <row r="7" spans="1:15" ht="12.75">
      <c r="A7" s="3" t="s">
        <v>34</v>
      </c>
      <c r="B7" s="461" t="s">
        <v>39</v>
      </c>
      <c r="C7" s="461"/>
      <c r="D7" s="461"/>
      <c r="E7" s="461"/>
      <c r="F7" s="4" t="s">
        <v>79</v>
      </c>
      <c r="G7" s="4"/>
      <c r="H7" s="4"/>
      <c r="I7" s="4"/>
      <c r="J7" s="4" t="s">
        <v>39</v>
      </c>
      <c r="K7" s="3"/>
      <c r="L7" s="3"/>
      <c r="M7" s="3"/>
      <c r="N7" s="3"/>
      <c r="O7" s="3"/>
    </row>
    <row r="8" spans="1:10" ht="13.5" thickBot="1">
      <c r="A8" s="7" t="s">
        <v>134</v>
      </c>
      <c r="B8" s="462" t="s">
        <v>48</v>
      </c>
      <c r="C8" s="462"/>
      <c r="D8" s="462"/>
      <c r="E8" s="462"/>
      <c r="F8" s="8" t="s">
        <v>48</v>
      </c>
      <c r="G8" s="8"/>
      <c r="H8" s="8"/>
      <c r="I8" s="8"/>
      <c r="J8" s="8" t="s">
        <v>48</v>
      </c>
    </row>
    <row r="9" spans="1:10" ht="12.75">
      <c r="A9" s="3" t="s">
        <v>0</v>
      </c>
      <c r="B9" s="331">
        <f>SUM(B11:B38)</f>
        <v>7309643.090000001</v>
      </c>
      <c r="C9" s="276"/>
      <c r="D9" s="283"/>
      <c r="E9" s="276"/>
      <c r="F9" s="331">
        <f>SUM(F11:F38)</f>
        <v>349391237.64000005</v>
      </c>
      <c r="G9" s="222"/>
      <c r="H9" s="222"/>
      <c r="I9" s="222"/>
      <c r="J9" s="222">
        <f>SUM(J11:J38)</f>
        <v>0</v>
      </c>
    </row>
    <row r="10" spans="1:10" ht="12.75">
      <c r="A10" s="3"/>
      <c r="B10" s="274"/>
      <c r="C10" s="274"/>
      <c r="D10" s="274"/>
      <c r="E10" s="274"/>
      <c r="F10" s="274"/>
      <c r="G10" s="158"/>
      <c r="H10" s="158"/>
      <c r="I10" s="158"/>
      <c r="J10" s="158"/>
    </row>
    <row r="11" spans="1:10" ht="12.75">
      <c r="A11" t="s">
        <v>1</v>
      </c>
      <c r="B11" s="279">
        <v>194324.58000000002</v>
      </c>
      <c r="C11" s="274"/>
      <c r="D11" s="283"/>
      <c r="E11" s="274"/>
      <c r="F11" s="279">
        <v>367752</v>
      </c>
      <c r="G11" s="158"/>
      <c r="H11" s="158"/>
      <c r="I11" s="158"/>
      <c r="J11" s="158">
        <v>0</v>
      </c>
    </row>
    <row r="12" spans="1:10" ht="12.75">
      <c r="A12" t="s">
        <v>2</v>
      </c>
      <c r="B12" s="279">
        <v>447249</v>
      </c>
      <c r="C12" s="274"/>
      <c r="D12" s="283"/>
      <c r="E12" s="274"/>
      <c r="F12" s="279">
        <v>33043205</v>
      </c>
      <c r="G12" s="158"/>
      <c r="H12" s="158"/>
      <c r="I12" s="158"/>
      <c r="J12" s="158">
        <v>0</v>
      </c>
    </row>
    <row r="13" spans="1:10" ht="12.75">
      <c r="A13" t="s">
        <v>3</v>
      </c>
      <c r="B13" s="279">
        <v>862945.64</v>
      </c>
      <c r="C13" s="274"/>
      <c r="D13" s="283"/>
      <c r="E13" s="274"/>
      <c r="F13" s="279">
        <v>36633472.86</v>
      </c>
      <c r="G13" s="158"/>
      <c r="H13" s="158"/>
      <c r="I13" s="158"/>
      <c r="J13" s="158">
        <v>0</v>
      </c>
    </row>
    <row r="14" spans="1:10" ht="12.75">
      <c r="A14" t="s">
        <v>4</v>
      </c>
      <c r="B14" s="279">
        <v>837040</v>
      </c>
      <c r="C14" s="274"/>
      <c r="D14" s="283"/>
      <c r="E14" s="274"/>
      <c r="F14" s="279">
        <v>32729379</v>
      </c>
      <c r="G14" s="158"/>
      <c r="H14" s="158"/>
      <c r="I14" s="158"/>
      <c r="J14" s="158">
        <v>0</v>
      </c>
    </row>
    <row r="15" spans="1:10" ht="12.75">
      <c r="A15" t="s">
        <v>5</v>
      </c>
      <c r="B15" s="279">
        <v>36214</v>
      </c>
      <c r="C15" s="274"/>
      <c r="D15" s="283"/>
      <c r="E15" s="274"/>
      <c r="F15" s="279">
        <v>7767152</v>
      </c>
      <c r="G15" s="158"/>
      <c r="H15" s="158"/>
      <c r="I15" s="158"/>
      <c r="J15" s="158">
        <v>0</v>
      </c>
    </row>
    <row r="16" spans="2:10" ht="12.75">
      <c r="B16" s="279"/>
      <c r="C16" s="274"/>
      <c r="D16" s="274"/>
      <c r="E16" s="274"/>
      <c r="F16" s="279"/>
      <c r="G16" s="158"/>
      <c r="H16" s="158"/>
      <c r="I16" s="158"/>
      <c r="J16" s="158"/>
    </row>
    <row r="17" spans="1:10" ht="12.75">
      <c r="A17" t="s">
        <v>6</v>
      </c>
      <c r="B17" s="279">
        <v>47041.71</v>
      </c>
      <c r="C17" s="274"/>
      <c r="D17" s="283"/>
      <c r="E17" s="274"/>
      <c r="F17" s="279">
        <v>4152433.86</v>
      </c>
      <c r="G17" s="158"/>
      <c r="H17" s="158"/>
      <c r="I17" s="158"/>
      <c r="J17" s="158">
        <v>0</v>
      </c>
    </row>
    <row r="18" spans="1:10" ht="12.75">
      <c r="A18" t="s">
        <v>7</v>
      </c>
      <c r="B18" s="279">
        <v>58456.95</v>
      </c>
      <c r="C18" s="274"/>
      <c r="D18" s="283"/>
      <c r="E18" s="274"/>
      <c r="F18" s="279">
        <v>12894812.94</v>
      </c>
      <c r="G18" s="158"/>
      <c r="H18" s="158"/>
      <c r="I18" s="158"/>
      <c r="J18" s="158">
        <v>0</v>
      </c>
    </row>
    <row r="19" spans="1:10" ht="12.75">
      <c r="A19" t="s">
        <v>8</v>
      </c>
      <c r="B19" s="279">
        <v>241016.07</v>
      </c>
      <c r="C19" s="274"/>
      <c r="D19" s="283"/>
      <c r="E19" s="274"/>
      <c r="F19" s="279">
        <v>3693342.13</v>
      </c>
      <c r="G19" s="158"/>
      <c r="H19" s="158"/>
      <c r="I19" s="158"/>
      <c r="J19" s="158">
        <v>0</v>
      </c>
    </row>
    <row r="20" spans="1:10" ht="12.75">
      <c r="A20" t="s">
        <v>9</v>
      </c>
      <c r="B20" s="279">
        <v>183005.68</v>
      </c>
      <c r="C20" s="274"/>
      <c r="D20" s="283"/>
      <c r="E20" s="274"/>
      <c r="F20" s="279">
        <v>12479204.71</v>
      </c>
      <c r="G20" s="158"/>
      <c r="H20" s="158"/>
      <c r="I20" s="158"/>
      <c r="J20" s="158">
        <v>0</v>
      </c>
    </row>
    <row r="21" spans="1:10" ht="12.75">
      <c r="A21" t="s">
        <v>10</v>
      </c>
      <c r="B21" s="279">
        <v>98826</v>
      </c>
      <c r="C21" s="274"/>
      <c r="D21" s="283"/>
      <c r="E21" s="274"/>
      <c r="F21" s="279">
        <v>9835745</v>
      </c>
      <c r="G21" s="158"/>
      <c r="H21" s="158"/>
      <c r="I21" s="158"/>
      <c r="J21" s="158">
        <v>0</v>
      </c>
    </row>
    <row r="22" spans="2:10" ht="12.75">
      <c r="B22" s="279"/>
      <c r="C22" s="274"/>
      <c r="D22" s="274"/>
      <c r="E22" s="274"/>
      <c r="F22" s="279"/>
      <c r="G22" s="158"/>
      <c r="H22" s="158"/>
      <c r="I22" s="158"/>
      <c r="J22" s="158"/>
    </row>
    <row r="23" spans="1:10" ht="12.75">
      <c r="A23" t="s">
        <v>11</v>
      </c>
      <c r="B23" s="279">
        <v>198833</v>
      </c>
      <c r="C23" s="274"/>
      <c r="D23" s="283"/>
      <c r="E23" s="274"/>
      <c r="F23" s="279">
        <v>15859481</v>
      </c>
      <c r="G23" s="158"/>
      <c r="H23" s="158"/>
      <c r="I23" s="158"/>
      <c r="J23" s="158">
        <v>0</v>
      </c>
    </row>
    <row r="24" spans="1:10" ht="12.75">
      <c r="A24" t="s">
        <v>12</v>
      </c>
      <c r="B24" s="279">
        <v>89716</v>
      </c>
      <c r="C24" s="274"/>
      <c r="D24" s="283"/>
      <c r="E24" s="274"/>
      <c r="F24" s="279">
        <v>632437.87</v>
      </c>
      <c r="G24" s="158"/>
      <c r="H24" s="158"/>
      <c r="I24" s="158"/>
      <c r="J24" s="158">
        <v>0</v>
      </c>
    </row>
    <row r="25" spans="1:10" ht="12.75">
      <c r="A25" t="s">
        <v>13</v>
      </c>
      <c r="B25" s="279">
        <v>283470</v>
      </c>
      <c r="C25" s="274"/>
      <c r="D25" s="283"/>
      <c r="E25" s="274"/>
      <c r="F25" s="279">
        <v>11830181</v>
      </c>
      <c r="G25" s="158"/>
      <c r="H25" s="158"/>
      <c r="I25" s="158"/>
      <c r="J25" s="158">
        <v>0</v>
      </c>
    </row>
    <row r="26" spans="1:10" ht="12.75">
      <c r="A26" t="s">
        <v>14</v>
      </c>
      <c r="B26" s="279">
        <v>102227</v>
      </c>
      <c r="C26" s="274"/>
      <c r="D26" s="283"/>
      <c r="E26" s="274"/>
      <c r="F26" s="279">
        <v>20745214</v>
      </c>
      <c r="G26" s="158"/>
      <c r="H26" s="158"/>
      <c r="I26" s="158"/>
      <c r="J26" s="158">
        <v>0</v>
      </c>
    </row>
    <row r="27" spans="1:10" ht="12.75">
      <c r="A27" t="s">
        <v>15</v>
      </c>
      <c r="B27" s="279">
        <v>78617.4</v>
      </c>
      <c r="C27" s="274"/>
      <c r="D27" s="283"/>
      <c r="E27" s="274"/>
      <c r="F27" s="279">
        <v>551964</v>
      </c>
      <c r="G27" s="158"/>
      <c r="H27" s="158"/>
      <c r="I27" s="158"/>
      <c r="J27" s="158">
        <v>0</v>
      </c>
    </row>
    <row r="28" spans="2:10" ht="12.75">
      <c r="B28" s="279"/>
      <c r="C28" s="274"/>
      <c r="D28" s="274"/>
      <c r="E28" s="274"/>
      <c r="F28" s="279"/>
      <c r="G28" s="158"/>
      <c r="H28" s="158"/>
      <c r="I28" s="158"/>
      <c r="J28" s="158"/>
    </row>
    <row r="29" spans="1:10" ht="12.75">
      <c r="A29" t="s">
        <v>16</v>
      </c>
      <c r="B29" s="279">
        <v>985094</v>
      </c>
      <c r="C29" s="274"/>
      <c r="D29" s="283"/>
      <c r="E29" s="274"/>
      <c r="F29" s="279">
        <v>46953697</v>
      </c>
      <c r="G29" s="158"/>
      <c r="H29" s="158"/>
      <c r="I29" s="158"/>
      <c r="J29" s="158">
        <v>0</v>
      </c>
    </row>
    <row r="30" spans="1:10" ht="12.75">
      <c r="A30" t="s">
        <v>17</v>
      </c>
      <c r="B30" s="279">
        <v>1453804</v>
      </c>
      <c r="C30" s="274"/>
      <c r="D30" s="283"/>
      <c r="E30" s="274"/>
      <c r="F30" s="279">
        <v>50373560</v>
      </c>
      <c r="G30" s="158"/>
      <c r="H30" s="158"/>
      <c r="I30" s="158"/>
      <c r="J30" s="158">
        <v>0</v>
      </c>
    </row>
    <row r="31" spans="1:10" ht="12.75">
      <c r="A31" t="s">
        <v>18</v>
      </c>
      <c r="B31" s="279">
        <v>47082.66</v>
      </c>
      <c r="C31" s="274"/>
      <c r="D31" s="283"/>
      <c r="E31" s="274"/>
      <c r="F31" s="279">
        <v>4941140.98</v>
      </c>
      <c r="G31" s="158"/>
      <c r="H31" s="158"/>
      <c r="I31" s="158"/>
      <c r="J31" s="158">
        <v>0</v>
      </c>
    </row>
    <row r="32" spans="1:10" ht="12.75">
      <c r="A32" t="s">
        <v>19</v>
      </c>
      <c r="B32" s="279">
        <v>199704.59</v>
      </c>
      <c r="C32" s="274"/>
      <c r="D32" s="283"/>
      <c r="E32" s="274"/>
      <c r="F32" s="279">
        <v>8030191.61</v>
      </c>
      <c r="G32" s="158"/>
      <c r="H32" s="158"/>
      <c r="I32" s="158"/>
      <c r="J32" s="158">
        <v>0</v>
      </c>
    </row>
    <row r="33" spans="1:10" ht="12.75">
      <c r="A33" t="s">
        <v>20</v>
      </c>
      <c r="B33" s="279">
        <v>84468.71</v>
      </c>
      <c r="C33" s="274"/>
      <c r="D33" s="283"/>
      <c r="E33" s="274"/>
      <c r="F33" s="279">
        <v>1321600</v>
      </c>
      <c r="G33" s="158"/>
      <c r="H33" s="158"/>
      <c r="I33" s="158"/>
      <c r="J33" s="158">
        <v>0</v>
      </c>
    </row>
    <row r="34" spans="2:10" ht="12.75">
      <c r="B34" s="279"/>
      <c r="C34" s="274"/>
      <c r="D34" s="274"/>
      <c r="E34" s="274"/>
      <c r="F34" s="279"/>
      <c r="G34" s="158"/>
      <c r="H34" s="158"/>
      <c r="I34" s="158"/>
      <c r="J34" s="158"/>
    </row>
    <row r="35" spans="1:10" ht="12.75">
      <c r="A35" t="s">
        <v>21</v>
      </c>
      <c r="B35" s="279">
        <v>87852.48</v>
      </c>
      <c r="C35" s="274"/>
      <c r="D35" s="283"/>
      <c r="E35" s="274"/>
      <c r="F35" s="279">
        <v>546691.68</v>
      </c>
      <c r="G35" s="158"/>
      <c r="H35" s="158"/>
      <c r="I35" s="158"/>
      <c r="J35" s="158">
        <v>0</v>
      </c>
    </row>
    <row r="36" spans="1:10" ht="12.75">
      <c r="A36" t="s">
        <v>22</v>
      </c>
      <c r="B36" s="279">
        <v>437615.91</v>
      </c>
      <c r="C36" s="274"/>
      <c r="D36" s="283"/>
      <c r="E36" s="274"/>
      <c r="F36" s="279">
        <v>9394904</v>
      </c>
      <c r="G36" s="158"/>
      <c r="H36" s="158"/>
      <c r="I36" s="158"/>
      <c r="J36" s="158">
        <v>0</v>
      </c>
    </row>
    <row r="37" spans="1:10" ht="12.75">
      <c r="A37" t="s">
        <v>23</v>
      </c>
      <c r="B37" s="279">
        <v>190263.7</v>
      </c>
      <c r="C37" s="274"/>
      <c r="D37" s="283"/>
      <c r="E37" s="274"/>
      <c r="F37" s="279">
        <v>20844575</v>
      </c>
      <c r="G37" s="158"/>
      <c r="H37" s="158"/>
      <c r="I37" s="158"/>
      <c r="J37" s="158">
        <v>0</v>
      </c>
    </row>
    <row r="38" spans="1:10" ht="12.75">
      <c r="A38" s="12" t="s">
        <v>24</v>
      </c>
      <c r="B38" s="254">
        <v>64774.01</v>
      </c>
      <c r="C38" s="275"/>
      <c r="D38" s="284"/>
      <c r="E38" s="275"/>
      <c r="F38" s="254">
        <v>3769100</v>
      </c>
      <c r="G38" s="161"/>
      <c r="H38" s="161"/>
      <c r="I38" s="161"/>
      <c r="J38" s="161">
        <v>0</v>
      </c>
    </row>
    <row r="39" spans="6:7" ht="12.75">
      <c r="F39" s="5"/>
      <c r="G39" s="5"/>
    </row>
    <row r="40" spans="6:7" ht="12.75">
      <c r="F40" s="5"/>
      <c r="G40" s="5"/>
    </row>
    <row r="41" spans="6:7" ht="12.75">
      <c r="F41" s="5"/>
      <c r="G41" s="5"/>
    </row>
  </sheetData>
  <sheetProtection password="CAF5" sheet="1"/>
  <mergeCells count="9">
    <mergeCell ref="A1:J1"/>
    <mergeCell ref="A3:J3"/>
    <mergeCell ref="D5:H5"/>
    <mergeCell ref="B8:C8"/>
    <mergeCell ref="B7:C7"/>
    <mergeCell ref="B6:C6"/>
    <mergeCell ref="D8:E8"/>
    <mergeCell ref="D7:E7"/>
    <mergeCell ref="D6:E6"/>
  </mergeCells>
  <printOptions horizontalCentered="1"/>
  <pageMargins left="0.56" right="0.55" top="0.83" bottom="1" header="0.67" footer="0.5"/>
  <pageSetup fitToHeight="1" fitToWidth="1" horizontalDpi="600" verticalDpi="600" orientation="landscape" scale="98" r:id="rId1"/>
  <headerFooter scaleWithDoc="0">
    <oddFooter>&amp;L&amp;"Arial,Italic"&amp;9MSDE-LFRO  09 / 2010&amp;C- 10 -&amp;R&amp;"Arial,Italic"&amp;9Selected Financial Data-Part 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6"/>
  <sheetViews>
    <sheetView workbookViewId="0" topLeftCell="M1">
      <selection activeCell="P12" sqref="P12:T13"/>
    </sheetView>
  </sheetViews>
  <sheetFormatPr defaultColWidth="9.140625" defaultRowHeight="12.75"/>
  <cols>
    <col min="1" max="1" width="17.00390625" style="3" customWidth="1"/>
    <col min="2" max="2" width="14.57421875" style="257" customWidth="1"/>
    <col min="3" max="3" width="13.140625" style="257" customWidth="1"/>
    <col min="4" max="4" width="13.8515625" style="257" bestFit="1" customWidth="1"/>
    <col min="5" max="5" width="14.7109375" style="262" customWidth="1"/>
    <col min="6" max="6" width="12.8515625" style="257" bestFit="1" customWidth="1"/>
    <col min="7" max="7" width="12.8515625" style="257" customWidth="1"/>
    <col min="8" max="8" width="11.28125" style="257" bestFit="1" customWidth="1"/>
    <col min="9" max="9" width="2.140625" style="257" customWidth="1"/>
    <col min="10" max="10" width="16.421875" style="257" customWidth="1"/>
    <col min="11" max="11" width="14.00390625" style="257" customWidth="1"/>
    <col min="12" max="12" width="12.8515625" style="257" customWidth="1"/>
    <col min="13" max="13" width="10.00390625" style="257" customWidth="1"/>
    <col min="14" max="14" width="10.28125" style="257" customWidth="1"/>
    <col min="15" max="15" width="12.57421875" style="257" customWidth="1"/>
    <col min="16" max="16" width="14.7109375" style="3" customWidth="1"/>
    <col min="17" max="17" width="12.421875" style="3" customWidth="1"/>
    <col min="18" max="18" width="14.00390625" style="3" customWidth="1"/>
    <col min="19" max="19" width="10.8515625" style="3" bestFit="1" customWidth="1"/>
    <col min="20" max="20" width="12.7109375" style="3" bestFit="1" customWidth="1"/>
    <col min="21" max="16384" width="9.140625" style="3" customWidth="1"/>
  </cols>
  <sheetData>
    <row r="1" spans="1:15" ht="12.75">
      <c r="A1" s="461" t="s">
        <v>124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5" ht="12.75">
      <c r="A2" s="461"/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15" ht="12.75">
      <c r="A3" s="463" t="s">
        <v>251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</row>
    <row r="4" spans="10:15" ht="13.5" thickBot="1">
      <c r="J4" s="294"/>
      <c r="K4" s="294"/>
      <c r="L4" s="294"/>
      <c r="M4" s="294"/>
      <c r="N4" s="294"/>
      <c r="O4" s="294"/>
    </row>
    <row r="5" spans="1:15" ht="15" customHeight="1" thickTop="1">
      <c r="A5" s="6"/>
      <c r="B5" s="258"/>
      <c r="C5" s="258"/>
      <c r="D5" s="295"/>
      <c r="E5" s="296"/>
      <c r="F5" s="472"/>
      <c r="G5" s="472"/>
      <c r="H5" s="472"/>
      <c r="I5" s="295"/>
      <c r="J5" s="453" t="s">
        <v>56</v>
      </c>
      <c r="K5" s="453"/>
      <c r="L5" s="453"/>
      <c r="M5" s="453"/>
      <c r="N5" s="453"/>
      <c r="O5" s="453"/>
    </row>
    <row r="6" spans="4:15" ht="12.75">
      <c r="D6" s="288"/>
      <c r="E6" s="289" t="s">
        <v>141</v>
      </c>
      <c r="F6" s="470" t="s">
        <v>199</v>
      </c>
      <c r="G6" s="470"/>
      <c r="H6" s="470"/>
      <c r="I6" s="288"/>
      <c r="J6" s="469" t="s">
        <v>57</v>
      </c>
      <c r="K6" s="469"/>
      <c r="L6" s="469"/>
      <c r="M6" s="469"/>
      <c r="N6" s="469"/>
      <c r="O6" s="469"/>
    </row>
    <row r="7" spans="1:15" ht="12.75" customHeight="1">
      <c r="A7" s="3" t="s">
        <v>81</v>
      </c>
      <c r="B7" s="288" t="s">
        <v>44</v>
      </c>
      <c r="C7" s="464" t="s">
        <v>252</v>
      </c>
      <c r="D7" s="288" t="s">
        <v>136</v>
      </c>
      <c r="E7" s="471" t="s">
        <v>189</v>
      </c>
      <c r="F7" s="288" t="s">
        <v>137</v>
      </c>
      <c r="G7" s="288" t="s">
        <v>140</v>
      </c>
      <c r="H7" s="288" t="s">
        <v>72</v>
      </c>
      <c r="I7" s="288"/>
      <c r="J7" s="288" t="s">
        <v>63</v>
      </c>
      <c r="K7" s="467" t="s">
        <v>253</v>
      </c>
      <c r="L7" s="468" t="s">
        <v>254</v>
      </c>
      <c r="M7" s="288"/>
      <c r="N7" s="288"/>
      <c r="O7" s="288" t="s">
        <v>151</v>
      </c>
    </row>
    <row r="8" spans="1:15" ht="12.75">
      <c r="A8" s="3" t="s">
        <v>34</v>
      </c>
      <c r="B8" s="288" t="s">
        <v>51</v>
      </c>
      <c r="C8" s="465"/>
      <c r="D8" s="288" t="s">
        <v>34</v>
      </c>
      <c r="E8" s="465"/>
      <c r="F8" s="288" t="s">
        <v>71</v>
      </c>
      <c r="G8" s="288" t="s">
        <v>45</v>
      </c>
      <c r="H8" s="288" t="s">
        <v>73</v>
      </c>
      <c r="I8" s="288"/>
      <c r="J8" s="288" t="s">
        <v>58</v>
      </c>
      <c r="K8" s="423"/>
      <c r="L8" s="465"/>
      <c r="M8" s="288"/>
      <c r="N8" s="288" t="s">
        <v>60</v>
      </c>
      <c r="O8" s="288" t="s">
        <v>32</v>
      </c>
    </row>
    <row r="9" spans="1:15" ht="13.5" thickBot="1">
      <c r="A9" s="7" t="s">
        <v>134</v>
      </c>
      <c r="B9" s="290" t="s">
        <v>46</v>
      </c>
      <c r="C9" s="466"/>
      <c r="D9" s="290" t="s">
        <v>55</v>
      </c>
      <c r="E9" s="466"/>
      <c r="F9" s="290" t="s">
        <v>64</v>
      </c>
      <c r="G9" s="290" t="s">
        <v>62</v>
      </c>
      <c r="H9" s="290" t="s">
        <v>34</v>
      </c>
      <c r="I9" s="290"/>
      <c r="J9" s="290" t="s">
        <v>157</v>
      </c>
      <c r="K9" s="424"/>
      <c r="L9" s="466"/>
      <c r="M9" s="290" t="s">
        <v>53</v>
      </c>
      <c r="N9" s="290" t="s">
        <v>61</v>
      </c>
      <c r="O9" s="290" t="s">
        <v>152</v>
      </c>
    </row>
    <row r="10" spans="1:16" s="16" customFormat="1" ht="12.75">
      <c r="A10" s="48" t="s">
        <v>0</v>
      </c>
      <c r="B10" s="256">
        <f>SUM(C10:O10)+SUM(fed2!B10:L10)+SUM(fed3!B10:M10)+SUM(fed4!B10:K10)</f>
        <v>694846711.32</v>
      </c>
      <c r="C10" s="305">
        <f aca="true" t="shared" si="0" ref="C10:O10">SUM(C12:C39)</f>
        <v>167553.85</v>
      </c>
      <c r="D10" s="305">
        <f t="shared" si="0"/>
        <v>1490890.68</v>
      </c>
      <c r="E10" s="305">
        <f t="shared" si="0"/>
        <v>8445399.96</v>
      </c>
      <c r="F10" s="305">
        <f t="shared" si="0"/>
        <v>9393415.05</v>
      </c>
      <c r="G10" s="305">
        <f t="shared" si="0"/>
        <v>142262.29</v>
      </c>
      <c r="H10" s="305">
        <f t="shared" si="0"/>
        <v>946040.2899999999</v>
      </c>
      <c r="I10" s="305">
        <f t="shared" si="0"/>
        <v>262342.43</v>
      </c>
      <c r="J10" s="305">
        <f t="shared" si="0"/>
        <v>178050777.68000004</v>
      </c>
      <c r="K10" s="305">
        <f t="shared" si="0"/>
        <v>6818230.99</v>
      </c>
      <c r="L10" s="305">
        <f t="shared" si="0"/>
        <v>501194.34</v>
      </c>
      <c r="M10" s="305">
        <f t="shared" si="0"/>
        <v>693546.9</v>
      </c>
      <c r="N10" s="305">
        <f t="shared" si="0"/>
        <v>662905.7000000001</v>
      </c>
      <c r="O10" s="382">
        <f t="shared" si="0"/>
        <v>743493.42</v>
      </c>
      <c r="P10" s="373"/>
    </row>
    <row r="11" spans="2:15" ht="12.75">
      <c r="B11" s="259"/>
      <c r="C11" s="259"/>
      <c r="D11" s="297"/>
      <c r="E11" s="368"/>
      <c r="F11" s="306"/>
      <c r="G11" s="306"/>
      <c r="H11" s="306"/>
      <c r="I11" s="306"/>
      <c r="J11" s="306"/>
      <c r="K11" s="306"/>
      <c r="L11" s="306"/>
      <c r="M11" s="306"/>
      <c r="N11" s="306"/>
      <c r="O11" s="383"/>
    </row>
    <row r="12" spans="1:41" ht="12.75">
      <c r="A12" s="3" t="s">
        <v>1</v>
      </c>
      <c r="B12" s="256">
        <f>SUM(C12:O12)+SUM(fed2!B12:L12)+SUM(fed3!B12:M12)+SUM(fed4!B12:K12)</f>
        <v>12022444.5</v>
      </c>
      <c r="C12" s="256">
        <v>0</v>
      </c>
      <c r="D12" s="253">
        <v>99273</v>
      </c>
      <c r="E12" s="253">
        <v>0</v>
      </c>
      <c r="F12" s="253">
        <v>195614.34</v>
      </c>
      <c r="G12" s="253">
        <v>0</v>
      </c>
      <c r="H12" s="253">
        <v>15679</v>
      </c>
      <c r="I12" s="253"/>
      <c r="J12" s="265">
        <f>2537603.8+53903.37</f>
        <v>2591507.17</v>
      </c>
      <c r="K12" s="253">
        <v>0</v>
      </c>
      <c r="L12" s="265">
        <v>5533.93</v>
      </c>
      <c r="M12" s="265">
        <v>0</v>
      </c>
      <c r="N12" s="253">
        <v>0</v>
      </c>
      <c r="O12" s="384">
        <v>51287.69</v>
      </c>
      <c r="P12" s="2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:41" ht="12.75">
      <c r="A13" s="3" t="s">
        <v>2</v>
      </c>
      <c r="B13" s="256">
        <f>SUM(C13:O13)+SUM(fed2!B13:L13)+SUM(fed3!B13:M13)+SUM(fed4!B13:K13)</f>
        <v>45403290.18999999</v>
      </c>
      <c r="C13" s="256">
        <v>0</v>
      </c>
      <c r="D13" s="253">
        <v>19880</v>
      </c>
      <c r="E13" s="253">
        <f>380439.52+57358.6</f>
        <v>437798.12</v>
      </c>
      <c r="F13" s="263">
        <v>633335.01</v>
      </c>
      <c r="G13" s="279">
        <v>30564</v>
      </c>
      <c r="H13" s="253">
        <v>66988</v>
      </c>
      <c r="I13" s="253"/>
      <c r="J13" s="265">
        <v>10325258.21</v>
      </c>
      <c r="K13" s="253">
        <v>0</v>
      </c>
      <c r="L13" s="265">
        <v>33203.58</v>
      </c>
      <c r="M13" s="265">
        <v>0</v>
      </c>
      <c r="N13" s="253">
        <v>0</v>
      </c>
      <c r="O13" s="253">
        <v>0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 ht="12.75">
      <c r="A14" s="3" t="s">
        <v>3</v>
      </c>
      <c r="B14" s="256">
        <f>SUM(C14:O14)+SUM(fed2!B14:L14)+SUM(fed3!B14:M14)+SUM(fed4!B14:K14)</f>
        <v>152920948.82</v>
      </c>
      <c r="C14" s="256">
        <v>0</v>
      </c>
      <c r="D14" s="253">
        <v>0</v>
      </c>
      <c r="E14" s="253">
        <f>150339.04+83238.1</f>
        <v>233577.14</v>
      </c>
      <c r="F14" s="253">
        <v>2325874.81</v>
      </c>
      <c r="G14" s="253">
        <v>8004</v>
      </c>
      <c r="H14" s="253">
        <v>262342.43</v>
      </c>
      <c r="I14" s="253">
        <v>262342.43</v>
      </c>
      <c r="J14" s="265">
        <v>60594432.529999994</v>
      </c>
      <c r="K14" s="265">
        <v>4628419.8100000005</v>
      </c>
      <c r="L14" s="265">
        <v>122466.21</v>
      </c>
      <c r="M14" s="265">
        <v>0</v>
      </c>
      <c r="N14" s="253">
        <v>149619.22</v>
      </c>
      <c r="O14" s="384">
        <v>390995.51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1:41" ht="12.75">
      <c r="A15" s="3" t="s">
        <v>4</v>
      </c>
      <c r="B15" s="256">
        <f>SUM(C15:O15)+SUM(fed2!B15:L15)+SUM(fed3!B15:M15)+SUM(fed4!B15:K15)</f>
        <v>75829195.93999998</v>
      </c>
      <c r="C15" s="256">
        <v>0</v>
      </c>
      <c r="D15" s="255">
        <v>15839</v>
      </c>
      <c r="E15" s="253">
        <f>254739.61+350444.71</f>
        <v>605184.3200000001</v>
      </c>
      <c r="F15" s="253">
        <v>1009181.26</v>
      </c>
      <c r="G15" s="253">
        <v>17986.17</v>
      </c>
      <c r="H15" s="253">
        <v>109443</v>
      </c>
      <c r="I15" s="253"/>
      <c r="J15" s="265">
        <v>20552720.91</v>
      </c>
      <c r="K15" s="253">
        <v>0</v>
      </c>
      <c r="L15" s="265">
        <v>49338.17</v>
      </c>
      <c r="M15" s="265">
        <v>0</v>
      </c>
      <c r="N15" s="253">
        <v>0</v>
      </c>
      <c r="O15" s="384">
        <v>60334.479999999996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ht="13.5" customHeight="1">
      <c r="A16" s="3" t="s">
        <v>5</v>
      </c>
      <c r="B16" s="256">
        <f>SUM(C16:O16)+SUM(fed2!B16:L16)+SUM(fed3!B16:M16)+SUM(fed4!B16:K16)</f>
        <v>8068284.06</v>
      </c>
      <c r="C16" s="256">
        <v>11077</v>
      </c>
      <c r="D16" s="253">
        <v>118312.14</v>
      </c>
      <c r="E16" s="253">
        <f>12857.48+10582.87</f>
        <v>23440.35</v>
      </c>
      <c r="F16" s="253">
        <v>102905.67</v>
      </c>
      <c r="G16" s="253">
        <v>3629</v>
      </c>
      <c r="H16" s="253">
        <v>11750</v>
      </c>
      <c r="I16" s="253"/>
      <c r="J16" s="265">
        <v>1239214.95</v>
      </c>
      <c r="K16" s="253">
        <v>0</v>
      </c>
      <c r="L16" s="265">
        <v>5533.93</v>
      </c>
      <c r="M16" s="265">
        <v>0</v>
      </c>
      <c r="N16" s="253">
        <v>168218.56</v>
      </c>
      <c r="O16" s="253">
        <v>0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2:41" ht="13.5" customHeight="1">
      <c r="B17" s="256"/>
      <c r="C17" s="256"/>
      <c r="D17" s="253"/>
      <c r="E17" s="298"/>
      <c r="F17" s="253"/>
      <c r="G17" s="253"/>
      <c r="H17" s="253"/>
      <c r="I17" s="253"/>
      <c r="J17" s="265"/>
      <c r="K17" s="265"/>
      <c r="L17" s="265"/>
      <c r="M17" s="253"/>
      <c r="N17" s="253"/>
      <c r="O17" s="384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ht="12.75">
      <c r="A18" s="3" t="s">
        <v>6</v>
      </c>
      <c r="B18" s="256">
        <f>SUM(C18:O18)+SUM(fed2!B18:L18)+SUM(fed3!B18:M18)+SUM(fed4!B18:K18)</f>
        <v>5272434.6400000015</v>
      </c>
      <c r="C18" s="256">
        <v>0</v>
      </c>
      <c r="D18" s="253">
        <v>0</v>
      </c>
      <c r="E18" s="253">
        <f>21806.6+24770.95</f>
        <v>46577.55</v>
      </c>
      <c r="F18" s="253">
        <v>94873</v>
      </c>
      <c r="G18" s="253">
        <v>5000</v>
      </c>
      <c r="H18" s="253">
        <v>7642</v>
      </c>
      <c r="I18" s="253"/>
      <c r="J18" s="265">
        <v>1020022.52</v>
      </c>
      <c r="K18" s="253">
        <v>0</v>
      </c>
      <c r="L18" s="265">
        <v>16601.79</v>
      </c>
      <c r="M18" s="265">
        <v>0</v>
      </c>
      <c r="N18" s="253">
        <v>0</v>
      </c>
      <c r="O18" s="253">
        <v>0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 ht="12.75">
      <c r="A19" s="3" t="s">
        <v>7</v>
      </c>
      <c r="B19" s="256">
        <f>SUM(C19:O19)+SUM(fed2!B19:L19)+SUM(fed3!B19:M19)+SUM(fed4!B19:K19)</f>
        <v>13157896.65</v>
      </c>
      <c r="C19" s="256">
        <v>0</v>
      </c>
      <c r="D19" s="253">
        <v>0</v>
      </c>
      <c r="E19" s="253">
        <f>25357.7+25965.14</f>
        <v>51322.84</v>
      </c>
      <c r="F19" s="253">
        <v>244520</v>
      </c>
      <c r="G19" s="253">
        <v>5063</v>
      </c>
      <c r="H19" s="253">
        <v>18781</v>
      </c>
      <c r="I19" s="253"/>
      <c r="J19" s="266">
        <v>1683200.97</v>
      </c>
      <c r="K19" s="253">
        <v>0</v>
      </c>
      <c r="L19" s="266">
        <v>16601.79</v>
      </c>
      <c r="M19" s="265">
        <v>0</v>
      </c>
      <c r="N19" s="253">
        <v>0</v>
      </c>
      <c r="O19" s="253">
        <v>0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:41" ht="12.75">
      <c r="A20" s="3" t="s">
        <v>8</v>
      </c>
      <c r="B20" s="256">
        <f>SUM(C20:O20)+SUM(fed2!B20:L20)+SUM(fed3!B20:M20)+SUM(fed4!B20:K20)</f>
        <v>11194441.909999998</v>
      </c>
      <c r="C20" s="256">
        <v>0</v>
      </c>
      <c r="D20" s="253">
        <v>0</v>
      </c>
      <c r="E20" s="263">
        <f>6669.41+17289.1</f>
        <v>23958.51</v>
      </c>
      <c r="F20" s="263">
        <v>224545.73</v>
      </c>
      <c r="G20" s="253">
        <v>8454.11</v>
      </c>
      <c r="H20" s="253">
        <v>19353.51</v>
      </c>
      <c r="I20" s="253"/>
      <c r="J20" s="265">
        <v>2403121</v>
      </c>
      <c r="K20" s="253">
        <v>0</v>
      </c>
      <c r="L20" s="265">
        <v>11155.16</v>
      </c>
      <c r="M20" s="265">
        <v>0</v>
      </c>
      <c r="N20" s="253">
        <v>0</v>
      </c>
      <c r="O20" s="253">
        <v>0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 ht="12.75">
      <c r="A21" s="3" t="s">
        <v>9</v>
      </c>
      <c r="B21" s="256">
        <f>SUM(C21:O21)+SUM(fed2!B21:L21)+SUM(fed3!B21:M21)+SUM(fed4!B21:K21)</f>
        <v>16564392.649999999</v>
      </c>
      <c r="C21" s="256">
        <v>48542</v>
      </c>
      <c r="D21" s="253">
        <v>236163</v>
      </c>
      <c r="E21" s="263">
        <f>20324.71+7651.79</f>
        <v>27976.5</v>
      </c>
      <c r="F21" s="253">
        <v>212400.73</v>
      </c>
      <c r="G21" s="253">
        <v>0</v>
      </c>
      <c r="H21" s="253">
        <v>20693.18</v>
      </c>
      <c r="I21" s="253"/>
      <c r="J21" s="265">
        <v>2908127.12</v>
      </c>
      <c r="K21" s="253">
        <v>0</v>
      </c>
      <c r="L21" s="265">
        <v>15813.37</v>
      </c>
      <c r="M21" s="265">
        <v>0</v>
      </c>
      <c r="N21" s="253">
        <v>0</v>
      </c>
      <c r="O21" s="253">
        <v>0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 ht="12.75">
      <c r="A22" s="3" t="s">
        <v>10</v>
      </c>
      <c r="B22" s="256">
        <f>SUM(C22:O22)+SUM(fed2!B22:L22)+SUM(fed3!B22:M22)+SUM(fed4!B22:K22)</f>
        <v>6000361.199999999</v>
      </c>
      <c r="C22" s="256">
        <v>6678.61</v>
      </c>
      <c r="D22" s="253">
        <v>53881.96</v>
      </c>
      <c r="E22" s="253">
        <f>18455.35+14768.02</f>
        <v>33223.369999999995</v>
      </c>
      <c r="F22" s="253">
        <v>76915.96</v>
      </c>
      <c r="G22" s="253">
        <v>0</v>
      </c>
      <c r="H22" s="253">
        <v>8837</v>
      </c>
      <c r="I22" s="253"/>
      <c r="J22" s="265">
        <v>1413202.75</v>
      </c>
      <c r="K22" s="265">
        <v>37836.99</v>
      </c>
      <c r="L22" s="265">
        <v>5533.93</v>
      </c>
      <c r="M22" s="263">
        <v>80429</v>
      </c>
      <c r="N22" s="253">
        <v>0</v>
      </c>
      <c r="O22" s="253">
        <v>0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2:41" ht="12.75">
      <c r="B23" s="256"/>
      <c r="D23" s="253"/>
      <c r="E23" s="298"/>
      <c r="F23" s="253"/>
      <c r="G23" s="253"/>
      <c r="H23" s="253"/>
      <c r="I23" s="253"/>
      <c r="J23" s="265"/>
      <c r="K23" s="265"/>
      <c r="L23" s="265"/>
      <c r="M23" s="253"/>
      <c r="N23" s="253"/>
      <c r="O23" s="38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:41" ht="12.75">
      <c r="A24" s="3" t="s">
        <v>11</v>
      </c>
      <c r="B24" s="256">
        <f>SUM(C24:O24)+SUM(fed2!B24:L24)+SUM(fed3!B24:M24)+SUM(fed4!B24:K24)</f>
        <v>19167974.489999995</v>
      </c>
      <c r="C24" s="256">
        <v>48713.03</v>
      </c>
      <c r="D24" s="253">
        <f>328318.77+114190.98</f>
        <v>442509.75</v>
      </c>
      <c r="E24" s="263">
        <f>127258.08+103683.92</f>
        <v>230942</v>
      </c>
      <c r="F24" s="253">
        <f>241197.58+43877</f>
        <v>285074.57999999996</v>
      </c>
      <c r="G24" s="253">
        <v>0</v>
      </c>
      <c r="H24" s="253">
        <v>26998.73</v>
      </c>
      <c r="I24" s="253"/>
      <c r="J24" s="265">
        <v>3419407.18</v>
      </c>
      <c r="K24" s="265">
        <v>15069.02</v>
      </c>
      <c r="L24" s="265">
        <v>13015.63</v>
      </c>
      <c r="M24" s="265">
        <v>0</v>
      </c>
      <c r="N24" s="253">
        <v>0</v>
      </c>
      <c r="O24" s="253">
        <v>0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ht="12.75">
      <c r="A25" s="3" t="s">
        <v>12</v>
      </c>
      <c r="B25" s="256">
        <f>SUM(C25:O25)+SUM(fed2!B25:L25)+SUM(fed3!B25:M25)+SUM(fed4!B25:K25)</f>
        <v>5185791.189999999</v>
      </c>
      <c r="C25" s="256">
        <v>0</v>
      </c>
      <c r="D25" s="253">
        <v>0</v>
      </c>
      <c r="E25" s="264">
        <v>0</v>
      </c>
      <c r="F25" s="253">
        <v>70308</v>
      </c>
      <c r="G25" s="253">
        <v>0</v>
      </c>
      <c r="H25" s="253">
        <v>7967</v>
      </c>
      <c r="I25" s="253"/>
      <c r="J25" s="265">
        <v>1294426.26</v>
      </c>
      <c r="K25" s="265">
        <v>2000</v>
      </c>
      <c r="L25" s="265">
        <v>11067.86</v>
      </c>
      <c r="M25" s="265">
        <v>0</v>
      </c>
      <c r="N25" s="253">
        <v>0</v>
      </c>
      <c r="O25" s="253">
        <v>0</v>
      </c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ht="12.75">
      <c r="A26" s="3" t="s">
        <v>13</v>
      </c>
      <c r="B26" s="256">
        <f>SUM(C26:O26)+SUM(fed2!B26:L26)+SUM(fed3!B26:M26)+SUM(fed4!B26:K26)</f>
        <v>21699780.110000003</v>
      </c>
      <c r="C26" s="256">
        <v>0</v>
      </c>
      <c r="D26" s="253">
        <v>0</v>
      </c>
      <c r="E26" s="263">
        <f>73497.69+4791.31</f>
        <v>78289</v>
      </c>
      <c r="F26" s="263">
        <v>324917</v>
      </c>
      <c r="G26" s="253">
        <v>54933.01</v>
      </c>
      <c r="H26" s="263">
        <v>34551</v>
      </c>
      <c r="I26" s="253"/>
      <c r="J26" s="265">
        <v>4240646.77</v>
      </c>
      <c r="K26" s="265">
        <v>0</v>
      </c>
      <c r="L26" s="265">
        <v>5533.93</v>
      </c>
      <c r="M26" s="265">
        <v>0</v>
      </c>
      <c r="N26" s="253">
        <v>0</v>
      </c>
      <c r="O26" s="253">
        <v>0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ht="12.75">
      <c r="A27" s="3" t="s">
        <v>14</v>
      </c>
      <c r="B27" s="256">
        <f>SUM(C27:O27)+SUM(fed2!B27:L27)+SUM(fed3!B27:M27)+SUM(fed4!B27:K27)</f>
        <v>21029382.5</v>
      </c>
      <c r="C27" s="256">
        <v>0</v>
      </c>
      <c r="D27" s="253">
        <v>0</v>
      </c>
      <c r="E27" s="263">
        <f>112444.49+223917.29</f>
        <v>336361.78</v>
      </c>
      <c r="F27" s="263">
        <v>367053.46</v>
      </c>
      <c r="G27" s="253">
        <v>0</v>
      </c>
      <c r="H27" s="253">
        <v>27943.47</v>
      </c>
      <c r="I27" s="253"/>
      <c r="J27" s="265">
        <v>2738834.86</v>
      </c>
      <c r="K27" s="265">
        <v>0</v>
      </c>
      <c r="L27" s="265">
        <v>22135.72</v>
      </c>
      <c r="M27" s="265">
        <v>0</v>
      </c>
      <c r="N27" s="253">
        <v>0</v>
      </c>
      <c r="O27" s="253">
        <v>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ht="12.75">
      <c r="A28" s="3" t="s">
        <v>15</v>
      </c>
      <c r="B28" s="256">
        <f>SUM(C28:O28)+SUM(fed2!B28:L28)+SUM(fed3!B28:M28)+SUM(fed4!B28:K28)</f>
        <v>3223570.1800000006</v>
      </c>
      <c r="C28" s="256">
        <v>0</v>
      </c>
      <c r="D28" s="256">
        <v>0</v>
      </c>
      <c r="E28" s="263">
        <f>2602.29+12674</f>
        <v>15276.29</v>
      </c>
      <c r="F28" s="263">
        <v>32255</v>
      </c>
      <c r="G28" s="253">
        <v>5000</v>
      </c>
      <c r="H28" s="253">
        <v>3655</v>
      </c>
      <c r="I28" s="253"/>
      <c r="J28" s="265">
        <v>452631.56</v>
      </c>
      <c r="K28" s="265">
        <v>141402.31</v>
      </c>
      <c r="L28" s="265">
        <v>5271.83</v>
      </c>
      <c r="M28" s="265">
        <v>0</v>
      </c>
      <c r="N28" s="253">
        <v>0</v>
      </c>
      <c r="O28" s="384">
        <v>6517.71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2:41" ht="12.75">
      <c r="B29" s="256"/>
      <c r="C29" s="256"/>
      <c r="D29" s="253"/>
      <c r="E29" s="298"/>
      <c r="F29" s="263"/>
      <c r="G29" s="253"/>
      <c r="H29" s="253"/>
      <c r="I29" s="253"/>
      <c r="J29" s="265"/>
      <c r="K29" s="265"/>
      <c r="L29" s="265"/>
      <c r="M29" s="253"/>
      <c r="N29" s="308"/>
      <c r="O29" s="384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41" ht="12.75">
      <c r="A30" s="3" t="s">
        <v>16</v>
      </c>
      <c r="B30" s="256">
        <f>SUM(C30:O30)+SUM(fed2!B30:L30)+SUM(fed3!B30:M30)+SUM(fed4!B30:K30)</f>
        <v>91700373.59</v>
      </c>
      <c r="C30" s="256">
        <v>0</v>
      </c>
      <c r="D30" s="253">
        <v>0</v>
      </c>
      <c r="E30" s="263">
        <v>3367797.86</v>
      </c>
      <c r="F30" s="279">
        <v>1051264</v>
      </c>
      <c r="G30" s="253">
        <v>0</v>
      </c>
      <c r="H30" s="253">
        <v>113579</v>
      </c>
      <c r="I30" s="253"/>
      <c r="J30" s="263">
        <v>21175061.22</v>
      </c>
      <c r="K30" s="263">
        <v>46735.59</v>
      </c>
      <c r="L30" s="263">
        <v>55339.3</v>
      </c>
      <c r="M30" s="265">
        <v>0</v>
      </c>
      <c r="N30" s="253">
        <v>29300.78</v>
      </c>
      <c r="O30" s="384">
        <v>134487.62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ht="12.75">
      <c r="A31" s="3" t="s">
        <v>17</v>
      </c>
      <c r="B31" s="256">
        <f>SUM(C31:O31)+SUM(fed2!B31:L31)+SUM(fed3!B31:M31)+SUM(fed4!B31:K31)</f>
        <v>117995326.35999995</v>
      </c>
      <c r="C31" s="256">
        <v>0</v>
      </c>
      <c r="D31" s="253">
        <v>0</v>
      </c>
      <c r="E31" s="263">
        <f>1297094.88+1276431.19</f>
        <v>2573526.07</v>
      </c>
      <c r="F31" s="279">
        <v>1243152.6700000002</v>
      </c>
      <c r="G31" s="253">
        <v>0</v>
      </c>
      <c r="H31" s="253">
        <v>102541.2</v>
      </c>
      <c r="I31" s="253"/>
      <c r="J31" s="265">
        <f>23450539.02+3102209.96</f>
        <v>26552748.98</v>
      </c>
      <c r="K31" s="265">
        <v>1921949.6</v>
      </c>
      <c r="L31" s="265">
        <v>63183.08</v>
      </c>
      <c r="M31" s="265">
        <v>0</v>
      </c>
      <c r="N31" s="253">
        <f>117247.07+5937.46</f>
        <v>123184.53000000001</v>
      </c>
      <c r="O31" s="253">
        <v>0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ht="12.75">
      <c r="A32" s="3" t="s">
        <v>18</v>
      </c>
      <c r="B32" s="256">
        <f>SUM(C32:O32)+SUM(fed2!B32:L32)+SUM(fed3!B32:M32)+SUM(fed4!B32:K32)</f>
        <v>5429151.49</v>
      </c>
      <c r="C32" s="256">
        <v>15973</v>
      </c>
      <c r="D32" s="253">
        <v>78617</v>
      </c>
      <c r="E32" s="263">
        <f>7520.1+54778.96</f>
        <v>62299.06</v>
      </c>
      <c r="F32" s="279">
        <v>72895</v>
      </c>
      <c r="G32" s="253">
        <v>0</v>
      </c>
      <c r="H32" s="263">
        <v>6548</v>
      </c>
      <c r="I32" s="253"/>
      <c r="J32" s="265">
        <v>718659.78</v>
      </c>
      <c r="K32" s="265">
        <v>0</v>
      </c>
      <c r="L32" s="265">
        <v>10551.14</v>
      </c>
      <c r="M32" s="253">
        <v>402841.41000000003</v>
      </c>
      <c r="N32" s="263">
        <v>192582.61</v>
      </c>
      <c r="O32" s="253">
        <v>0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ht="12.75">
      <c r="A33" s="3" t="s">
        <v>19</v>
      </c>
      <c r="B33" s="256">
        <f>SUM(C33:O33)+SUM(fed2!B33:L33)+SUM(fed3!B33:M33)+SUM(fed4!B33:K33)</f>
        <v>13598127.66</v>
      </c>
      <c r="C33" s="256">
        <v>0</v>
      </c>
      <c r="D33" s="253">
        <v>111896.4</v>
      </c>
      <c r="E33" s="263">
        <f>2205.93+47923.45</f>
        <v>50129.38</v>
      </c>
      <c r="F33" s="279">
        <v>150333.48</v>
      </c>
      <c r="G33" s="253">
        <v>0</v>
      </c>
      <c r="H33" s="253">
        <v>14865.04</v>
      </c>
      <c r="I33" s="253"/>
      <c r="J33" s="265">
        <f>2001375.73+5456.92</f>
        <v>2006832.65</v>
      </c>
      <c r="K33" s="265">
        <v>24817.67</v>
      </c>
      <c r="L33" s="265">
        <v>11067.86</v>
      </c>
      <c r="M33" s="265">
        <v>0</v>
      </c>
      <c r="N33" s="253">
        <v>0</v>
      </c>
      <c r="O33" s="253">
        <v>0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</row>
    <row r="34" spans="1:41" ht="12.75">
      <c r="A34" s="3" t="s">
        <v>20</v>
      </c>
      <c r="B34" s="256">
        <f>SUM(C34:O34)+SUM(fed2!B34:L34)+SUM(fed3!B34:M34)+SUM(fed4!B34:K34)</f>
        <v>6161424.68</v>
      </c>
      <c r="C34" s="256">
        <v>5433.21</v>
      </c>
      <c r="D34" s="253">
        <v>89285.43000000001</v>
      </c>
      <c r="E34" s="263">
        <f>16123.44+6011.31</f>
        <v>22134.75</v>
      </c>
      <c r="F34" s="279">
        <v>59595.75</v>
      </c>
      <c r="G34" s="253">
        <v>0</v>
      </c>
      <c r="H34" s="253">
        <v>6883</v>
      </c>
      <c r="I34" s="253"/>
      <c r="J34" s="265">
        <v>1245563.65</v>
      </c>
      <c r="K34" s="265">
        <v>0</v>
      </c>
      <c r="L34" s="265">
        <v>5313.96</v>
      </c>
      <c r="M34" s="253">
        <v>210276.49</v>
      </c>
      <c r="N34" s="253">
        <v>0</v>
      </c>
      <c r="O34" s="253">
        <v>0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</row>
    <row r="35" spans="2:41" ht="12.75">
      <c r="B35" s="256"/>
      <c r="C35" s="256"/>
      <c r="D35" s="253"/>
      <c r="E35" s="253"/>
      <c r="F35" s="253"/>
      <c r="G35" s="253"/>
      <c r="H35" s="253"/>
      <c r="I35" s="253"/>
      <c r="J35" s="265"/>
      <c r="K35" s="265"/>
      <c r="L35" s="265"/>
      <c r="M35" s="253"/>
      <c r="N35" s="253"/>
      <c r="O35" s="384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</row>
    <row r="36" spans="1:41" ht="12.75">
      <c r="A36" s="3" t="s">
        <v>21</v>
      </c>
      <c r="B36" s="256">
        <f>SUM(C36:O36)+SUM(fed2!B36:L36)+SUM(fed3!B36:M36)+SUM(fed4!B36:K36)</f>
        <v>3100354.29</v>
      </c>
      <c r="C36" s="256">
        <v>0</v>
      </c>
      <c r="D36" s="253">
        <v>0</v>
      </c>
      <c r="E36" s="263">
        <f>6999.04+31305.79</f>
        <v>38304.83</v>
      </c>
      <c r="F36" s="263">
        <v>87118.79000000001</v>
      </c>
      <c r="G36" s="263">
        <v>3629</v>
      </c>
      <c r="H36" s="253">
        <v>5563</v>
      </c>
      <c r="I36" s="253"/>
      <c r="J36" s="265">
        <v>703087.15</v>
      </c>
      <c r="K36" s="265">
        <v>0</v>
      </c>
      <c r="L36" s="265">
        <v>0</v>
      </c>
      <c r="M36" s="265">
        <v>0</v>
      </c>
      <c r="N36" s="253">
        <v>0</v>
      </c>
      <c r="O36" s="253">
        <v>0</v>
      </c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</row>
    <row r="37" spans="1:41" ht="12.75">
      <c r="A37" s="3" t="s">
        <v>22</v>
      </c>
      <c r="B37" s="256">
        <f>SUM(C37:O37)+SUM(fed2!B37:L37)+SUM(fed3!B37:M37)+SUM(fed4!B37:K37)</f>
        <v>17383342.950000003</v>
      </c>
      <c r="C37" s="256">
        <v>0</v>
      </c>
      <c r="D37" s="253">
        <v>0</v>
      </c>
      <c r="E37" s="253">
        <f>72151.69+23584.63</f>
        <v>95736.32</v>
      </c>
      <c r="F37" s="253">
        <v>215007.74</v>
      </c>
      <c r="G37" s="253">
        <v>0</v>
      </c>
      <c r="H37" s="253">
        <v>20639.73</v>
      </c>
      <c r="I37" s="253"/>
      <c r="J37" s="265">
        <v>3474684.09</v>
      </c>
      <c r="K37" s="253">
        <v>0</v>
      </c>
      <c r="L37" s="265">
        <v>5533.93</v>
      </c>
      <c r="M37" s="253">
        <v>0</v>
      </c>
      <c r="N37" s="253">
        <v>0</v>
      </c>
      <c r="O37" s="384">
        <v>99870.41</v>
      </c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</row>
    <row r="38" spans="1:41" ht="12.75">
      <c r="A38" s="3" t="s">
        <v>23</v>
      </c>
      <c r="B38" s="256">
        <f>SUM(C38:O38)+SUM(fed2!B38:L38)+SUM(fed3!B38:M38)+SUM(fed4!B38:K38)</f>
        <v>14943278.989999998</v>
      </c>
      <c r="C38" s="256">
        <v>15203</v>
      </c>
      <c r="D38" s="253">
        <f>2740+141570</f>
        <v>144310</v>
      </c>
      <c r="E38" s="263">
        <f>52790.89+11472.28</f>
        <v>64263.17</v>
      </c>
      <c r="F38" s="253">
        <v>188035.88</v>
      </c>
      <c r="G38" s="253">
        <v>0</v>
      </c>
      <c r="H38" s="253">
        <v>23108</v>
      </c>
      <c r="I38" s="253"/>
      <c r="J38" s="265">
        <v>3863216.66</v>
      </c>
      <c r="K38" s="253">
        <v>0</v>
      </c>
      <c r="L38" s="265">
        <v>5864.31</v>
      </c>
      <c r="M38" s="253">
        <v>0</v>
      </c>
      <c r="N38" s="253">
        <v>0</v>
      </c>
      <c r="O38" s="253">
        <v>0</v>
      </c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</row>
    <row r="39" spans="1:41" ht="12.75">
      <c r="A39" s="12" t="s">
        <v>24</v>
      </c>
      <c r="B39" s="260">
        <f>SUM(C39:O39)+SUM(fed2!B39:L39)+SUM(fed3!B39:M39)+SUM(fed4!B39:K39)</f>
        <v>7795142.28</v>
      </c>
      <c r="C39" s="260">
        <v>15934</v>
      </c>
      <c r="D39" s="254">
        <f>77656+3267</f>
        <v>80923</v>
      </c>
      <c r="E39" s="267">
        <f>14355.29+12925.46</f>
        <v>27280.75</v>
      </c>
      <c r="F39" s="254">
        <v>126237.19</v>
      </c>
      <c r="G39" s="254">
        <v>0</v>
      </c>
      <c r="H39" s="254">
        <v>9689</v>
      </c>
      <c r="I39" s="254"/>
      <c r="J39" s="267">
        <v>1434168.7400000002</v>
      </c>
      <c r="K39" s="254">
        <v>0</v>
      </c>
      <c r="L39" s="267">
        <v>5533.93</v>
      </c>
      <c r="M39" s="254">
        <v>0</v>
      </c>
      <c r="N39" s="254">
        <v>0</v>
      </c>
      <c r="O39" s="254">
        <v>0</v>
      </c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2:41" ht="12.75">
      <c r="B40" s="261"/>
      <c r="C40" s="261"/>
      <c r="D40" s="261"/>
      <c r="E40" s="298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2:41" ht="12.75">
      <c r="B41" s="262"/>
      <c r="C41" s="262"/>
      <c r="D41" s="261"/>
      <c r="E41" s="298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4:41" ht="12.75">
      <c r="D42" s="261"/>
      <c r="E42" s="298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4:41" ht="12.75">
      <c r="D43" s="261"/>
      <c r="E43" s="298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4:41" ht="12.75">
      <c r="D44" s="261"/>
      <c r="E44" s="298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4:41" ht="12.75">
      <c r="D45" s="261"/>
      <c r="E45" s="298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4:41" ht="12.75">
      <c r="D46" s="261"/>
      <c r="E46" s="298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4:41" ht="12.75">
      <c r="D47" s="261"/>
      <c r="E47" s="298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4:41" ht="12.75">
      <c r="D48" s="261"/>
      <c r="E48" s="298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4:41" ht="12.75">
      <c r="D49" s="261"/>
      <c r="E49" s="298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4:41" ht="12.75">
      <c r="D50" s="261"/>
      <c r="E50" s="298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4:41" ht="12.75">
      <c r="D51" s="261"/>
      <c r="E51" s="298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4:41" ht="12.75">
      <c r="D52" s="261"/>
      <c r="E52" s="298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4:41" ht="12.75">
      <c r="D53" s="261"/>
      <c r="E53" s="298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4:41" ht="12.75">
      <c r="D54" s="261"/>
      <c r="E54" s="298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4:41" ht="12.75">
      <c r="D55" s="261"/>
      <c r="E55" s="298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4:41" ht="12.75">
      <c r="D56" s="261"/>
      <c r="E56" s="298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4:41" ht="12.75">
      <c r="D57" s="261"/>
      <c r="E57" s="298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4:41" ht="12.75">
      <c r="D58" s="261"/>
      <c r="E58" s="298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4:41" ht="12.75">
      <c r="D59" s="261"/>
      <c r="E59" s="298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4:41" ht="12.75">
      <c r="D60" s="261"/>
      <c r="E60" s="298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4:41" ht="12.75">
      <c r="D61" s="261"/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4:41" ht="12.75">
      <c r="D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4:41" ht="12.75">
      <c r="D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4:41" ht="12.75">
      <c r="D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4:41" ht="12.75">
      <c r="D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4:41" ht="12.75">
      <c r="D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4:41" ht="12.75">
      <c r="D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4:41" ht="12.75">
      <c r="D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4:41" ht="12.75">
      <c r="D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4:41" ht="12.75">
      <c r="D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4:41" ht="12.75">
      <c r="D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4:41" ht="12.75">
      <c r="D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4:41" ht="12.75">
      <c r="D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4:41" ht="12.75">
      <c r="D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4:41" ht="12.75">
      <c r="D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4:41" ht="12.75">
      <c r="D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</sheetData>
  <sheetProtection password="CAF5" sheet="1"/>
  <mergeCells count="11">
    <mergeCell ref="F5:H5"/>
    <mergeCell ref="A3:O3"/>
    <mergeCell ref="C7:C9"/>
    <mergeCell ref="K7:K9"/>
    <mergeCell ref="L7:L9"/>
    <mergeCell ref="A1:O1"/>
    <mergeCell ref="J5:O5"/>
    <mergeCell ref="J6:O6"/>
    <mergeCell ref="F6:H6"/>
    <mergeCell ref="E7:E9"/>
    <mergeCell ref="A2:O2"/>
  </mergeCells>
  <printOptions horizontalCentered="1"/>
  <pageMargins left="0.27" right="0.34" top="0.83" bottom="1" header="0.67" footer="0.5"/>
  <pageSetup fitToHeight="1" fitToWidth="1" horizontalDpi="600" verticalDpi="600" orientation="landscape" scale="71" r:id="rId1"/>
  <headerFooter scaleWithDoc="0">
    <oddFooter>&amp;L&amp;"Arial,Italic"&amp;9MSDE-LFRO  09 / 2010&amp;C- 11 -&amp;R&amp;"Arial,Italic"&amp;9Selected Financial Data-Part 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workbookViewId="0" topLeftCell="H1">
      <selection activeCell="M12" sqref="M12"/>
    </sheetView>
  </sheetViews>
  <sheetFormatPr defaultColWidth="9.140625" defaultRowHeight="12.75"/>
  <cols>
    <col min="1" max="1" width="14.421875" style="0" customWidth="1"/>
    <col min="2" max="2" width="14.421875" style="299" customWidth="1"/>
    <col min="3" max="3" width="11.57421875" style="299" customWidth="1"/>
    <col min="4" max="4" width="14.00390625" style="299" customWidth="1"/>
    <col min="5" max="5" width="13.8515625" style="299" bestFit="1" customWidth="1"/>
    <col min="6" max="6" width="11.28125" style="299" customWidth="1"/>
    <col min="7" max="7" width="12.421875" style="299" bestFit="1" customWidth="1"/>
    <col min="8" max="8" width="12.28125" style="299" customWidth="1"/>
    <col min="9" max="9" width="14.7109375" style="299" customWidth="1"/>
    <col min="10" max="10" width="15.7109375" style="299" customWidth="1"/>
    <col min="11" max="11" width="16.140625" style="0" bestFit="1" customWidth="1"/>
    <col min="12" max="12" width="12.7109375" style="0" bestFit="1" customWidth="1"/>
    <col min="13" max="13" width="11.8515625" style="0" bestFit="1" customWidth="1"/>
  </cols>
  <sheetData>
    <row r="1" spans="1:11" ht="12.75">
      <c r="A1" s="461" t="s">
        <v>125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</row>
    <row r="2" spans="1:2" ht="12.75">
      <c r="A2" s="3"/>
      <c r="B2" s="257"/>
    </row>
    <row r="3" spans="1:11" ht="12.75">
      <c r="A3" s="463" t="s">
        <v>251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</row>
    <row r="4" spans="1:11" ht="13.5" thickBot="1">
      <c r="A4" s="3"/>
      <c r="B4" s="257"/>
      <c r="C4" s="257"/>
      <c r="D4" s="257"/>
      <c r="E4" s="257"/>
      <c r="F4" s="257"/>
      <c r="G4" s="257"/>
      <c r="H4" s="257"/>
      <c r="I4" s="257"/>
      <c r="J4" s="294"/>
      <c r="K4" s="3"/>
    </row>
    <row r="5" spans="1:12" ht="15" customHeight="1" thickTop="1">
      <c r="A5" s="6"/>
      <c r="B5" s="366" t="s">
        <v>56</v>
      </c>
      <c r="C5" s="366"/>
      <c r="D5" s="366"/>
      <c r="E5" s="366"/>
      <c r="F5" s="366"/>
      <c r="G5" s="366"/>
      <c r="H5" s="366"/>
      <c r="I5" s="366"/>
      <c r="J5" s="366"/>
      <c r="K5" s="453" t="s">
        <v>78</v>
      </c>
      <c r="L5" s="453"/>
    </row>
    <row r="6" spans="1:12" ht="12.75">
      <c r="A6" s="3"/>
      <c r="B6" s="257"/>
      <c r="C6" s="288" t="s">
        <v>259</v>
      </c>
      <c r="D6" s="287" t="s">
        <v>259</v>
      </c>
      <c r="E6" s="288" t="s">
        <v>210</v>
      </c>
      <c r="F6" s="300" t="s">
        <v>192</v>
      </c>
      <c r="G6" s="288"/>
      <c r="I6" s="468" t="s">
        <v>209</v>
      </c>
      <c r="J6" s="468" t="s">
        <v>208</v>
      </c>
      <c r="K6" s="288" t="s">
        <v>75</v>
      </c>
      <c r="L6" s="257"/>
    </row>
    <row r="7" spans="1:12" ht="12.75" customHeight="1">
      <c r="A7" s="3" t="s">
        <v>81</v>
      </c>
      <c r="B7" s="475" t="s">
        <v>284</v>
      </c>
      <c r="C7" s="288" t="s">
        <v>261</v>
      </c>
      <c r="D7" s="288" t="s">
        <v>260</v>
      </c>
      <c r="E7" s="288" t="s">
        <v>65</v>
      </c>
      <c r="F7" s="465" t="s">
        <v>193</v>
      </c>
      <c r="G7" s="288" t="s">
        <v>142</v>
      </c>
      <c r="H7" s="288" t="s">
        <v>194</v>
      </c>
      <c r="I7" s="473"/>
      <c r="J7" s="473"/>
      <c r="K7" s="288" t="s">
        <v>35</v>
      </c>
      <c r="L7" s="288" t="s">
        <v>76</v>
      </c>
    </row>
    <row r="8" spans="1:12" ht="12.75">
      <c r="A8" s="3" t="s">
        <v>34</v>
      </c>
      <c r="B8" s="473"/>
      <c r="C8" s="288" t="s">
        <v>26</v>
      </c>
      <c r="D8" s="288" t="s">
        <v>26</v>
      </c>
      <c r="E8" s="288" t="s">
        <v>66</v>
      </c>
      <c r="F8" s="465"/>
      <c r="G8" s="288" t="s">
        <v>138</v>
      </c>
      <c r="H8" s="288" t="s">
        <v>195</v>
      </c>
      <c r="I8" s="473"/>
      <c r="J8" s="473"/>
      <c r="K8" s="288" t="s">
        <v>80</v>
      </c>
      <c r="L8" s="288" t="s">
        <v>148</v>
      </c>
    </row>
    <row r="9" spans="1:12" ht="13.5" thickBot="1">
      <c r="A9" s="7" t="s">
        <v>134</v>
      </c>
      <c r="B9" s="466"/>
      <c r="C9" s="290" t="s">
        <v>68</v>
      </c>
      <c r="D9" s="290" t="s">
        <v>68</v>
      </c>
      <c r="E9" s="290" t="s">
        <v>67</v>
      </c>
      <c r="F9" s="466"/>
      <c r="G9" s="290" t="s">
        <v>34</v>
      </c>
      <c r="H9" s="290"/>
      <c r="I9" s="466"/>
      <c r="J9" s="466"/>
      <c r="K9" s="290" t="s">
        <v>74</v>
      </c>
      <c r="L9" s="290" t="s">
        <v>77</v>
      </c>
    </row>
    <row r="10" spans="1:12" s="373" customFormat="1" ht="12.75">
      <c r="A10" s="374" t="s">
        <v>0</v>
      </c>
      <c r="B10" s="305">
        <f aca="true" t="shared" si="0" ref="B10:J10">SUM(B12:B39)</f>
        <v>1126563.35</v>
      </c>
      <c r="C10" s="305">
        <f t="shared" si="0"/>
        <v>1546179.96</v>
      </c>
      <c r="D10" s="305">
        <f t="shared" si="0"/>
        <v>2294621.32</v>
      </c>
      <c r="E10" s="305">
        <f t="shared" si="0"/>
        <v>883686.74</v>
      </c>
      <c r="F10" s="305">
        <f t="shared" si="0"/>
        <v>1252814.68</v>
      </c>
      <c r="G10" s="305">
        <f t="shared" si="0"/>
        <v>67068</v>
      </c>
      <c r="H10" s="305">
        <f t="shared" si="0"/>
        <v>10933665.269999998</v>
      </c>
      <c r="I10" s="305">
        <f t="shared" si="0"/>
        <v>622301.22</v>
      </c>
      <c r="J10" s="305">
        <f t="shared" si="0"/>
        <v>70110.51999999999</v>
      </c>
      <c r="K10" s="305">
        <f>SUM(K12:K39)</f>
        <v>139911935.94000003</v>
      </c>
      <c r="L10" s="305">
        <f>SUM(L12:L39)</f>
        <v>13710913.139999999</v>
      </c>
    </row>
    <row r="11" spans="1:12" ht="12.75">
      <c r="A11" s="3"/>
      <c r="B11" s="308"/>
      <c r="C11" s="306"/>
      <c r="D11" s="306"/>
      <c r="E11" s="306"/>
      <c r="F11" s="334"/>
      <c r="G11" s="306"/>
      <c r="H11" s="306"/>
      <c r="I11" s="306"/>
      <c r="J11" s="306"/>
      <c r="K11" s="306"/>
      <c r="L11" s="306"/>
    </row>
    <row r="12" spans="1:13" ht="12.75">
      <c r="A12" s="3" t="s">
        <v>1</v>
      </c>
      <c r="B12" s="253">
        <v>0</v>
      </c>
      <c r="C12" s="253">
        <f>23152.55+18918</f>
        <v>42070.55</v>
      </c>
      <c r="D12" s="253">
        <v>68492.8</v>
      </c>
      <c r="E12" s="280">
        <v>0</v>
      </c>
      <c r="F12" s="253">
        <v>0</v>
      </c>
      <c r="G12" s="253">
        <v>0</v>
      </c>
      <c r="H12" s="253">
        <v>279134.71</v>
      </c>
      <c r="I12" s="263">
        <v>0</v>
      </c>
      <c r="J12" s="263">
        <v>0</v>
      </c>
      <c r="K12" s="269">
        <v>2378566.38</v>
      </c>
      <c r="L12" s="269">
        <v>297471.57</v>
      </c>
      <c r="M12" s="1"/>
    </row>
    <row r="13" spans="1:12" ht="12.75">
      <c r="A13" s="3" t="s">
        <v>2</v>
      </c>
      <c r="B13" s="253">
        <v>0</v>
      </c>
      <c r="C13" s="253">
        <v>35741.66</v>
      </c>
      <c r="D13" s="253">
        <v>87307.74</v>
      </c>
      <c r="E13" s="280">
        <v>59139.38</v>
      </c>
      <c r="F13" s="253">
        <v>0</v>
      </c>
      <c r="G13" s="253">
        <v>0</v>
      </c>
      <c r="H13" s="253">
        <v>0</v>
      </c>
      <c r="I13" s="263">
        <v>0</v>
      </c>
      <c r="J13" s="263">
        <v>0</v>
      </c>
      <c r="K13" s="269">
        <v>7458385</v>
      </c>
      <c r="L13" s="253">
        <v>0</v>
      </c>
    </row>
    <row r="14" spans="1:12" ht="12.75">
      <c r="A14" s="3" t="s">
        <v>3</v>
      </c>
      <c r="B14" s="263">
        <v>813042.49</v>
      </c>
      <c r="C14" s="253">
        <v>66747.93</v>
      </c>
      <c r="D14" s="253">
        <v>475604.11</v>
      </c>
      <c r="E14" s="280">
        <f>16913.92+100551.61</f>
        <v>117465.53</v>
      </c>
      <c r="F14" s="253">
        <v>0</v>
      </c>
      <c r="G14" s="279">
        <v>35486.47</v>
      </c>
      <c r="H14" s="279">
        <f>798938.76+3717392.84</f>
        <v>4516331.6</v>
      </c>
      <c r="I14" s="253">
        <v>0</v>
      </c>
      <c r="J14" s="263">
        <v>0</v>
      </c>
      <c r="K14" s="269">
        <v>25358869.52</v>
      </c>
      <c r="L14" s="253">
        <v>1422054.1</v>
      </c>
    </row>
    <row r="15" spans="1:12" ht="12.75">
      <c r="A15" s="3" t="s">
        <v>4</v>
      </c>
      <c r="B15" s="253">
        <v>0</v>
      </c>
      <c r="C15" s="253">
        <f>21287.93+172169.47</f>
        <v>193457.4</v>
      </c>
      <c r="D15" s="253">
        <v>427828.35</v>
      </c>
      <c r="E15" s="280">
        <v>108419.14</v>
      </c>
      <c r="F15" s="253">
        <v>0</v>
      </c>
      <c r="G15" s="253">
        <v>0</v>
      </c>
      <c r="H15" s="253">
        <v>1460797.63</v>
      </c>
      <c r="I15" s="253">
        <v>0</v>
      </c>
      <c r="J15" s="253">
        <v>17703.02</v>
      </c>
      <c r="K15" s="269">
        <f>1000+16903130</f>
        <v>16904130</v>
      </c>
      <c r="L15" s="269">
        <v>1850239</v>
      </c>
    </row>
    <row r="16" spans="1:12" ht="12.75">
      <c r="A16" s="3" t="s">
        <v>5</v>
      </c>
      <c r="B16" s="253">
        <v>0</v>
      </c>
      <c r="C16" s="263">
        <v>11015</v>
      </c>
      <c r="D16" s="263">
        <v>0</v>
      </c>
      <c r="E16" s="280">
        <v>0</v>
      </c>
      <c r="F16" s="253">
        <v>0</v>
      </c>
      <c r="G16" s="253">
        <v>0</v>
      </c>
      <c r="H16" s="253">
        <v>0</v>
      </c>
      <c r="I16" s="253">
        <v>0</v>
      </c>
      <c r="J16" s="263">
        <v>11801.230000000001</v>
      </c>
      <c r="K16" s="269">
        <v>1097961.85</v>
      </c>
      <c r="L16" s="269">
        <v>250651</v>
      </c>
    </row>
    <row r="17" spans="1:12" ht="12.75">
      <c r="A17" s="3"/>
      <c r="B17" s="253"/>
      <c r="C17" s="279"/>
      <c r="D17" s="279"/>
      <c r="E17" s="280"/>
      <c r="F17" s="253"/>
      <c r="G17" s="253"/>
      <c r="H17" s="253"/>
      <c r="I17" s="253"/>
      <c r="J17" s="253"/>
      <c r="K17" s="269"/>
      <c r="L17" s="269"/>
    </row>
    <row r="18" spans="1:12" ht="12.75">
      <c r="A18" s="3" t="s">
        <v>6</v>
      </c>
      <c r="B18" s="253">
        <v>0</v>
      </c>
      <c r="C18" s="263">
        <v>47181</v>
      </c>
      <c r="D18" s="263">
        <v>32196.34</v>
      </c>
      <c r="E18" s="280">
        <v>652</v>
      </c>
      <c r="F18" s="253">
        <v>0</v>
      </c>
      <c r="G18" s="253">
        <v>0</v>
      </c>
      <c r="H18" s="253">
        <v>0</v>
      </c>
      <c r="I18" s="253">
        <v>0</v>
      </c>
      <c r="J18" s="263">
        <v>0</v>
      </c>
      <c r="K18" s="269">
        <v>1227224.86</v>
      </c>
      <c r="L18" s="253">
        <v>0</v>
      </c>
    </row>
    <row r="19" spans="1:12" ht="12.75">
      <c r="A19" s="3" t="s">
        <v>7</v>
      </c>
      <c r="B19" s="253">
        <v>0</v>
      </c>
      <c r="C19" s="253">
        <v>1306.4</v>
      </c>
      <c r="D19" s="253">
        <v>17000.29</v>
      </c>
      <c r="E19" s="280">
        <v>0</v>
      </c>
      <c r="F19" s="253">
        <v>0</v>
      </c>
      <c r="G19" s="253">
        <v>0</v>
      </c>
      <c r="H19" s="253">
        <v>0</v>
      </c>
      <c r="I19" s="253">
        <v>0</v>
      </c>
      <c r="J19" s="263">
        <v>0</v>
      </c>
      <c r="K19" s="269">
        <v>1681574.12</v>
      </c>
      <c r="L19" s="269">
        <v>483221.68</v>
      </c>
    </row>
    <row r="20" spans="1:12" ht="12.75">
      <c r="A20" s="3" t="s">
        <v>8</v>
      </c>
      <c r="B20" s="253">
        <v>0</v>
      </c>
      <c r="C20" s="253">
        <v>1905</v>
      </c>
      <c r="D20" s="253">
        <v>1137.8</v>
      </c>
      <c r="E20" s="280">
        <v>676.67</v>
      </c>
      <c r="F20" s="253">
        <v>0</v>
      </c>
      <c r="G20" s="253">
        <v>0</v>
      </c>
      <c r="H20" s="253">
        <v>0</v>
      </c>
      <c r="I20" s="253">
        <v>0</v>
      </c>
      <c r="J20" s="263">
        <v>17894.12</v>
      </c>
      <c r="K20" s="269">
        <v>2526552.77</v>
      </c>
      <c r="L20" s="269">
        <v>245971.45</v>
      </c>
    </row>
    <row r="21" spans="1:12" ht="12.75">
      <c r="A21" s="3" t="s">
        <v>9</v>
      </c>
      <c r="B21" s="253">
        <v>0</v>
      </c>
      <c r="C21" s="253">
        <v>4464.59</v>
      </c>
      <c r="D21" s="253">
        <v>28989.7</v>
      </c>
      <c r="E21" s="280">
        <v>136109.66999999998</v>
      </c>
      <c r="F21" s="253">
        <v>0</v>
      </c>
      <c r="G21" s="279">
        <v>5054.93</v>
      </c>
      <c r="H21" s="279">
        <v>0</v>
      </c>
      <c r="I21" s="253">
        <v>0</v>
      </c>
      <c r="J21" s="263">
        <v>0</v>
      </c>
      <c r="K21" s="269">
        <v>3298217.42</v>
      </c>
      <c r="L21" s="269">
        <v>503469.31</v>
      </c>
    </row>
    <row r="22" spans="1:12" ht="12.75">
      <c r="A22" s="3" t="s">
        <v>10</v>
      </c>
      <c r="B22" s="253">
        <v>0</v>
      </c>
      <c r="C22" s="253">
        <v>20247.39</v>
      </c>
      <c r="D22" s="253">
        <v>46354.869999999995</v>
      </c>
      <c r="E22" s="280">
        <v>0</v>
      </c>
      <c r="F22" s="253">
        <v>0</v>
      </c>
      <c r="G22" s="253">
        <v>0</v>
      </c>
      <c r="H22" s="253">
        <v>616223.97</v>
      </c>
      <c r="I22" s="253">
        <v>0</v>
      </c>
      <c r="J22" s="263">
        <v>3424.84</v>
      </c>
      <c r="K22" s="269">
        <v>1327592</v>
      </c>
      <c r="L22" s="269">
        <v>93908</v>
      </c>
    </row>
    <row r="23" spans="1:12" ht="12.75">
      <c r="A23" s="3"/>
      <c r="B23" s="253"/>
      <c r="C23" s="253"/>
      <c r="D23" s="253"/>
      <c r="E23" s="280"/>
      <c r="F23" s="253"/>
      <c r="G23" s="253"/>
      <c r="H23" s="253"/>
      <c r="I23" s="253"/>
      <c r="J23" s="253"/>
      <c r="K23" s="269"/>
      <c r="L23" s="269"/>
    </row>
    <row r="24" spans="1:12" ht="12.75">
      <c r="A24" s="3" t="s">
        <v>11</v>
      </c>
      <c r="B24" s="253">
        <v>0</v>
      </c>
      <c r="C24" s="253">
        <f>5741.9</f>
        <v>5741.9</v>
      </c>
      <c r="D24" s="253">
        <v>1852.54</v>
      </c>
      <c r="E24" s="280">
        <v>0</v>
      </c>
      <c r="F24" s="253">
        <v>0</v>
      </c>
      <c r="G24" s="253">
        <v>0</v>
      </c>
      <c r="H24" s="253">
        <v>0</v>
      </c>
      <c r="I24" s="253">
        <v>0</v>
      </c>
      <c r="J24" s="263">
        <v>0</v>
      </c>
      <c r="K24" s="269">
        <v>3560111</v>
      </c>
      <c r="L24" s="269">
        <v>670349</v>
      </c>
    </row>
    <row r="25" spans="1:12" ht="12.75">
      <c r="A25" s="3" t="s">
        <v>12</v>
      </c>
      <c r="B25" s="253">
        <v>0</v>
      </c>
      <c r="C25" s="253">
        <v>0</v>
      </c>
      <c r="D25" s="253">
        <v>87748.38</v>
      </c>
      <c r="E25" s="280">
        <v>0</v>
      </c>
      <c r="F25" s="253">
        <v>0</v>
      </c>
      <c r="G25" s="253">
        <v>0</v>
      </c>
      <c r="H25" s="253">
        <v>285767.33999999997</v>
      </c>
      <c r="I25" s="253">
        <v>0</v>
      </c>
      <c r="J25" s="263">
        <v>0</v>
      </c>
      <c r="K25" s="269">
        <v>1019187</v>
      </c>
      <c r="L25" s="269">
        <v>129722</v>
      </c>
    </row>
    <row r="26" spans="1:12" ht="12.75">
      <c r="A26" s="3" t="s">
        <v>13</v>
      </c>
      <c r="B26" s="253">
        <v>0</v>
      </c>
      <c r="C26" s="253">
        <v>20547.58</v>
      </c>
      <c r="D26" s="253">
        <v>20086.51</v>
      </c>
      <c r="E26" s="280">
        <v>41581.51</v>
      </c>
      <c r="F26" s="253">
        <v>0</v>
      </c>
      <c r="G26" s="253">
        <v>0</v>
      </c>
      <c r="H26" s="253">
        <v>0</v>
      </c>
      <c r="I26" s="253">
        <v>0</v>
      </c>
      <c r="J26" s="263">
        <v>0</v>
      </c>
      <c r="K26" s="269">
        <v>4764532</v>
      </c>
      <c r="L26" s="269">
        <v>864279</v>
      </c>
    </row>
    <row r="27" spans="1:12" ht="12.75">
      <c r="A27" s="3" t="s">
        <v>14</v>
      </c>
      <c r="B27" s="253">
        <v>0</v>
      </c>
      <c r="C27" s="253">
        <v>807.8</v>
      </c>
      <c r="D27" s="253">
        <v>22175.82</v>
      </c>
      <c r="E27" s="280">
        <v>92479.96</v>
      </c>
      <c r="F27" s="263">
        <v>0</v>
      </c>
      <c r="G27" s="253">
        <v>0</v>
      </c>
      <c r="H27" s="253">
        <v>0</v>
      </c>
      <c r="I27" s="253">
        <v>0</v>
      </c>
      <c r="J27" s="263">
        <v>0</v>
      </c>
      <c r="K27" s="269">
        <v>3053713</v>
      </c>
      <c r="L27" s="269">
        <v>870210</v>
      </c>
    </row>
    <row r="28" spans="1:12" ht="12.75">
      <c r="A28" s="3" t="s">
        <v>15</v>
      </c>
      <c r="B28" s="253">
        <v>0</v>
      </c>
      <c r="C28" s="253">
        <v>44167</v>
      </c>
      <c r="D28" s="253">
        <v>150467.24</v>
      </c>
      <c r="E28" s="280">
        <v>0</v>
      </c>
      <c r="F28" s="253">
        <v>0</v>
      </c>
      <c r="G28" s="253">
        <v>0</v>
      </c>
      <c r="H28" s="253">
        <v>0</v>
      </c>
      <c r="I28" s="253">
        <v>0</v>
      </c>
      <c r="J28" s="263">
        <v>1566.88</v>
      </c>
      <c r="K28" s="269">
        <v>560848.6</v>
      </c>
      <c r="L28" s="269">
        <v>72925.4</v>
      </c>
    </row>
    <row r="29" spans="1:12" ht="12.75">
      <c r="A29" s="3"/>
      <c r="B29" s="253"/>
      <c r="C29" s="253"/>
      <c r="D29" s="253"/>
      <c r="E29" s="280"/>
      <c r="F29" s="253"/>
      <c r="G29" s="253"/>
      <c r="H29" s="253"/>
      <c r="I29" s="253"/>
      <c r="J29" s="253"/>
      <c r="K29" s="269"/>
      <c r="L29" s="269"/>
    </row>
    <row r="30" spans="1:12" ht="12.75">
      <c r="A30" s="3" t="s">
        <v>16</v>
      </c>
      <c r="B30" s="253">
        <v>0</v>
      </c>
      <c r="C30" s="253">
        <f>348411+354618.13</f>
        <v>703029.13</v>
      </c>
      <c r="D30" s="253">
        <v>454966.23000000004</v>
      </c>
      <c r="E30" s="280">
        <v>31535.65</v>
      </c>
      <c r="F30" s="253">
        <v>0</v>
      </c>
      <c r="G30" s="279">
        <f>13470.72+13055.88</f>
        <v>26526.6</v>
      </c>
      <c r="H30" s="279">
        <v>1241773.9</v>
      </c>
      <c r="I30" s="253">
        <v>0</v>
      </c>
      <c r="J30" s="263">
        <v>0</v>
      </c>
      <c r="K30" s="269">
        <v>18311345</v>
      </c>
      <c r="L30" s="269">
        <v>2268310</v>
      </c>
    </row>
    <row r="31" spans="1:12" ht="12.75">
      <c r="A31" s="3" t="s">
        <v>17</v>
      </c>
      <c r="B31" s="253">
        <v>313520.86</v>
      </c>
      <c r="C31" s="253">
        <v>52022.84</v>
      </c>
      <c r="D31" s="253">
        <v>172797.87</v>
      </c>
      <c r="E31" s="280">
        <v>108134</v>
      </c>
      <c r="F31" s="253">
        <v>0</v>
      </c>
      <c r="G31" s="279">
        <v>0</v>
      </c>
      <c r="H31" s="279">
        <f>347262.03+1786008.56</f>
        <v>2133270.59</v>
      </c>
      <c r="I31" s="253">
        <v>0</v>
      </c>
      <c r="J31" s="263">
        <v>0</v>
      </c>
      <c r="K31" s="269">
        <f>883+31110311</f>
        <v>31111194</v>
      </c>
      <c r="L31" s="269">
        <v>2679324</v>
      </c>
    </row>
    <row r="32" spans="1:12" ht="12.75">
      <c r="A32" s="3" t="s">
        <v>18</v>
      </c>
      <c r="B32" s="253">
        <v>0</v>
      </c>
      <c r="C32" s="253">
        <v>0</v>
      </c>
      <c r="D32" s="253">
        <v>6935.48</v>
      </c>
      <c r="E32" s="280">
        <v>1999.36</v>
      </c>
      <c r="F32" s="253">
        <v>0</v>
      </c>
      <c r="G32" s="253">
        <v>0</v>
      </c>
      <c r="H32" s="253">
        <v>0</v>
      </c>
      <c r="I32" s="253">
        <v>0</v>
      </c>
      <c r="J32" s="263">
        <v>0</v>
      </c>
      <c r="K32" s="269">
        <v>700616.41</v>
      </c>
      <c r="L32" s="253">
        <v>0</v>
      </c>
    </row>
    <row r="33" spans="1:12" ht="12.75">
      <c r="A33" s="3" t="s">
        <v>19</v>
      </c>
      <c r="B33" s="253">
        <v>0</v>
      </c>
      <c r="C33" s="253">
        <v>597.69</v>
      </c>
      <c r="D33" s="253">
        <v>10333.14</v>
      </c>
      <c r="E33" s="280">
        <v>0</v>
      </c>
      <c r="F33" s="253">
        <v>0</v>
      </c>
      <c r="G33" s="253">
        <v>0</v>
      </c>
      <c r="H33" s="253">
        <v>0</v>
      </c>
      <c r="I33" s="253">
        <v>0</v>
      </c>
      <c r="J33" s="253">
        <v>17720.43</v>
      </c>
      <c r="K33" s="269">
        <f>1000+2163884.23</f>
        <v>2164884.23</v>
      </c>
      <c r="L33" s="269">
        <v>322989.87</v>
      </c>
    </row>
    <row r="34" spans="1:12" ht="12.75">
      <c r="A34" s="3" t="s">
        <v>20</v>
      </c>
      <c r="B34" s="253">
        <v>0</v>
      </c>
      <c r="C34" s="253">
        <f>2515.24+150000+10000</f>
        <v>162515.24</v>
      </c>
      <c r="D34" s="253">
        <v>77691.73</v>
      </c>
      <c r="E34" s="280">
        <v>499</v>
      </c>
      <c r="F34" s="253">
        <v>9751.64</v>
      </c>
      <c r="G34" s="253">
        <v>0</v>
      </c>
      <c r="H34" s="253">
        <f>303711.54+96653.99</f>
        <v>400365.52999999997</v>
      </c>
      <c r="I34" s="253">
        <v>0</v>
      </c>
      <c r="J34" s="263">
        <v>0</v>
      </c>
      <c r="K34" s="269">
        <v>902229.23</v>
      </c>
      <c r="L34" s="269">
        <v>58216</v>
      </c>
    </row>
    <row r="35" spans="1:12" ht="12.75">
      <c r="A35" s="3"/>
      <c r="B35" s="253"/>
      <c r="C35" s="253"/>
      <c r="D35" s="253"/>
      <c r="E35" s="280"/>
      <c r="F35" s="253"/>
      <c r="G35" s="253"/>
      <c r="H35" s="253"/>
      <c r="I35" s="253"/>
      <c r="J35" s="253"/>
      <c r="K35" s="269"/>
      <c r="L35" s="269"/>
    </row>
    <row r="36" spans="1:12" ht="12.75">
      <c r="A36" s="3" t="s">
        <v>21</v>
      </c>
      <c r="B36" s="253">
        <v>0</v>
      </c>
      <c r="C36" s="253">
        <f>123.18</f>
        <v>123.18</v>
      </c>
      <c r="D36" s="253">
        <v>5768.06</v>
      </c>
      <c r="E36" s="280">
        <v>0</v>
      </c>
      <c r="F36" s="253">
        <v>0</v>
      </c>
      <c r="G36" s="253">
        <v>0</v>
      </c>
      <c r="H36" s="253">
        <v>0</v>
      </c>
      <c r="I36" s="253">
        <v>0</v>
      </c>
      <c r="J36" s="253">
        <v>0</v>
      </c>
      <c r="K36" s="269">
        <v>750290.15</v>
      </c>
      <c r="L36" s="253">
        <v>0</v>
      </c>
    </row>
    <row r="37" spans="1:12" ht="12.75">
      <c r="A37" s="3" t="s">
        <v>22</v>
      </c>
      <c r="B37" s="253">
        <v>0</v>
      </c>
      <c r="C37" s="253">
        <f>15798.45+21741.14</f>
        <v>37539.59</v>
      </c>
      <c r="D37" s="253">
        <v>44159.41</v>
      </c>
      <c r="E37" s="280">
        <v>33944.25</v>
      </c>
      <c r="F37" s="253">
        <f>193462.51+303389.88</f>
        <v>496852.39</v>
      </c>
      <c r="G37" s="253">
        <v>0</v>
      </c>
      <c r="H37" s="253">
        <v>0</v>
      </c>
      <c r="I37" s="253">
        <v>622301.22</v>
      </c>
      <c r="J37" s="253">
        <v>0</v>
      </c>
      <c r="K37" s="269">
        <f>218+4634180.94</f>
        <v>4634398.94</v>
      </c>
      <c r="L37" s="269">
        <v>418349</v>
      </c>
    </row>
    <row r="38" spans="1:12" ht="12.75">
      <c r="A38" s="3" t="s">
        <v>23</v>
      </c>
      <c r="B38" s="253">
        <v>0</v>
      </c>
      <c r="C38" s="253">
        <v>67672.13</v>
      </c>
      <c r="D38" s="253">
        <v>7269.57</v>
      </c>
      <c r="E38" s="280">
        <v>8272.34</v>
      </c>
      <c r="F38" s="253">
        <v>592069.46</v>
      </c>
      <c r="G38" s="253">
        <v>0</v>
      </c>
      <c r="H38" s="253">
        <v>0</v>
      </c>
      <c r="I38" s="253">
        <v>0</v>
      </c>
      <c r="J38" s="253">
        <v>0</v>
      </c>
      <c r="K38" s="169">
        <v>3705341.84</v>
      </c>
      <c r="L38" s="253">
        <v>209252.76</v>
      </c>
    </row>
    <row r="39" spans="1:12" ht="12.75">
      <c r="A39" s="12" t="s">
        <v>24</v>
      </c>
      <c r="B39" s="254">
        <v>0</v>
      </c>
      <c r="C39" s="254">
        <v>27278.960000000003</v>
      </c>
      <c r="D39" s="254">
        <v>47457.340000000004</v>
      </c>
      <c r="E39" s="293">
        <v>142778.28</v>
      </c>
      <c r="F39" s="254">
        <v>154141.19</v>
      </c>
      <c r="G39" s="254">
        <v>0</v>
      </c>
      <c r="H39" s="301">
        <v>0</v>
      </c>
      <c r="I39" s="254">
        <v>0</v>
      </c>
      <c r="J39" s="254">
        <v>0</v>
      </c>
      <c r="K39" s="271">
        <v>1414170.6199999999</v>
      </c>
      <c r="L39" s="254">
        <v>0</v>
      </c>
    </row>
    <row r="40" spans="1:11" ht="12.75">
      <c r="A40" s="3"/>
      <c r="B40" s="257"/>
      <c r="C40" s="261"/>
      <c r="D40" s="261"/>
      <c r="E40" s="261"/>
      <c r="F40" s="261"/>
      <c r="G40" s="261"/>
      <c r="H40" s="302"/>
      <c r="I40" s="261"/>
      <c r="J40" s="261"/>
      <c r="K40" s="15"/>
    </row>
    <row r="41" spans="1:11" ht="12.75">
      <c r="A41" s="3"/>
      <c r="B41" s="257"/>
      <c r="C41" s="261"/>
      <c r="D41" s="261"/>
      <c r="E41" s="261"/>
      <c r="F41" s="261"/>
      <c r="G41" s="261"/>
      <c r="H41" s="261"/>
      <c r="I41" s="261"/>
      <c r="J41" s="261"/>
      <c r="K41" s="15"/>
    </row>
    <row r="42" spans="1:11" ht="12.75">
      <c r="A42" s="3"/>
      <c r="B42" s="257"/>
      <c r="C42" s="261"/>
      <c r="D42" s="261"/>
      <c r="E42" s="261"/>
      <c r="F42" s="261"/>
      <c r="G42" s="261"/>
      <c r="H42" s="261"/>
      <c r="I42" s="261"/>
      <c r="J42" s="261"/>
      <c r="K42" s="15"/>
    </row>
    <row r="43" spans="1:11" ht="12.75">
      <c r="A43" s="3"/>
      <c r="B43" s="257"/>
      <c r="C43" s="261"/>
      <c r="D43" s="261"/>
      <c r="E43" s="261"/>
      <c r="F43" s="261"/>
      <c r="G43" s="261"/>
      <c r="H43" s="261"/>
      <c r="I43" s="261"/>
      <c r="J43" s="261"/>
      <c r="K43" s="15"/>
    </row>
    <row r="44" spans="1:11" ht="12.75">
      <c r="A44" s="3"/>
      <c r="B44" s="257"/>
      <c r="C44" s="261"/>
      <c r="D44" s="261"/>
      <c r="E44" s="261"/>
      <c r="F44" s="261"/>
      <c r="G44" s="261"/>
      <c r="H44" s="261"/>
      <c r="I44" s="261"/>
      <c r="J44" s="261"/>
      <c r="K44" s="15"/>
    </row>
    <row r="45" spans="1:11" ht="12.75">
      <c r="A45" s="3"/>
      <c r="B45" s="257"/>
      <c r="C45" s="261"/>
      <c r="D45" s="261"/>
      <c r="E45" s="261"/>
      <c r="F45" s="261"/>
      <c r="G45" s="261"/>
      <c r="H45" s="261"/>
      <c r="I45" s="261"/>
      <c r="J45" s="261"/>
      <c r="K45" s="15"/>
    </row>
    <row r="46" spans="1:11" ht="12.75">
      <c r="A46" s="3"/>
      <c r="B46" s="257"/>
      <c r="C46" s="261"/>
      <c r="D46" s="261"/>
      <c r="E46" s="261"/>
      <c r="F46" s="261"/>
      <c r="G46" s="261"/>
      <c r="H46" s="261"/>
      <c r="I46" s="261"/>
      <c r="J46" s="261"/>
      <c r="K46" s="15"/>
    </row>
    <row r="47" spans="1:11" ht="12.75">
      <c r="A47" s="3"/>
      <c r="B47" s="257"/>
      <c r="C47" s="261"/>
      <c r="D47" s="261"/>
      <c r="E47" s="261"/>
      <c r="F47" s="261"/>
      <c r="G47" s="261"/>
      <c r="H47" s="261"/>
      <c r="I47" s="261"/>
      <c r="J47" s="261"/>
      <c r="K47" s="15"/>
    </row>
    <row r="48" spans="1:11" ht="12.75">
      <c r="A48" s="3"/>
      <c r="B48" s="257"/>
      <c r="C48" s="261"/>
      <c r="D48" s="261"/>
      <c r="E48" s="261"/>
      <c r="F48" s="261"/>
      <c r="G48" s="261"/>
      <c r="H48" s="261"/>
      <c r="I48" s="261"/>
      <c r="J48" s="261"/>
      <c r="K48" s="15"/>
    </row>
    <row r="49" spans="1:11" ht="12.75">
      <c r="A49" s="3"/>
      <c r="B49" s="257"/>
      <c r="C49" s="261"/>
      <c r="D49" s="261"/>
      <c r="E49" s="261"/>
      <c r="F49" s="261"/>
      <c r="G49" s="261"/>
      <c r="H49" s="261"/>
      <c r="I49" s="261"/>
      <c r="J49" s="261"/>
      <c r="K49" s="15"/>
    </row>
    <row r="50" spans="1:11" ht="12.75">
      <c r="A50" s="3"/>
      <c r="B50" s="257"/>
      <c r="C50" s="261"/>
      <c r="D50" s="261"/>
      <c r="E50" s="261"/>
      <c r="F50" s="261"/>
      <c r="G50" s="261"/>
      <c r="H50" s="261"/>
      <c r="I50" s="261"/>
      <c r="J50" s="261"/>
      <c r="K50" s="15"/>
    </row>
    <row r="51" spans="1:11" ht="12.75">
      <c r="A51" s="3"/>
      <c r="B51" s="257"/>
      <c r="C51" s="261"/>
      <c r="D51" s="261"/>
      <c r="E51" s="261"/>
      <c r="F51" s="261"/>
      <c r="G51" s="261"/>
      <c r="H51" s="261"/>
      <c r="I51" s="261"/>
      <c r="J51" s="261"/>
      <c r="K51" s="15"/>
    </row>
    <row r="52" spans="1:11" ht="12.75">
      <c r="A52" s="3"/>
      <c r="B52" s="257"/>
      <c r="C52" s="261"/>
      <c r="D52" s="261"/>
      <c r="E52" s="261"/>
      <c r="F52" s="261"/>
      <c r="G52" s="261"/>
      <c r="H52" s="261"/>
      <c r="I52" s="261"/>
      <c r="J52" s="261"/>
      <c r="K52" s="15"/>
    </row>
    <row r="53" spans="1:11" ht="12.75">
      <c r="A53" s="3"/>
      <c r="B53" s="257"/>
      <c r="C53" s="261"/>
      <c r="D53" s="261"/>
      <c r="E53" s="261"/>
      <c r="F53" s="261"/>
      <c r="G53" s="261"/>
      <c r="H53" s="261"/>
      <c r="I53" s="261"/>
      <c r="J53" s="261"/>
      <c r="K53" s="15"/>
    </row>
    <row r="54" spans="1:11" ht="12.75">
      <c r="A54" s="3"/>
      <c r="B54" s="257"/>
      <c r="C54" s="261"/>
      <c r="D54" s="261"/>
      <c r="E54" s="261"/>
      <c r="F54" s="261"/>
      <c r="G54" s="261"/>
      <c r="H54" s="261"/>
      <c r="I54" s="261"/>
      <c r="J54" s="261"/>
      <c r="K54" s="15"/>
    </row>
    <row r="55" spans="1:11" ht="12.75">
      <c r="A55" s="3"/>
      <c r="B55" s="257"/>
      <c r="C55" s="261"/>
      <c r="D55" s="261"/>
      <c r="E55" s="261"/>
      <c r="F55" s="261"/>
      <c r="G55" s="261"/>
      <c r="H55" s="261"/>
      <c r="I55" s="261"/>
      <c r="J55" s="261"/>
      <c r="K55" s="15"/>
    </row>
    <row r="56" spans="1:11" ht="12.75">
      <c r="A56" s="3"/>
      <c r="B56" s="257"/>
      <c r="C56" s="261"/>
      <c r="D56" s="261"/>
      <c r="E56" s="261"/>
      <c r="F56" s="261"/>
      <c r="G56" s="261"/>
      <c r="H56" s="261"/>
      <c r="I56" s="261"/>
      <c r="J56" s="261"/>
      <c r="K56" s="15"/>
    </row>
    <row r="57" spans="1:11" ht="12.75">
      <c r="A57" s="3"/>
      <c r="B57" s="257"/>
      <c r="C57" s="261"/>
      <c r="D57" s="261"/>
      <c r="E57" s="261"/>
      <c r="F57" s="261"/>
      <c r="G57" s="261"/>
      <c r="H57" s="261"/>
      <c r="I57" s="261"/>
      <c r="J57" s="261"/>
      <c r="K57" s="15"/>
    </row>
    <row r="58" spans="1:11" ht="12.75">
      <c r="A58" s="3"/>
      <c r="B58" s="257"/>
      <c r="C58" s="261"/>
      <c r="D58" s="261"/>
      <c r="E58" s="261"/>
      <c r="F58" s="261"/>
      <c r="G58" s="261"/>
      <c r="H58" s="261"/>
      <c r="I58" s="261"/>
      <c r="J58" s="261"/>
      <c r="K58" s="15"/>
    </row>
    <row r="59" spans="1:11" ht="12.75">
      <c r="A59" s="3"/>
      <c r="B59" s="257"/>
      <c r="C59" s="261"/>
      <c r="D59" s="261"/>
      <c r="E59" s="261"/>
      <c r="F59" s="261"/>
      <c r="G59" s="261"/>
      <c r="H59" s="261"/>
      <c r="I59" s="261"/>
      <c r="J59" s="261"/>
      <c r="K59" s="15"/>
    </row>
    <row r="60" spans="1:10" ht="12.75">
      <c r="A60" s="3"/>
      <c r="B60" s="257"/>
      <c r="C60" s="261"/>
      <c r="D60" s="261"/>
      <c r="E60" s="261"/>
      <c r="F60" s="261"/>
      <c r="G60" s="261"/>
      <c r="H60" s="261"/>
      <c r="I60" s="261"/>
      <c r="J60" s="261"/>
    </row>
    <row r="61" spans="1:2" ht="12.75">
      <c r="A61" s="3"/>
      <c r="B61" s="257"/>
    </row>
    <row r="62" spans="1:2" ht="12.75">
      <c r="A62" s="3"/>
      <c r="B62" s="257"/>
    </row>
    <row r="63" spans="1:2" ht="12.75">
      <c r="A63" s="3"/>
      <c r="B63" s="257"/>
    </row>
    <row r="64" spans="1:2" ht="12.75">
      <c r="A64" s="3"/>
      <c r="B64" s="257"/>
    </row>
    <row r="65" spans="1:2" ht="12.75">
      <c r="A65" s="3"/>
      <c r="B65" s="257"/>
    </row>
    <row r="66" spans="1:2" ht="12.75">
      <c r="A66" s="3"/>
      <c r="B66" s="257"/>
    </row>
    <row r="67" spans="1:2" ht="12.75">
      <c r="A67" s="3"/>
      <c r="B67" s="257"/>
    </row>
    <row r="68" spans="1:2" ht="12.75">
      <c r="A68" s="3"/>
      <c r="B68" s="257"/>
    </row>
    <row r="69" spans="1:2" ht="12.75">
      <c r="A69" s="3"/>
      <c r="B69" s="257"/>
    </row>
    <row r="70" spans="1:2" ht="12.75">
      <c r="A70" s="3"/>
      <c r="B70" s="257"/>
    </row>
    <row r="71" spans="1:2" ht="12.75">
      <c r="A71" s="3"/>
      <c r="B71" s="257"/>
    </row>
    <row r="72" spans="1:2" ht="12.75">
      <c r="A72" s="3"/>
      <c r="B72" s="257"/>
    </row>
    <row r="73" spans="1:2" ht="12.75">
      <c r="A73" s="3"/>
      <c r="B73" s="257"/>
    </row>
    <row r="74" spans="1:2" ht="12.75">
      <c r="A74" s="3"/>
      <c r="B74" s="257"/>
    </row>
    <row r="75" spans="1:2" ht="12.75">
      <c r="A75" s="3"/>
      <c r="B75" s="257"/>
    </row>
    <row r="76" spans="1:2" ht="12.75">
      <c r="A76" s="3"/>
      <c r="B76" s="257"/>
    </row>
    <row r="77" spans="1:2" ht="12.75">
      <c r="A77" s="3"/>
      <c r="B77" s="257"/>
    </row>
    <row r="78" spans="1:2" ht="12.75">
      <c r="A78" s="3"/>
      <c r="B78" s="257"/>
    </row>
    <row r="79" spans="1:2" ht="12.75">
      <c r="A79" s="3"/>
      <c r="B79" s="257"/>
    </row>
  </sheetData>
  <sheetProtection password="CAF5" sheet="1"/>
  <mergeCells count="7">
    <mergeCell ref="I6:I9"/>
    <mergeCell ref="J6:J9"/>
    <mergeCell ref="A1:K1"/>
    <mergeCell ref="A3:K3"/>
    <mergeCell ref="F7:F9"/>
    <mergeCell ref="B7:B9"/>
    <mergeCell ref="K5:L5"/>
  </mergeCells>
  <printOptions horizontalCentered="1"/>
  <pageMargins left="0.87" right="0.32" top="0.83" bottom="1" header="0.67" footer="0.5"/>
  <pageSetup fitToHeight="1" fitToWidth="1" horizontalDpi="600" verticalDpi="600" orientation="landscape" scale="78" r:id="rId1"/>
  <headerFooter scaleWithDoc="0">
    <oddFooter>&amp;L&amp;"Arial,Italic"&amp;9MSDE-LFRO  09 / 2010&amp;C- 12 -&amp;R&amp;"Arial,Italic"&amp;9Selected Financial Data-Part 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workbookViewId="0" topLeftCell="J31">
      <selection activeCell="O11" sqref="O11"/>
    </sheetView>
  </sheetViews>
  <sheetFormatPr defaultColWidth="9.140625" defaultRowHeight="12.75"/>
  <cols>
    <col min="1" max="1" width="14.421875" style="0" customWidth="1"/>
    <col min="2" max="2" width="13.8515625" style="299" bestFit="1" customWidth="1"/>
    <col min="3" max="3" width="14.8515625" style="299" bestFit="1" customWidth="1"/>
    <col min="4" max="4" width="13.8515625" style="299" bestFit="1" customWidth="1"/>
    <col min="5" max="6" width="13.8515625" style="299" customWidth="1"/>
    <col min="7" max="7" width="11.421875" style="299" customWidth="1"/>
    <col min="8" max="8" width="15.140625" style="299" bestFit="1" customWidth="1"/>
    <col min="9" max="9" width="13.8515625" style="299" customWidth="1"/>
    <col min="10" max="10" width="16.28125" style="0" customWidth="1"/>
    <col min="11" max="11" width="11.8515625" style="0" bestFit="1" customWidth="1"/>
    <col min="12" max="12" width="10.57421875" style="0" bestFit="1" customWidth="1"/>
    <col min="13" max="13" width="12.140625" style="0" customWidth="1"/>
    <col min="14" max="14" width="12.00390625" style="0" bestFit="1" customWidth="1"/>
  </cols>
  <sheetData>
    <row r="1" spans="1:13" ht="12.75">
      <c r="A1" s="461" t="s">
        <v>125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</row>
    <row r="2" ht="12.75">
      <c r="A2" s="3"/>
    </row>
    <row r="3" spans="1:13" ht="12.75">
      <c r="A3" s="463" t="s">
        <v>251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</row>
    <row r="4" spans="1:9" ht="13.5" thickBot="1">
      <c r="A4" s="3"/>
      <c r="B4" s="257"/>
      <c r="C4" s="294"/>
      <c r="D4" s="294"/>
      <c r="E4" s="294"/>
      <c r="F4" s="294"/>
      <c r="G4" s="294"/>
      <c r="H4" s="294"/>
      <c r="I4" s="294"/>
    </row>
    <row r="5" spans="1:13" ht="15" customHeight="1" thickTop="1">
      <c r="A5" s="6"/>
      <c r="B5" s="258"/>
      <c r="C5" s="478" t="s">
        <v>70</v>
      </c>
      <c r="D5" s="478"/>
      <c r="E5" s="478"/>
      <c r="F5" s="478"/>
      <c r="G5" s="288"/>
      <c r="H5" s="476" t="s">
        <v>190</v>
      </c>
      <c r="I5" s="288"/>
      <c r="J5" s="295"/>
      <c r="K5" s="295" t="s">
        <v>159</v>
      </c>
      <c r="L5" s="258"/>
      <c r="M5" s="295"/>
    </row>
    <row r="6" spans="1:13" ht="12.75" customHeight="1">
      <c r="A6" s="3"/>
      <c r="B6" s="257"/>
      <c r="E6" s="287" t="s">
        <v>144</v>
      </c>
      <c r="F6" s="287" t="s">
        <v>262</v>
      </c>
      <c r="H6" s="423"/>
      <c r="I6" s="288" t="s">
        <v>149</v>
      </c>
      <c r="J6" s="471" t="s">
        <v>191</v>
      </c>
      <c r="K6" s="288" t="s">
        <v>160</v>
      </c>
      <c r="L6" s="257"/>
      <c r="M6" s="288" t="s">
        <v>145</v>
      </c>
    </row>
    <row r="7" spans="1:13" ht="12.75">
      <c r="A7" s="3" t="s">
        <v>81</v>
      </c>
      <c r="B7" s="473" t="s">
        <v>197</v>
      </c>
      <c r="D7" s="288"/>
      <c r="E7" s="288" t="s">
        <v>126</v>
      </c>
      <c r="F7" s="288" t="s">
        <v>263</v>
      </c>
      <c r="G7" s="288" t="s">
        <v>45</v>
      </c>
      <c r="H7" s="423"/>
      <c r="I7" s="288" t="s">
        <v>32</v>
      </c>
      <c r="J7" s="465"/>
      <c r="K7" s="288" t="s">
        <v>161</v>
      </c>
      <c r="L7" s="257"/>
      <c r="M7" s="288" t="s">
        <v>36</v>
      </c>
    </row>
    <row r="8" spans="1:13" ht="12.75">
      <c r="A8" s="3" t="s">
        <v>34</v>
      </c>
      <c r="B8" s="465"/>
      <c r="C8" s="303" t="s">
        <v>143</v>
      </c>
      <c r="D8" s="288" t="s">
        <v>143</v>
      </c>
      <c r="E8" s="288" t="s">
        <v>32</v>
      </c>
      <c r="F8" s="477" t="s">
        <v>264</v>
      </c>
      <c r="G8" s="288" t="s">
        <v>62</v>
      </c>
      <c r="H8" s="423"/>
      <c r="I8" s="288" t="s">
        <v>131</v>
      </c>
      <c r="J8" s="465"/>
      <c r="K8" s="288" t="s">
        <v>162</v>
      </c>
      <c r="L8" s="288" t="s">
        <v>198</v>
      </c>
      <c r="M8" s="288" t="s">
        <v>69</v>
      </c>
    </row>
    <row r="9" spans="1:13" ht="13.5" thickBot="1">
      <c r="A9" s="7" t="s">
        <v>134</v>
      </c>
      <c r="B9" s="466"/>
      <c r="C9" s="304" t="s">
        <v>150</v>
      </c>
      <c r="D9" s="290" t="s">
        <v>54</v>
      </c>
      <c r="E9" s="290" t="s">
        <v>127</v>
      </c>
      <c r="F9" s="424"/>
      <c r="G9" s="290" t="s">
        <v>139</v>
      </c>
      <c r="H9" s="424"/>
      <c r="I9" s="290" t="s">
        <v>55</v>
      </c>
      <c r="J9" s="466"/>
      <c r="K9" s="290" t="s">
        <v>163</v>
      </c>
      <c r="L9" s="290" t="s">
        <v>35</v>
      </c>
      <c r="M9" s="290" t="s">
        <v>55</v>
      </c>
    </row>
    <row r="10" spans="1:13" s="375" customFormat="1" ht="12.75">
      <c r="A10" s="374" t="s">
        <v>0</v>
      </c>
      <c r="B10" s="305">
        <f>SUM(B12:B39)</f>
        <v>10668270.29</v>
      </c>
      <c r="C10" s="305">
        <f aca="true" t="shared" si="0" ref="C10:I10">SUM(C12:C39)</f>
        <v>173583842.35000002</v>
      </c>
      <c r="D10" s="305">
        <f t="shared" si="0"/>
        <v>5840136.37</v>
      </c>
      <c r="E10" s="305">
        <f t="shared" si="0"/>
        <v>2620296.1400000006</v>
      </c>
      <c r="F10" s="305">
        <f t="shared" si="0"/>
        <v>610432.2499999999</v>
      </c>
      <c r="G10" s="305">
        <f t="shared" si="0"/>
        <v>224351.38</v>
      </c>
      <c r="H10" s="305">
        <f t="shared" si="0"/>
        <v>36593105.78</v>
      </c>
      <c r="I10" s="305">
        <f t="shared" si="0"/>
        <v>337724.08</v>
      </c>
      <c r="J10" s="305">
        <f>SUM(J12:J39)</f>
        <v>8903299.09</v>
      </c>
      <c r="K10" s="305">
        <f>SUM(K12:K39)</f>
        <v>1354781.44</v>
      </c>
      <c r="L10" s="369">
        <f>SUM(L12:L39)</f>
        <v>731249.9299999999</v>
      </c>
      <c r="M10" s="369">
        <f>SUM(M12:M39)</f>
        <v>249947.29999999996</v>
      </c>
    </row>
    <row r="11" spans="1:13" ht="12.75">
      <c r="A11" s="3"/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8"/>
      <c r="M11" s="306"/>
    </row>
    <row r="12" spans="1:14" ht="12.75">
      <c r="A12" s="3" t="s">
        <v>1</v>
      </c>
      <c r="B12" s="253">
        <v>312417.91</v>
      </c>
      <c r="C12" s="253">
        <f>2113506.67+154148.82+106890.27+65802.13</f>
        <v>2440347.8899999997</v>
      </c>
      <c r="D12" s="253">
        <v>138774.56</v>
      </c>
      <c r="E12" s="253">
        <v>124919</v>
      </c>
      <c r="F12" s="253">
        <v>15000</v>
      </c>
      <c r="G12" s="253">
        <v>0</v>
      </c>
      <c r="H12" s="253">
        <v>775075.01</v>
      </c>
      <c r="I12" s="253">
        <v>0</v>
      </c>
      <c r="J12" s="253">
        <f>69267.84+379373.18</f>
        <v>448641.02</v>
      </c>
      <c r="K12" s="253">
        <v>247499.2</v>
      </c>
      <c r="L12" s="253">
        <v>0</v>
      </c>
      <c r="M12" s="263">
        <v>33928.6</v>
      </c>
      <c r="N12" s="372"/>
    </row>
    <row r="13" spans="1:14" ht="12.75">
      <c r="A13" s="3" t="s">
        <v>2</v>
      </c>
      <c r="B13" s="253">
        <v>2401897</v>
      </c>
      <c r="C13" s="253">
        <f>14368090.01+170589.55+581599.91</f>
        <v>15120279.47</v>
      </c>
      <c r="D13" s="253">
        <v>559866.7899999999</v>
      </c>
      <c r="E13" s="253">
        <v>613335.78</v>
      </c>
      <c r="F13" s="253">
        <v>257500</v>
      </c>
      <c r="G13" s="253">
        <v>82500.88</v>
      </c>
      <c r="H13" s="279">
        <v>2506028.99</v>
      </c>
      <c r="I13" s="253">
        <v>0</v>
      </c>
      <c r="J13" s="253">
        <v>320372.43</v>
      </c>
      <c r="K13" s="298">
        <v>0</v>
      </c>
      <c r="L13" s="253">
        <v>0</v>
      </c>
      <c r="M13" s="291">
        <v>17250.73</v>
      </c>
      <c r="N13" s="34"/>
    </row>
    <row r="14" spans="1:14" ht="12.75">
      <c r="A14" s="3" t="s">
        <v>3</v>
      </c>
      <c r="B14" s="253">
        <v>706541.62</v>
      </c>
      <c r="C14" s="253">
        <f>65087.89+416965.59+20540805.67+81625.01</f>
        <v>21104484.160000004</v>
      </c>
      <c r="D14" s="253">
        <v>815273.25</v>
      </c>
      <c r="E14" s="263">
        <v>0</v>
      </c>
      <c r="F14" s="263">
        <v>0</v>
      </c>
      <c r="G14" s="253">
        <v>141850.5</v>
      </c>
      <c r="H14" s="279">
        <v>7782875.45</v>
      </c>
      <c r="I14" s="253">
        <v>132016.7</v>
      </c>
      <c r="J14" s="253">
        <v>0</v>
      </c>
      <c r="K14" s="253">
        <v>0</v>
      </c>
      <c r="L14" s="253">
        <v>468974.61</v>
      </c>
      <c r="M14" s="263">
        <v>0</v>
      </c>
      <c r="N14" s="34"/>
    </row>
    <row r="15" spans="1:14" ht="12.75">
      <c r="A15" s="3" t="s">
        <v>4</v>
      </c>
      <c r="B15" s="263">
        <v>117205</v>
      </c>
      <c r="C15" s="253">
        <f>20716752.01+53246.96+379136.25+385832.25+136967.23</f>
        <v>21671934.700000003</v>
      </c>
      <c r="D15" s="253">
        <v>726144.9600000001</v>
      </c>
      <c r="E15" s="253">
        <v>463944.9</v>
      </c>
      <c r="F15" s="253">
        <v>0</v>
      </c>
      <c r="G15" s="253">
        <v>0</v>
      </c>
      <c r="H15" s="253">
        <v>3339692.13</v>
      </c>
      <c r="I15" s="253">
        <v>205707.38</v>
      </c>
      <c r="J15" s="253">
        <v>0</v>
      </c>
      <c r="K15" s="253">
        <v>186513.80000000002</v>
      </c>
      <c r="L15" s="253">
        <v>248882.49</v>
      </c>
      <c r="M15" s="253">
        <v>15353.3</v>
      </c>
      <c r="N15" s="34"/>
    </row>
    <row r="16" spans="1:14" ht="12.75">
      <c r="A16" s="3" t="s">
        <v>5</v>
      </c>
      <c r="B16" s="253">
        <v>335504.62</v>
      </c>
      <c r="C16" s="253">
        <f>2989051.64+33160.65+102599.89</f>
        <v>3124812.18</v>
      </c>
      <c r="D16" s="253">
        <v>142466.68</v>
      </c>
      <c r="E16" s="253">
        <f>93310.45+18435.06</f>
        <v>111745.51</v>
      </c>
      <c r="F16" s="253">
        <v>30646.42</v>
      </c>
      <c r="G16" s="263">
        <v>0</v>
      </c>
      <c r="H16" s="253">
        <v>467023.76</v>
      </c>
      <c r="I16" s="253">
        <v>0</v>
      </c>
      <c r="J16" s="253">
        <v>102007.74</v>
      </c>
      <c r="K16" s="253">
        <v>0</v>
      </c>
      <c r="L16" s="253">
        <v>0</v>
      </c>
      <c r="M16" s="253">
        <v>0</v>
      </c>
      <c r="N16" s="34"/>
    </row>
    <row r="17" spans="1:14" ht="12.75">
      <c r="A17" s="3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308"/>
      <c r="M17" s="253"/>
      <c r="N17" s="34"/>
    </row>
    <row r="18" spans="1:14" ht="12.75">
      <c r="A18" s="3" t="s">
        <v>6</v>
      </c>
      <c r="B18" s="253">
        <v>0</v>
      </c>
      <c r="C18" s="253">
        <f>1164131.55+39021.69+141660.11</f>
        <v>1344813.35</v>
      </c>
      <c r="D18" s="253">
        <v>58659.1</v>
      </c>
      <c r="E18" s="253">
        <v>59142</v>
      </c>
      <c r="F18" s="253">
        <v>0</v>
      </c>
      <c r="G18" s="253">
        <v>0</v>
      </c>
      <c r="H18" s="253">
        <v>307244.16</v>
      </c>
      <c r="I18" s="253">
        <v>0</v>
      </c>
      <c r="J18" s="253">
        <v>580731.9199999999</v>
      </c>
      <c r="K18" s="253">
        <v>0</v>
      </c>
      <c r="L18" s="253">
        <v>0</v>
      </c>
      <c r="M18" s="253">
        <v>14051.63</v>
      </c>
      <c r="N18" s="34"/>
    </row>
    <row r="19" spans="1:14" ht="12.75">
      <c r="A19" s="3" t="s">
        <v>7</v>
      </c>
      <c r="B19" s="253">
        <v>0</v>
      </c>
      <c r="C19" s="263">
        <f>5334940.67+26419.85+483118.96</f>
        <v>5844479.4799999995</v>
      </c>
      <c r="D19" s="253">
        <v>217961.88</v>
      </c>
      <c r="E19" s="253">
        <v>182458</v>
      </c>
      <c r="F19" s="253">
        <v>0</v>
      </c>
      <c r="G19" s="253">
        <v>0</v>
      </c>
      <c r="H19" s="253">
        <v>644281.9</v>
      </c>
      <c r="I19" s="253">
        <v>0</v>
      </c>
      <c r="J19" s="253">
        <v>506530.63</v>
      </c>
      <c r="K19" s="253">
        <v>0</v>
      </c>
      <c r="L19" s="253">
        <v>0</v>
      </c>
      <c r="M19" s="253">
        <v>16995.92</v>
      </c>
      <c r="N19" s="34"/>
    </row>
    <row r="20" spans="1:14" ht="12.75">
      <c r="A20" s="3" t="s">
        <v>8</v>
      </c>
      <c r="B20" s="253">
        <v>0</v>
      </c>
      <c r="C20" s="253">
        <f>3205970.7+38906.48+413534.66</f>
        <v>3658411.8400000003</v>
      </c>
      <c r="D20" s="253">
        <v>128457.31999999999</v>
      </c>
      <c r="E20" s="253">
        <v>104487</v>
      </c>
      <c r="F20" s="253">
        <v>0</v>
      </c>
      <c r="G20" s="253">
        <v>0</v>
      </c>
      <c r="H20" s="253">
        <v>671755.99</v>
      </c>
      <c r="I20" s="253">
        <v>0</v>
      </c>
      <c r="J20" s="253">
        <v>0</v>
      </c>
      <c r="K20" s="253">
        <v>0</v>
      </c>
      <c r="L20" s="253">
        <v>0</v>
      </c>
      <c r="M20" s="253">
        <v>16939.45</v>
      </c>
      <c r="N20" s="34"/>
    </row>
    <row r="21" spans="1:14" ht="12.75">
      <c r="A21" s="3" t="s">
        <v>9</v>
      </c>
      <c r="B21" s="263">
        <v>1170037.2</v>
      </c>
      <c r="C21" s="253">
        <f>4552919.26+74904.7+372109.08</f>
        <v>4999933.04</v>
      </c>
      <c r="D21" s="253">
        <v>125660.22</v>
      </c>
      <c r="E21" s="253">
        <v>0</v>
      </c>
      <c r="F21" s="253">
        <v>197024.5</v>
      </c>
      <c r="G21" s="253">
        <v>0</v>
      </c>
      <c r="H21" s="253">
        <v>760303.48</v>
      </c>
      <c r="I21" s="253">
        <v>0</v>
      </c>
      <c r="J21" s="253">
        <v>184221.24</v>
      </c>
      <c r="K21" s="253">
        <v>0</v>
      </c>
      <c r="L21" s="253">
        <v>0</v>
      </c>
      <c r="M21" s="253">
        <v>0</v>
      </c>
      <c r="N21" s="34"/>
    </row>
    <row r="22" spans="1:14" ht="12.75">
      <c r="A22" s="3" t="s">
        <v>10</v>
      </c>
      <c r="B22" s="253">
        <v>0</v>
      </c>
      <c r="C22" s="253">
        <f>940096+1459.34+60654</f>
        <v>1002209.34</v>
      </c>
      <c r="D22" s="253">
        <v>36124</v>
      </c>
      <c r="E22" s="253">
        <v>74160</v>
      </c>
      <c r="F22" s="253">
        <v>0</v>
      </c>
      <c r="G22" s="253">
        <v>0</v>
      </c>
      <c r="H22" s="253">
        <v>313121.64</v>
      </c>
      <c r="I22" s="253">
        <v>0</v>
      </c>
      <c r="J22" s="253">
        <v>0</v>
      </c>
      <c r="K22" s="253">
        <v>0</v>
      </c>
      <c r="L22" s="253">
        <v>0</v>
      </c>
      <c r="M22" s="253">
        <v>4714.98</v>
      </c>
      <c r="N22" s="34"/>
    </row>
    <row r="23" spans="1:14" ht="12.75">
      <c r="A23" s="3"/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308"/>
      <c r="M23" s="253"/>
      <c r="N23" s="34"/>
    </row>
    <row r="24" spans="1:14" ht="12.75">
      <c r="A24" s="3" t="s">
        <v>11</v>
      </c>
      <c r="B24" s="253">
        <v>1324281.17</v>
      </c>
      <c r="C24" s="253">
        <f>39483.11+85906.07+187237.91+6946136+181558.34</f>
        <v>7440321.43</v>
      </c>
      <c r="D24" s="253">
        <v>222274.78999999998</v>
      </c>
      <c r="E24" s="253">
        <v>0</v>
      </c>
      <c r="F24" s="253">
        <v>0</v>
      </c>
      <c r="G24" s="253">
        <v>0</v>
      </c>
      <c r="H24" s="253">
        <v>1073261.37</v>
      </c>
      <c r="I24" s="253">
        <v>0</v>
      </c>
      <c r="J24" s="253">
        <v>248617.26</v>
      </c>
      <c r="K24" s="253">
        <v>0</v>
      </c>
      <c r="L24" s="253">
        <v>0</v>
      </c>
      <c r="M24" s="253">
        <v>0</v>
      </c>
      <c r="N24" s="34"/>
    </row>
    <row r="25" spans="1:14" ht="12.75">
      <c r="A25" s="3" t="s">
        <v>12</v>
      </c>
      <c r="B25" s="253">
        <v>0</v>
      </c>
      <c r="C25" s="253">
        <f>927329.14+7439.6+139090.24</f>
        <v>1073858.98</v>
      </c>
      <c r="D25" s="253">
        <v>52689.68</v>
      </c>
      <c r="E25" s="253">
        <v>9670</v>
      </c>
      <c r="F25" s="253">
        <v>0</v>
      </c>
      <c r="G25" s="253">
        <v>0</v>
      </c>
      <c r="H25" s="253">
        <v>344098.43000000005</v>
      </c>
      <c r="I25" s="253">
        <v>0</v>
      </c>
      <c r="J25" s="253">
        <v>0</v>
      </c>
      <c r="K25" s="255">
        <v>237953.27</v>
      </c>
      <c r="L25" s="253">
        <v>0</v>
      </c>
      <c r="M25" s="253">
        <v>0</v>
      </c>
      <c r="N25" s="34"/>
    </row>
    <row r="26" spans="1:14" ht="12.75">
      <c r="A26" s="3" t="s">
        <v>13</v>
      </c>
      <c r="B26" s="253">
        <f>9822.23+278693.13</f>
        <v>288515.36</v>
      </c>
      <c r="C26" s="253">
        <f>7336148.6+60659.87+193572.81</f>
        <v>7590381.279999999</v>
      </c>
      <c r="D26" s="253">
        <v>229296.94</v>
      </c>
      <c r="E26" s="253">
        <v>0</v>
      </c>
      <c r="F26" s="253">
        <v>0</v>
      </c>
      <c r="G26" s="253">
        <v>0</v>
      </c>
      <c r="H26" s="253">
        <v>1336655.57</v>
      </c>
      <c r="I26" s="253">
        <v>0</v>
      </c>
      <c r="J26" s="253">
        <v>470961.2</v>
      </c>
      <c r="K26" s="253">
        <v>0</v>
      </c>
      <c r="L26" s="253">
        <v>0</v>
      </c>
      <c r="M26" s="253">
        <v>11585.550000000001</v>
      </c>
      <c r="N26" s="34"/>
    </row>
    <row r="27" spans="1:14" ht="12.75">
      <c r="A27" s="3" t="s">
        <v>14</v>
      </c>
      <c r="B27" s="253">
        <f>165822+959723</f>
        <v>1125545</v>
      </c>
      <c r="C27" s="253">
        <f>8031980+97806.45+282756.79+321366.22+72787.89</f>
        <v>8806697.350000001</v>
      </c>
      <c r="D27" s="253">
        <v>301617.47</v>
      </c>
      <c r="E27" s="253">
        <f>296136.76+15121.46</f>
        <v>311258.22000000003</v>
      </c>
      <c r="F27" s="253">
        <v>0</v>
      </c>
      <c r="G27" s="253">
        <v>0</v>
      </c>
      <c r="H27" s="253">
        <v>1184945.5699999998</v>
      </c>
      <c r="I27" s="253">
        <v>0</v>
      </c>
      <c r="J27" s="253">
        <f>939057.36+350020.13</f>
        <v>1289077.49</v>
      </c>
      <c r="K27" s="253">
        <v>0</v>
      </c>
      <c r="L27" s="253">
        <v>0</v>
      </c>
      <c r="M27" s="253">
        <v>0</v>
      </c>
      <c r="N27" s="34"/>
    </row>
    <row r="28" spans="1:14" ht="12.75">
      <c r="A28" s="3" t="s">
        <v>15</v>
      </c>
      <c r="B28" s="253">
        <v>61601</v>
      </c>
      <c r="C28" s="253">
        <f>484542+19784.84+66946.95</f>
        <v>571273.79</v>
      </c>
      <c r="D28" s="253">
        <v>21419.2</v>
      </c>
      <c r="E28" s="253">
        <v>43989</v>
      </c>
      <c r="F28" s="253">
        <v>109334</v>
      </c>
      <c r="G28" s="253">
        <v>0</v>
      </c>
      <c r="H28" s="253">
        <v>151998</v>
      </c>
      <c r="I28" s="253">
        <v>0</v>
      </c>
      <c r="J28" s="253">
        <v>634520.78</v>
      </c>
      <c r="K28" s="253">
        <v>0</v>
      </c>
      <c r="L28" s="253">
        <v>0</v>
      </c>
      <c r="M28" s="253">
        <v>1175.52</v>
      </c>
      <c r="N28" s="34"/>
    </row>
    <row r="29" spans="1:14" ht="12.75">
      <c r="A29" s="3"/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34"/>
    </row>
    <row r="30" spans="1:14" ht="12.75">
      <c r="A30" s="3" t="s">
        <v>16</v>
      </c>
      <c r="B30" s="253">
        <v>139883.51</v>
      </c>
      <c r="C30" s="253">
        <f>26595647.76+308870.34+629853.58</f>
        <v>27534371.68</v>
      </c>
      <c r="D30" s="253">
        <v>854126.98</v>
      </c>
      <c r="E30" s="253">
        <v>0</v>
      </c>
      <c r="F30" s="253">
        <v>0</v>
      </c>
      <c r="G30" s="253">
        <v>0</v>
      </c>
      <c r="H30" s="253">
        <v>4312748.39</v>
      </c>
      <c r="I30" s="253">
        <v>0</v>
      </c>
      <c r="J30" s="253">
        <f>520555.77</f>
        <v>520555.77</v>
      </c>
      <c r="K30" s="253">
        <v>0</v>
      </c>
      <c r="L30" s="253">
        <v>0</v>
      </c>
      <c r="M30" s="253">
        <v>14921.68</v>
      </c>
      <c r="N30" s="34"/>
    </row>
    <row r="31" spans="1:14" ht="12.75">
      <c r="A31" s="3" t="s">
        <v>17</v>
      </c>
      <c r="B31" s="253">
        <v>126927.51</v>
      </c>
      <c r="C31" s="253">
        <f>24422291.16+7170.06+326194.87+119411.51</f>
        <v>24875067.6</v>
      </c>
      <c r="D31" s="253">
        <v>693046.41</v>
      </c>
      <c r="E31" s="253">
        <v>0</v>
      </c>
      <c r="F31" s="253">
        <v>0</v>
      </c>
      <c r="G31" s="253">
        <v>0</v>
      </c>
      <c r="H31" s="253">
        <v>6955813.029999999</v>
      </c>
      <c r="I31" s="253">
        <v>0</v>
      </c>
      <c r="J31" s="253">
        <v>0</v>
      </c>
      <c r="K31" s="253">
        <v>336939.93</v>
      </c>
      <c r="L31" s="253">
        <v>13392.83</v>
      </c>
      <c r="M31" s="253">
        <v>0</v>
      </c>
      <c r="N31" s="34"/>
    </row>
    <row r="32" spans="1:14" ht="12.75">
      <c r="A32" s="3" t="s">
        <v>18</v>
      </c>
      <c r="B32" s="253">
        <v>0</v>
      </c>
      <c r="C32" s="253">
        <f>1393061.52+62662+86583.11</f>
        <v>1542306.6300000001</v>
      </c>
      <c r="D32" s="253">
        <v>45459.6</v>
      </c>
      <c r="E32" s="253">
        <v>67659.37</v>
      </c>
      <c r="F32" s="253">
        <v>0</v>
      </c>
      <c r="G32" s="253">
        <v>0</v>
      </c>
      <c r="H32" s="253">
        <v>254728.42</v>
      </c>
      <c r="I32" s="253">
        <v>0</v>
      </c>
      <c r="J32" s="253">
        <v>550344.1699999999</v>
      </c>
      <c r="K32" s="253">
        <v>0</v>
      </c>
      <c r="L32" s="253">
        <v>0</v>
      </c>
      <c r="M32" s="253">
        <v>78.96</v>
      </c>
      <c r="N32" s="34"/>
    </row>
    <row r="33" spans="1:14" ht="12.75">
      <c r="A33" s="3" t="s">
        <v>19</v>
      </c>
      <c r="B33" s="253">
        <v>2523208.77</v>
      </c>
      <c r="C33" s="253">
        <v>3427730.590000001</v>
      </c>
      <c r="D33" s="253">
        <v>122767.4</v>
      </c>
      <c r="E33" s="253">
        <v>0</v>
      </c>
      <c r="F33" s="253">
        <v>927.33</v>
      </c>
      <c r="G33" s="253">
        <v>0</v>
      </c>
      <c r="H33" s="253">
        <v>703272.8500000001</v>
      </c>
      <c r="I33" s="253">
        <v>0</v>
      </c>
      <c r="J33" s="253">
        <v>606934.91</v>
      </c>
      <c r="K33" s="253">
        <v>0</v>
      </c>
      <c r="L33" s="253">
        <v>0</v>
      </c>
      <c r="M33" s="253">
        <v>25262.809999999998</v>
      </c>
      <c r="N33" s="34"/>
    </row>
    <row r="34" spans="1:14" ht="12.75">
      <c r="A34" s="3" t="s">
        <v>20</v>
      </c>
      <c r="B34" s="253">
        <v>0</v>
      </c>
      <c r="C34" s="253">
        <f>2773.06+41087.23+618029</f>
        <v>661889.29</v>
      </c>
      <c r="D34" s="253">
        <v>32006.84</v>
      </c>
      <c r="E34" s="253">
        <v>47411.54</v>
      </c>
      <c r="F34" s="253">
        <v>0</v>
      </c>
      <c r="G34" s="253">
        <v>0</v>
      </c>
      <c r="H34" s="253">
        <v>274820</v>
      </c>
      <c r="I34" s="253">
        <v>0</v>
      </c>
      <c r="J34" s="253">
        <v>292044.9</v>
      </c>
      <c r="K34" s="253">
        <v>178853.77</v>
      </c>
      <c r="L34" s="253">
        <v>0</v>
      </c>
      <c r="M34" s="253">
        <v>0</v>
      </c>
      <c r="N34" s="34"/>
    </row>
    <row r="35" spans="1:14" ht="12.75">
      <c r="A35" s="3"/>
      <c r="B35" s="253"/>
      <c r="C35" s="253"/>
      <c r="D35" s="253"/>
      <c r="E35" s="253"/>
      <c r="F35" s="253"/>
      <c r="G35" s="253"/>
      <c r="H35" s="253"/>
      <c r="I35" s="307"/>
      <c r="J35" s="253"/>
      <c r="K35" s="253"/>
      <c r="L35" s="253"/>
      <c r="M35" s="253"/>
      <c r="N35" s="34"/>
    </row>
    <row r="36" spans="1:14" ht="12.75">
      <c r="A36" s="3" t="s">
        <v>21</v>
      </c>
      <c r="B36" s="253">
        <v>0</v>
      </c>
      <c r="C36" s="253">
        <v>1041854.94</v>
      </c>
      <c r="D36" s="253">
        <v>49421.19</v>
      </c>
      <c r="E36" s="253">
        <f>12752.63+55355.34</f>
        <v>68107.97</v>
      </c>
      <c r="F36" s="253">
        <v>0</v>
      </c>
      <c r="G36" s="253">
        <v>0</v>
      </c>
      <c r="H36" s="253">
        <v>281928.46</v>
      </c>
      <c r="I36" s="253">
        <v>0</v>
      </c>
      <c r="J36" s="253">
        <v>0</v>
      </c>
      <c r="K36" s="253">
        <v>0</v>
      </c>
      <c r="L36" s="253">
        <v>0</v>
      </c>
      <c r="M36" s="253">
        <v>7086.59</v>
      </c>
      <c r="N36" s="34"/>
    </row>
    <row r="37" spans="1:14" ht="12.75">
      <c r="A37" s="3" t="s">
        <v>22</v>
      </c>
      <c r="B37" s="255">
        <v>33441.83</v>
      </c>
      <c r="C37" s="253">
        <v>4392695.039999999</v>
      </c>
      <c r="D37" s="253">
        <v>113332.83000000002</v>
      </c>
      <c r="E37" s="253">
        <v>153187.37</v>
      </c>
      <c r="F37" s="253">
        <v>0</v>
      </c>
      <c r="G37" s="253">
        <v>0</v>
      </c>
      <c r="H37" s="253">
        <v>858998.4199999999</v>
      </c>
      <c r="I37" s="253">
        <v>0</v>
      </c>
      <c r="J37" s="253">
        <v>394810.02999999997</v>
      </c>
      <c r="K37" s="253">
        <v>0</v>
      </c>
      <c r="L37" s="253">
        <v>0</v>
      </c>
      <c r="M37" s="253">
        <v>19641.03</v>
      </c>
      <c r="N37" s="34"/>
    </row>
    <row r="38" spans="1:14" ht="12.75">
      <c r="A38" s="3" t="s">
        <v>23</v>
      </c>
      <c r="B38" s="253">
        <v>1262.79</v>
      </c>
      <c r="C38" s="253">
        <f>2769241.49+26692.77+109795.14</f>
        <v>2905729.4000000004</v>
      </c>
      <c r="D38" s="253">
        <v>103520.76</v>
      </c>
      <c r="E38" s="253">
        <v>128692</v>
      </c>
      <c r="F38" s="253">
        <v>0</v>
      </c>
      <c r="G38" s="253">
        <v>0</v>
      </c>
      <c r="H38" s="253">
        <v>606876.11</v>
      </c>
      <c r="I38" s="253">
        <v>0</v>
      </c>
      <c r="J38" s="253">
        <v>841308.23</v>
      </c>
      <c r="K38" s="253">
        <v>167021.47</v>
      </c>
      <c r="L38" s="253">
        <v>0</v>
      </c>
      <c r="M38" s="253">
        <v>7103.33</v>
      </c>
      <c r="N38" s="34"/>
    </row>
    <row r="39" spans="1:14" ht="12.75">
      <c r="A39" s="12" t="s">
        <v>24</v>
      </c>
      <c r="B39" s="254">
        <v>0</v>
      </c>
      <c r="C39" s="254">
        <f>1230365.87+22555.37+155037.66</f>
        <v>1407958.9000000001</v>
      </c>
      <c r="D39" s="267">
        <v>49767.52</v>
      </c>
      <c r="E39" s="254">
        <v>56128.48</v>
      </c>
      <c r="F39" s="254">
        <v>0</v>
      </c>
      <c r="G39" s="254">
        <v>0</v>
      </c>
      <c r="H39" s="254">
        <v>685558.65</v>
      </c>
      <c r="I39" s="254">
        <v>0</v>
      </c>
      <c r="J39" s="254">
        <v>911619.3699999999</v>
      </c>
      <c r="K39" s="254">
        <v>0</v>
      </c>
      <c r="L39" s="254">
        <v>0</v>
      </c>
      <c r="M39" s="254">
        <f>32318.36+11538.86</f>
        <v>43857.22</v>
      </c>
      <c r="N39" s="34"/>
    </row>
    <row r="40" spans="1:13" ht="12.75">
      <c r="A40" s="3"/>
      <c r="B40" s="253"/>
      <c r="C40" s="253"/>
      <c r="D40" s="253"/>
      <c r="E40" s="253"/>
      <c r="F40" s="253"/>
      <c r="G40" s="253"/>
      <c r="H40" s="307"/>
      <c r="I40" s="307"/>
      <c r="J40" s="87"/>
      <c r="K40" s="56"/>
      <c r="L40" s="56"/>
      <c r="M40" s="56"/>
    </row>
    <row r="41" spans="1:13" ht="12.75">
      <c r="A41" s="3"/>
      <c r="B41" s="253"/>
      <c r="C41" s="253"/>
      <c r="D41" s="253"/>
      <c r="E41" s="253"/>
      <c r="F41" s="253"/>
      <c r="G41" s="307"/>
      <c r="H41" s="307"/>
      <c r="I41" s="307"/>
      <c r="J41" s="56"/>
      <c r="K41" s="56"/>
      <c r="L41" s="56"/>
      <c r="M41" s="56"/>
    </row>
    <row r="42" spans="1:9" ht="12.75">
      <c r="A42" s="3"/>
      <c r="B42" s="253"/>
      <c r="C42" s="253"/>
      <c r="D42" s="253"/>
      <c r="E42" s="307"/>
      <c r="F42" s="307"/>
      <c r="G42" s="307"/>
      <c r="H42" s="34"/>
      <c r="I42"/>
    </row>
    <row r="43" spans="1:9" ht="12.75">
      <c r="A43" s="3"/>
      <c r="B43" s="253"/>
      <c r="C43" s="253"/>
      <c r="D43" s="253"/>
      <c r="E43" s="307"/>
      <c r="F43" s="307"/>
      <c r="G43" s="307"/>
      <c r="H43" s="34"/>
      <c r="I43"/>
    </row>
    <row r="44" spans="1:9" ht="12.75">
      <c r="A44" s="3"/>
      <c r="B44" s="253"/>
      <c r="C44" s="253"/>
      <c r="D44" s="253"/>
      <c r="E44" s="307"/>
      <c r="F44" s="307"/>
      <c r="G44" s="307"/>
      <c r="H44" s="34"/>
      <c r="I44"/>
    </row>
    <row r="45" spans="1:9" ht="12.75">
      <c r="A45" s="3"/>
      <c r="B45" s="253"/>
      <c r="C45" s="253"/>
      <c r="D45" s="253"/>
      <c r="E45" s="307"/>
      <c r="F45" s="307"/>
      <c r="G45" s="307"/>
      <c r="H45" s="34"/>
      <c r="I45"/>
    </row>
    <row r="46" spans="1:9" ht="12.75">
      <c r="A46" s="3"/>
      <c r="B46" s="253"/>
      <c r="C46" s="253"/>
      <c r="D46" s="253"/>
      <c r="E46" s="307"/>
      <c r="F46" s="307"/>
      <c r="G46" s="307"/>
      <c r="H46" s="34"/>
      <c r="I46"/>
    </row>
    <row r="47" spans="1:9" ht="12.75">
      <c r="A47" s="3"/>
      <c r="B47" s="261"/>
      <c r="C47" s="261"/>
      <c r="D47" s="261"/>
      <c r="H47" s="34"/>
      <c r="I47"/>
    </row>
    <row r="48" spans="1:9" ht="12.75">
      <c r="A48" s="3"/>
      <c r="B48" s="261"/>
      <c r="C48" s="261"/>
      <c r="D48" s="261"/>
      <c r="H48"/>
      <c r="I48"/>
    </row>
    <row r="49" spans="1:9" ht="12.75">
      <c r="A49" s="3"/>
      <c r="B49" s="261"/>
      <c r="C49" s="261"/>
      <c r="D49" s="261"/>
      <c r="H49"/>
      <c r="I49"/>
    </row>
    <row r="50" spans="1:9" ht="12.75">
      <c r="A50" s="3"/>
      <c r="B50" s="261"/>
      <c r="C50" s="261"/>
      <c r="D50" s="261"/>
      <c r="H50"/>
      <c r="I50"/>
    </row>
    <row r="51" spans="1:9" ht="12.75">
      <c r="A51" s="3"/>
      <c r="B51" s="261"/>
      <c r="C51" s="261"/>
      <c r="D51" s="261"/>
      <c r="H51"/>
      <c r="I51"/>
    </row>
    <row r="52" spans="8:9" ht="12.75">
      <c r="H52"/>
      <c r="I52"/>
    </row>
    <row r="53" spans="1:9" ht="12.75">
      <c r="A53" s="3"/>
      <c r="B53" s="261"/>
      <c r="C53" s="261"/>
      <c r="D53" s="261"/>
      <c r="H53"/>
      <c r="I53"/>
    </row>
    <row r="54" spans="1:9" ht="12.75">
      <c r="A54" s="3"/>
      <c r="B54" s="261"/>
      <c r="C54" s="261"/>
      <c r="D54" s="261"/>
      <c r="H54"/>
      <c r="I54"/>
    </row>
    <row r="55" spans="1:9" ht="12.75">
      <c r="A55" s="3"/>
      <c r="H55"/>
      <c r="I55"/>
    </row>
    <row r="56" spans="1:9" ht="12.75">
      <c r="A56" s="3"/>
      <c r="H56"/>
      <c r="I56"/>
    </row>
    <row r="57" spans="1:9" ht="12.75">
      <c r="A57" s="3"/>
      <c r="H57"/>
      <c r="I57"/>
    </row>
    <row r="58" spans="1:9" ht="12.75">
      <c r="A58" s="3"/>
      <c r="H58"/>
      <c r="I58"/>
    </row>
    <row r="59" spans="1:9" ht="12.75">
      <c r="A59" s="3"/>
      <c r="H59"/>
      <c r="I59"/>
    </row>
    <row r="60" spans="1:9" ht="12.75">
      <c r="A60" s="3"/>
      <c r="H60"/>
      <c r="I60"/>
    </row>
    <row r="61" spans="1:9" ht="12.75">
      <c r="A61" s="3"/>
      <c r="H61"/>
      <c r="I61"/>
    </row>
    <row r="62" spans="1:9" ht="12.75">
      <c r="A62" s="3"/>
      <c r="H62"/>
      <c r="I62"/>
    </row>
    <row r="63" spans="1:9" ht="12.75">
      <c r="A63" s="3"/>
      <c r="H63"/>
      <c r="I63"/>
    </row>
    <row r="64" spans="1:9" ht="12.75">
      <c r="A64" s="3"/>
      <c r="H64"/>
      <c r="I64"/>
    </row>
    <row r="65" spans="1:9" ht="12.75">
      <c r="A65" s="3"/>
      <c r="H65"/>
      <c r="I65"/>
    </row>
    <row r="66" spans="1:3" ht="12.75">
      <c r="A66" s="3"/>
      <c r="C66" s="253"/>
    </row>
    <row r="67" spans="1:3" ht="12.75">
      <c r="A67" s="3"/>
      <c r="C67" s="253"/>
    </row>
    <row r="68" spans="1:3" ht="12.75">
      <c r="A68" s="3"/>
      <c r="C68" s="253"/>
    </row>
    <row r="69" spans="1:3" ht="12.75">
      <c r="A69" s="3"/>
      <c r="C69" s="253"/>
    </row>
    <row r="70" spans="1:3" ht="12.75">
      <c r="A70" s="3"/>
      <c r="C70" s="367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</sheetData>
  <sheetProtection password="CAF5" sheet="1"/>
  <mergeCells count="7">
    <mergeCell ref="A1:M1"/>
    <mergeCell ref="A3:M3"/>
    <mergeCell ref="J6:J9"/>
    <mergeCell ref="H5:H9"/>
    <mergeCell ref="B7:B9"/>
    <mergeCell ref="F8:F9"/>
    <mergeCell ref="C5:F5"/>
  </mergeCells>
  <printOptions horizontalCentered="1"/>
  <pageMargins left="0.45" right="0.52" top="0.83" bottom="1" header="0.67" footer="0.5"/>
  <pageSetup fitToHeight="1" fitToWidth="1" horizontalDpi="600" verticalDpi="600" orientation="landscape" scale="74" r:id="rId1"/>
  <headerFooter scaleWithDoc="0">
    <oddFooter>&amp;L&amp;"Arial,Italic"&amp;9MSDE-LFRO 09 / 2010&amp;C- 13 -&amp;R&amp;"Arial,Italic"&amp;9Selected Financial Data-Part 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workbookViewId="0" topLeftCell="H13">
      <selection activeCell="J41" sqref="J41"/>
    </sheetView>
  </sheetViews>
  <sheetFormatPr defaultColWidth="9.140625" defaultRowHeight="12.75"/>
  <cols>
    <col min="1" max="1" width="17.57421875" style="0" customWidth="1"/>
    <col min="2" max="2" width="8.57421875" style="299" customWidth="1"/>
    <col min="3" max="3" width="11.421875" style="299" customWidth="1"/>
    <col min="4" max="4" width="10.8515625" style="299" customWidth="1"/>
    <col min="5" max="5" width="13.421875" style="299" customWidth="1"/>
    <col min="6" max="6" width="12.421875" style="299" customWidth="1"/>
    <col min="7" max="7" width="14.421875" style="299" customWidth="1"/>
    <col min="8" max="8" width="10.421875" style="0" customWidth="1"/>
    <col min="9" max="9" width="12.421875" style="0" customWidth="1"/>
    <col min="10" max="10" width="9.28125" style="0" bestFit="1" customWidth="1"/>
    <col min="11" max="11" width="16.57421875" style="0" customWidth="1"/>
    <col min="12" max="12" width="10.28125" style="0" bestFit="1" customWidth="1"/>
  </cols>
  <sheetData>
    <row r="1" spans="1:11" ht="12.75">
      <c r="A1" s="461" t="s">
        <v>125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</row>
    <row r="2" spans="1:2" ht="12.75">
      <c r="A2" s="3"/>
      <c r="B2" s="257"/>
    </row>
    <row r="3" spans="1:11" ht="12.75">
      <c r="A3" s="463" t="s">
        <v>251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</row>
    <row r="4" spans="1:13" ht="15" customHeight="1" thickBot="1">
      <c r="A4" s="3"/>
      <c r="B4" s="294"/>
      <c r="C4" s="294"/>
      <c r="D4" s="257"/>
      <c r="E4" s="294"/>
      <c r="F4" s="294"/>
      <c r="G4" s="294"/>
      <c r="H4" s="11"/>
      <c r="I4" s="11"/>
      <c r="J4" s="11"/>
      <c r="K4" s="11"/>
      <c r="M4" s="3"/>
    </row>
    <row r="5" spans="1:17" ht="17.25" customHeight="1" thickTop="1">
      <c r="A5" s="6"/>
      <c r="B5" s="288"/>
      <c r="C5" s="288"/>
      <c r="D5" s="480" t="s">
        <v>158</v>
      </c>
      <c r="E5" s="257"/>
      <c r="F5" s="257"/>
      <c r="G5" s="257"/>
      <c r="H5" s="257"/>
      <c r="I5" s="257"/>
      <c r="J5" s="257"/>
      <c r="K5" s="257"/>
      <c r="Q5" s="3"/>
    </row>
    <row r="6" spans="1:17" ht="12.75" customHeight="1">
      <c r="A6" s="3"/>
      <c r="B6" s="473" t="s">
        <v>202</v>
      </c>
      <c r="C6" s="473"/>
      <c r="D6" s="481"/>
      <c r="E6" s="477" t="s">
        <v>207</v>
      </c>
      <c r="F6" s="477" t="s">
        <v>205</v>
      </c>
      <c r="G6" s="477" t="s">
        <v>206</v>
      </c>
      <c r="H6" s="479" t="s">
        <v>204</v>
      </c>
      <c r="I6" s="288"/>
      <c r="J6" s="288"/>
      <c r="K6" s="288" t="s">
        <v>37</v>
      </c>
      <c r="Q6" s="3"/>
    </row>
    <row r="7" spans="1:17" ht="12.75">
      <c r="A7" s="3" t="s">
        <v>81</v>
      </c>
      <c r="B7" s="483"/>
      <c r="C7" s="483"/>
      <c r="D7" s="481"/>
      <c r="E7" s="423"/>
      <c r="F7" s="423"/>
      <c r="G7" s="423"/>
      <c r="H7" s="423"/>
      <c r="I7" s="309"/>
      <c r="J7" s="465" t="s">
        <v>265</v>
      </c>
      <c r="K7" s="288" t="s">
        <v>52</v>
      </c>
      <c r="Q7" s="3"/>
    </row>
    <row r="8" spans="1:17" ht="12.75">
      <c r="A8" s="3" t="s">
        <v>34</v>
      </c>
      <c r="B8" s="484" t="s">
        <v>203</v>
      </c>
      <c r="C8" s="288" t="s">
        <v>164</v>
      </c>
      <c r="D8" s="481"/>
      <c r="E8" s="423"/>
      <c r="F8" s="423"/>
      <c r="G8" s="423"/>
      <c r="H8" s="423"/>
      <c r="I8" s="288" t="s">
        <v>200</v>
      </c>
      <c r="J8" s="465"/>
      <c r="K8" s="288" t="s">
        <v>51</v>
      </c>
      <c r="Q8" s="3"/>
    </row>
    <row r="9" spans="1:17" ht="16.5" customHeight="1" thickBot="1">
      <c r="A9" s="7" t="s">
        <v>134</v>
      </c>
      <c r="B9" s="485"/>
      <c r="C9" s="290" t="s">
        <v>28</v>
      </c>
      <c r="D9" s="482"/>
      <c r="E9" s="424"/>
      <c r="F9" s="424"/>
      <c r="G9" s="424"/>
      <c r="H9" s="424"/>
      <c r="I9" s="290" t="s">
        <v>201</v>
      </c>
      <c r="J9" s="466"/>
      <c r="K9" s="304" t="s">
        <v>64</v>
      </c>
      <c r="Q9" s="3"/>
    </row>
    <row r="10" spans="1:17" s="375" customFormat="1" ht="12.75">
      <c r="A10" s="374" t="s">
        <v>0</v>
      </c>
      <c r="B10" s="305">
        <f aca="true" t="shared" si="0" ref="B10:K10">SUM(B12:B39)</f>
        <v>15000</v>
      </c>
      <c r="C10" s="305">
        <f t="shared" si="0"/>
        <v>102078.76000000001</v>
      </c>
      <c r="D10" s="305">
        <f t="shared" si="0"/>
        <v>457954.13</v>
      </c>
      <c r="E10" s="305">
        <f t="shared" si="0"/>
        <v>3385698.149999999</v>
      </c>
      <c r="F10" s="369">
        <f t="shared" si="0"/>
        <v>10605110.130000003</v>
      </c>
      <c r="G10" s="305">
        <f t="shared" si="0"/>
        <v>912152.54</v>
      </c>
      <c r="H10" s="305">
        <f t="shared" si="0"/>
        <v>209635.24</v>
      </c>
      <c r="I10" s="305">
        <f t="shared" si="0"/>
        <v>143298.56</v>
      </c>
      <c r="J10" s="305">
        <f t="shared" si="0"/>
        <v>8644.34</v>
      </c>
      <c r="K10" s="305">
        <f t="shared" si="0"/>
        <v>56551789.34999994</v>
      </c>
      <c r="Q10" s="373"/>
    </row>
    <row r="11" spans="1:17" ht="12.75">
      <c r="A11" s="3"/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Q11" s="3"/>
    </row>
    <row r="12" spans="1:17" ht="12.75">
      <c r="A12" s="3" t="s">
        <v>1</v>
      </c>
      <c r="B12" s="253">
        <v>5000</v>
      </c>
      <c r="C12" s="253">
        <v>9529.6</v>
      </c>
      <c r="D12" s="253">
        <v>0</v>
      </c>
      <c r="E12" s="253">
        <v>34377.520000000004</v>
      </c>
      <c r="F12" s="253">
        <v>0</v>
      </c>
      <c r="G12" s="253">
        <v>0</v>
      </c>
      <c r="H12" s="253">
        <v>0</v>
      </c>
      <c r="I12" s="253">
        <v>0</v>
      </c>
      <c r="J12" s="253">
        <v>0</v>
      </c>
      <c r="K12" s="279">
        <v>1412303.0500000007</v>
      </c>
      <c r="L12" s="1"/>
      <c r="Q12" s="15"/>
    </row>
    <row r="13" spans="1:17" ht="12.75">
      <c r="A13" s="3" t="s">
        <v>2</v>
      </c>
      <c r="B13" s="253">
        <v>0</v>
      </c>
      <c r="C13" s="253">
        <v>8162.37</v>
      </c>
      <c r="D13" s="253">
        <v>24491.26</v>
      </c>
      <c r="E13" s="253">
        <v>233829.22</v>
      </c>
      <c r="F13" s="253">
        <v>0</v>
      </c>
      <c r="G13" s="253">
        <v>72520.08</v>
      </c>
      <c r="H13" s="253">
        <v>0</v>
      </c>
      <c r="I13" s="253">
        <v>0</v>
      </c>
      <c r="J13" s="253">
        <v>0</v>
      </c>
      <c r="K13" s="279">
        <v>3997654.4899999946</v>
      </c>
      <c r="Q13" s="15"/>
    </row>
    <row r="14" spans="1:17" ht="12.75">
      <c r="A14" s="3" t="s">
        <v>3</v>
      </c>
      <c r="B14" s="253">
        <v>0</v>
      </c>
      <c r="C14" s="253">
        <v>2227.84</v>
      </c>
      <c r="D14" s="253">
        <v>74522.81</v>
      </c>
      <c r="E14" s="279">
        <v>699565.0700000001</v>
      </c>
      <c r="F14" s="253">
        <v>0</v>
      </c>
      <c r="G14" s="253">
        <v>168854.34</v>
      </c>
      <c r="H14" s="253">
        <v>0</v>
      </c>
      <c r="I14" s="253">
        <v>0</v>
      </c>
      <c r="J14" s="253">
        <v>0</v>
      </c>
      <c r="K14" s="279">
        <f>19075573.1-35486.47</f>
        <v>19040086.630000003</v>
      </c>
      <c r="Q14" s="15"/>
    </row>
    <row r="15" spans="1:17" ht="12.75">
      <c r="A15" s="3" t="s">
        <v>4</v>
      </c>
      <c r="B15" s="253">
        <v>0</v>
      </c>
      <c r="C15" s="253">
        <v>14091.880000000001</v>
      </c>
      <c r="D15" s="253">
        <v>39329.8</v>
      </c>
      <c r="E15" s="253">
        <v>488739.46</v>
      </c>
      <c r="F15" s="253">
        <v>3115644.8400000003</v>
      </c>
      <c r="G15" s="253">
        <v>138151.75</v>
      </c>
      <c r="H15" s="253">
        <v>0</v>
      </c>
      <c r="I15" s="253">
        <v>0</v>
      </c>
      <c r="J15" s="253">
        <v>0</v>
      </c>
      <c r="K15" s="279">
        <v>1675257.6999999732</v>
      </c>
      <c r="Q15" s="15"/>
    </row>
    <row r="16" spans="1:17" ht="12.75">
      <c r="A16" s="3" t="s">
        <v>5</v>
      </c>
      <c r="B16" s="253">
        <v>0</v>
      </c>
      <c r="C16" s="253">
        <v>299.88</v>
      </c>
      <c r="D16" s="253">
        <v>0</v>
      </c>
      <c r="E16" s="279">
        <v>38610.68</v>
      </c>
      <c r="F16" s="263">
        <v>379191.45999999996</v>
      </c>
      <c r="G16" s="253">
        <v>15770.88</v>
      </c>
      <c r="H16" s="253">
        <v>0</v>
      </c>
      <c r="I16" s="253">
        <v>0</v>
      </c>
      <c r="J16" s="253">
        <v>0</v>
      </c>
      <c r="K16" s="279">
        <v>264693.57</v>
      </c>
      <c r="Q16" s="15"/>
    </row>
    <row r="17" spans="1:17" ht="12.75">
      <c r="A17" s="3"/>
      <c r="B17" s="253"/>
      <c r="C17" s="253"/>
      <c r="D17" s="253"/>
      <c r="E17" s="253"/>
      <c r="F17" s="253"/>
      <c r="G17" s="253"/>
      <c r="H17" s="253"/>
      <c r="I17" s="253"/>
      <c r="J17" s="253"/>
      <c r="K17" s="279"/>
      <c r="Q17" s="15"/>
    </row>
    <row r="18" spans="1:17" ht="12.75">
      <c r="A18" s="3" t="s">
        <v>6</v>
      </c>
      <c r="B18" s="253">
        <v>0</v>
      </c>
      <c r="C18" s="253">
        <v>0</v>
      </c>
      <c r="D18" s="253">
        <v>0</v>
      </c>
      <c r="E18" s="253">
        <v>28851.16</v>
      </c>
      <c r="F18" s="253">
        <v>225667.24</v>
      </c>
      <c r="G18" s="253">
        <v>0</v>
      </c>
      <c r="H18" s="253">
        <v>0</v>
      </c>
      <c r="I18" s="253">
        <v>0</v>
      </c>
      <c r="J18" s="253">
        <v>0</v>
      </c>
      <c r="K18" s="279">
        <v>155303.02000000048</v>
      </c>
      <c r="Q18" s="15"/>
    </row>
    <row r="19" spans="1:17" ht="12.75">
      <c r="A19" s="3" t="s">
        <v>7</v>
      </c>
      <c r="B19" s="253">
        <v>0</v>
      </c>
      <c r="C19" s="253">
        <v>15839.73</v>
      </c>
      <c r="D19" s="253">
        <v>0</v>
      </c>
      <c r="E19" s="253">
        <v>89412.32</v>
      </c>
      <c r="F19" s="253">
        <v>0</v>
      </c>
      <c r="G19" s="253">
        <v>0</v>
      </c>
      <c r="H19" s="253">
        <v>0</v>
      </c>
      <c r="I19" s="253">
        <v>0</v>
      </c>
      <c r="J19" s="253">
        <v>0</v>
      </c>
      <c r="K19" s="279">
        <v>1437344.7000000011</v>
      </c>
      <c r="Q19" s="15"/>
    </row>
    <row r="20" spans="1:17" ht="12.75">
      <c r="A20" s="3" t="s">
        <v>8</v>
      </c>
      <c r="B20" s="253">
        <v>0</v>
      </c>
      <c r="C20" s="253">
        <v>5518.67</v>
      </c>
      <c r="D20" s="253">
        <v>22078.35</v>
      </c>
      <c r="E20" s="253">
        <v>58333.49</v>
      </c>
      <c r="F20" s="253">
        <v>0</v>
      </c>
      <c r="G20" s="253">
        <v>0</v>
      </c>
      <c r="H20" s="253">
        <v>0</v>
      </c>
      <c r="I20" s="253">
        <v>0</v>
      </c>
      <c r="J20" s="253">
        <v>0</v>
      </c>
      <c r="K20" s="279">
        <v>1043733.9699999988</v>
      </c>
      <c r="Q20" s="15"/>
    </row>
    <row r="21" spans="1:17" ht="12.75">
      <c r="A21" s="3" t="s">
        <v>9</v>
      </c>
      <c r="B21" s="253">
        <v>0</v>
      </c>
      <c r="C21" s="253">
        <v>9214.26</v>
      </c>
      <c r="D21" s="253">
        <v>0</v>
      </c>
      <c r="E21" s="253">
        <v>97349.95999999999</v>
      </c>
      <c r="F21" s="253">
        <v>421888.5</v>
      </c>
      <c r="G21" s="253">
        <v>35557.729999999996</v>
      </c>
      <c r="H21" s="253">
        <v>0</v>
      </c>
      <c r="I21" s="253">
        <v>0</v>
      </c>
      <c r="J21" s="253">
        <v>0</v>
      </c>
      <c r="K21" s="279">
        <v>1117181</v>
      </c>
      <c r="Q21" s="15"/>
    </row>
    <row r="22" spans="1:17" ht="12.75">
      <c r="A22" s="3" t="s">
        <v>10</v>
      </c>
      <c r="B22" s="253">
        <v>0</v>
      </c>
      <c r="C22" s="253">
        <v>0</v>
      </c>
      <c r="D22" s="253">
        <v>0</v>
      </c>
      <c r="E22" s="253">
        <v>27121.93</v>
      </c>
      <c r="F22" s="253">
        <v>521594.17</v>
      </c>
      <c r="G22" s="253">
        <v>0</v>
      </c>
      <c r="H22" s="253">
        <v>0</v>
      </c>
      <c r="I22" s="253">
        <v>0</v>
      </c>
      <c r="J22" s="253">
        <v>0</v>
      </c>
      <c r="K22" s="279">
        <v>197024.5</v>
      </c>
      <c r="Q22" s="15"/>
    </row>
    <row r="23" spans="1:17" ht="12.75">
      <c r="A23" s="3"/>
      <c r="B23" s="253"/>
      <c r="C23" s="253"/>
      <c r="D23" s="253"/>
      <c r="E23" s="253"/>
      <c r="F23" s="253"/>
      <c r="G23" s="253"/>
      <c r="H23" s="253"/>
      <c r="I23" s="253"/>
      <c r="J23" s="253"/>
      <c r="K23" s="279"/>
      <c r="Q23" s="15"/>
    </row>
    <row r="24" spans="1:17" ht="12.75">
      <c r="A24" s="3" t="s">
        <v>11</v>
      </c>
      <c r="B24" s="253">
        <v>0</v>
      </c>
      <c r="C24" s="253">
        <v>11821.98</v>
      </c>
      <c r="D24" s="253">
        <v>1260</v>
      </c>
      <c r="E24" s="253">
        <v>86472.8</v>
      </c>
      <c r="F24" s="253">
        <v>0</v>
      </c>
      <c r="G24" s="253">
        <v>39879.329999999994</v>
      </c>
      <c r="H24" s="253">
        <v>0</v>
      </c>
      <c r="I24" s="253">
        <v>0</v>
      </c>
      <c r="J24" s="253">
        <v>0</v>
      </c>
      <c r="K24" s="279">
        <v>0</v>
      </c>
      <c r="Q24" s="15"/>
    </row>
    <row r="25" spans="1:17" ht="12.75">
      <c r="A25" s="3" t="s">
        <v>12</v>
      </c>
      <c r="B25" s="253">
        <v>0</v>
      </c>
      <c r="C25" s="253">
        <v>9120.039999999999</v>
      </c>
      <c r="D25" s="253">
        <v>0</v>
      </c>
      <c r="E25" s="279">
        <v>34183.71</v>
      </c>
      <c r="F25" s="253">
        <v>374754</v>
      </c>
      <c r="G25" s="253">
        <v>0</v>
      </c>
      <c r="H25" s="253">
        <v>0</v>
      </c>
      <c r="I25" s="253">
        <v>0</v>
      </c>
      <c r="J25" s="253">
        <v>0</v>
      </c>
      <c r="K25" s="279">
        <v>141269.2399999993</v>
      </c>
      <c r="Q25" s="15"/>
    </row>
    <row r="26" spans="1:17" ht="12.75">
      <c r="A26" s="3" t="s">
        <v>13</v>
      </c>
      <c r="B26" s="253">
        <v>0</v>
      </c>
      <c r="C26" s="253">
        <v>7015.32</v>
      </c>
      <c r="D26" s="253">
        <v>0</v>
      </c>
      <c r="E26" s="279">
        <v>113264.44</v>
      </c>
      <c r="F26" s="253">
        <v>0</v>
      </c>
      <c r="G26" s="253">
        <v>27000</v>
      </c>
      <c r="H26" s="253">
        <v>0</v>
      </c>
      <c r="I26" s="253">
        <v>0</v>
      </c>
      <c r="J26" s="253">
        <v>2060.64</v>
      </c>
      <c r="K26" s="279">
        <v>1173146.5000000037</v>
      </c>
      <c r="Q26" s="15"/>
    </row>
    <row r="27" spans="1:17" ht="12.75">
      <c r="A27" s="3" t="s">
        <v>14</v>
      </c>
      <c r="B27" s="253">
        <v>0</v>
      </c>
      <c r="C27" s="253">
        <v>0</v>
      </c>
      <c r="D27" s="253">
        <v>0</v>
      </c>
      <c r="E27" s="279">
        <v>87788.86</v>
      </c>
      <c r="F27" s="253">
        <v>0</v>
      </c>
      <c r="G27" s="253">
        <v>125598.67</v>
      </c>
      <c r="H27" s="253">
        <v>0</v>
      </c>
      <c r="I27" s="253">
        <v>0</v>
      </c>
      <c r="J27" s="253">
        <v>0</v>
      </c>
      <c r="K27" s="279">
        <v>265137.9999999963</v>
      </c>
      <c r="Q27" s="15"/>
    </row>
    <row r="28" spans="1:17" ht="12.75">
      <c r="A28" s="3" t="s">
        <v>15</v>
      </c>
      <c r="B28" s="253">
        <v>0</v>
      </c>
      <c r="C28" s="253">
        <v>0</v>
      </c>
      <c r="D28" s="253">
        <v>0</v>
      </c>
      <c r="E28" s="279">
        <v>15699.01</v>
      </c>
      <c r="F28" s="253">
        <v>111971.25</v>
      </c>
      <c r="G28" s="253">
        <v>0</v>
      </c>
      <c r="H28" s="253">
        <v>0</v>
      </c>
      <c r="I28" s="253">
        <v>0</v>
      </c>
      <c r="J28" s="253">
        <v>0</v>
      </c>
      <c r="K28" s="279">
        <v>8603.810000000987</v>
      </c>
      <c r="Q28" s="15"/>
    </row>
    <row r="29" spans="1:17" ht="12.75">
      <c r="A29" s="3"/>
      <c r="B29" s="253"/>
      <c r="C29" s="253"/>
      <c r="D29" s="253"/>
      <c r="E29" s="253"/>
      <c r="F29" s="253"/>
      <c r="G29" s="253"/>
      <c r="H29" s="253"/>
      <c r="I29" s="253"/>
      <c r="J29" s="253"/>
      <c r="K29" s="279"/>
      <c r="Q29" s="15"/>
    </row>
    <row r="30" spans="1:17" ht="12.75">
      <c r="A30" s="3" t="s">
        <v>16</v>
      </c>
      <c r="B30" s="253">
        <v>0</v>
      </c>
      <c r="C30" s="253">
        <v>0</v>
      </c>
      <c r="D30" s="253">
        <v>24612.69</v>
      </c>
      <c r="E30" s="253">
        <v>471534.58999999997</v>
      </c>
      <c r="F30" s="253">
        <v>3255047</v>
      </c>
      <c r="G30" s="263">
        <v>59498.92</v>
      </c>
      <c r="H30" s="253">
        <v>0</v>
      </c>
      <c r="I30" s="253">
        <v>0</v>
      </c>
      <c r="J30" s="253">
        <v>0</v>
      </c>
      <c r="K30" s="279">
        <f>5528547.1-13470.72-13055.88</f>
        <v>5502020.5</v>
      </c>
      <c r="Q30" s="15"/>
    </row>
    <row r="31" spans="1:17" ht="12.75">
      <c r="A31" s="3" t="s">
        <v>17</v>
      </c>
      <c r="B31" s="253">
        <v>0</v>
      </c>
      <c r="C31" s="253">
        <v>7559.99</v>
      </c>
      <c r="D31" s="253">
        <v>8988</v>
      </c>
      <c r="E31" s="253">
        <v>440742.52</v>
      </c>
      <c r="F31" s="253">
        <v>0</v>
      </c>
      <c r="G31" s="263">
        <v>175185.59</v>
      </c>
      <c r="H31" s="253">
        <v>0</v>
      </c>
      <c r="I31" s="253">
        <v>143298.56</v>
      </c>
      <c r="J31" s="253">
        <v>0</v>
      </c>
      <c r="K31" s="279">
        <v>15067814.099999964</v>
      </c>
      <c r="Q31" s="15"/>
    </row>
    <row r="32" spans="1:17" ht="12.75">
      <c r="A32" s="3" t="s">
        <v>18</v>
      </c>
      <c r="B32" s="253">
        <v>0</v>
      </c>
      <c r="C32" s="253">
        <v>0</v>
      </c>
      <c r="D32" s="253">
        <v>0</v>
      </c>
      <c r="E32" s="253">
        <v>23626.48</v>
      </c>
      <c r="F32" s="253">
        <v>0</v>
      </c>
      <c r="G32" s="253">
        <v>0</v>
      </c>
      <c r="H32" s="253">
        <v>0</v>
      </c>
      <c r="I32" s="253">
        <v>0</v>
      </c>
      <c r="J32" s="253">
        <v>0</v>
      </c>
      <c r="K32" s="279">
        <v>674429.61</v>
      </c>
      <c r="Q32" s="15"/>
    </row>
    <row r="33" spans="1:17" ht="12.75">
      <c r="A33" s="3" t="s">
        <v>19</v>
      </c>
      <c r="B33" s="253">
        <v>0</v>
      </c>
      <c r="C33" s="253">
        <v>0</v>
      </c>
      <c r="D33" s="253">
        <v>40547.41</v>
      </c>
      <c r="E33" s="253">
        <v>46653.32</v>
      </c>
      <c r="F33" s="253">
        <v>233336.55</v>
      </c>
      <c r="G33" s="253">
        <v>20527.1</v>
      </c>
      <c r="H33" s="253">
        <v>0</v>
      </c>
      <c r="I33" s="253">
        <v>0</v>
      </c>
      <c r="J33" s="253">
        <v>0</v>
      </c>
      <c r="K33" s="279">
        <v>960490.7799999993</v>
      </c>
      <c r="Q33" s="15"/>
    </row>
    <row r="34" spans="1:17" ht="12.75">
      <c r="A34" s="3" t="s">
        <v>20</v>
      </c>
      <c r="B34" s="253">
        <v>0</v>
      </c>
      <c r="C34" s="253">
        <v>0</v>
      </c>
      <c r="D34" s="253">
        <v>53377.99</v>
      </c>
      <c r="E34" s="253">
        <v>21701.25</v>
      </c>
      <c r="F34" s="253">
        <f>54+337752.48</f>
        <v>337806.48</v>
      </c>
      <c r="G34" s="253">
        <v>0</v>
      </c>
      <c r="H34" s="253">
        <v>0</v>
      </c>
      <c r="I34" s="253">
        <v>0</v>
      </c>
      <c r="J34" s="253">
        <v>0</v>
      </c>
      <c r="K34" s="279">
        <v>1005758.01</v>
      </c>
      <c r="Q34" s="15"/>
    </row>
    <row r="35" spans="1:17" ht="12.75">
      <c r="A35" s="3"/>
      <c r="B35" s="253"/>
      <c r="C35" s="279"/>
      <c r="D35" s="253"/>
      <c r="E35" s="253"/>
      <c r="F35" s="253"/>
      <c r="G35" s="253"/>
      <c r="H35" s="253"/>
      <c r="I35" s="253"/>
      <c r="J35" s="253"/>
      <c r="K35" s="279"/>
      <c r="Q35" s="15"/>
    </row>
    <row r="36" spans="1:17" ht="12.75">
      <c r="A36" s="3" t="s">
        <v>21</v>
      </c>
      <c r="B36" s="253">
        <v>0</v>
      </c>
      <c r="C36" s="253">
        <v>0</v>
      </c>
      <c r="D36" s="253">
        <v>0</v>
      </c>
      <c r="E36" s="253">
        <v>24483.79</v>
      </c>
      <c r="F36" s="253">
        <v>33321.96</v>
      </c>
      <c r="G36" s="253">
        <v>265.23</v>
      </c>
      <c r="H36" s="263">
        <v>0</v>
      </c>
      <c r="I36" s="253">
        <v>0</v>
      </c>
      <c r="J36" s="253">
        <v>0</v>
      </c>
      <c r="K36" s="279">
        <v>0</v>
      </c>
      <c r="Q36" s="15"/>
    </row>
    <row r="37" spans="1:17" ht="12.75">
      <c r="A37" s="3" t="s">
        <v>22</v>
      </c>
      <c r="B37" s="253">
        <v>0</v>
      </c>
      <c r="C37" s="253">
        <v>0</v>
      </c>
      <c r="D37" s="253">
        <v>24522.67</v>
      </c>
      <c r="E37" s="253">
        <f>38965.79+1212.72+68922.5</f>
        <v>109101.01000000001</v>
      </c>
      <c r="F37" s="253">
        <v>1008235.49</v>
      </c>
      <c r="G37" s="253">
        <v>0</v>
      </c>
      <c r="H37" s="263">
        <v>0</v>
      </c>
      <c r="I37" s="253">
        <v>0</v>
      </c>
      <c r="J37" s="253">
        <v>0</v>
      </c>
      <c r="K37" s="279">
        <v>76360.2100000009</v>
      </c>
      <c r="Q37" s="15"/>
    </row>
    <row r="38" spans="1:17" ht="12.75">
      <c r="A38" s="3" t="s">
        <v>23</v>
      </c>
      <c r="B38" s="253">
        <v>0</v>
      </c>
      <c r="C38" s="253">
        <f>1262.79+414.41</f>
        <v>1677.2</v>
      </c>
      <c r="D38" s="253">
        <v>57453.07</v>
      </c>
      <c r="E38" s="253">
        <v>87245.52</v>
      </c>
      <c r="F38" s="253">
        <v>0</v>
      </c>
      <c r="G38" s="253">
        <v>33342.92</v>
      </c>
      <c r="H38" s="253">
        <v>0</v>
      </c>
      <c r="I38" s="253">
        <v>0</v>
      </c>
      <c r="J38" s="253">
        <v>0</v>
      </c>
      <c r="K38" s="279">
        <v>1108167.07</v>
      </c>
      <c r="Q38" s="15"/>
    </row>
    <row r="39" spans="1:17" ht="12.75">
      <c r="A39" s="12" t="s">
        <v>24</v>
      </c>
      <c r="B39" s="254">
        <v>10000</v>
      </c>
      <c r="C39" s="254">
        <v>0</v>
      </c>
      <c r="D39" s="254">
        <v>86770.08</v>
      </c>
      <c r="E39" s="254">
        <v>27010.04</v>
      </c>
      <c r="F39" s="254">
        <v>586651.19</v>
      </c>
      <c r="G39" s="254">
        <v>0</v>
      </c>
      <c r="H39" s="254">
        <v>209635.24</v>
      </c>
      <c r="I39" s="254">
        <v>0</v>
      </c>
      <c r="J39" s="254">
        <v>6583.7</v>
      </c>
      <c r="K39" s="254">
        <v>228008.89</v>
      </c>
      <c r="Q39" s="15"/>
    </row>
    <row r="40" spans="1:12" ht="12.75">
      <c r="A40" s="3"/>
      <c r="C40" s="261"/>
      <c r="D40" s="261"/>
      <c r="E40" s="261"/>
      <c r="F40" s="261"/>
      <c r="G40"/>
      <c r="L40" s="15"/>
    </row>
    <row r="41" spans="1:13" ht="12.75">
      <c r="A41" s="3"/>
      <c r="C41" s="261"/>
      <c r="D41" s="261"/>
      <c r="E41" s="261"/>
      <c r="F41" s="261"/>
      <c r="G41" s="261"/>
      <c r="M41" s="15"/>
    </row>
    <row r="42" spans="1:13" ht="12.75">
      <c r="A42" s="3"/>
      <c r="C42" s="261"/>
      <c r="D42" s="261"/>
      <c r="E42" s="261"/>
      <c r="F42" s="261"/>
      <c r="G42" s="261"/>
      <c r="M42" s="15"/>
    </row>
    <row r="43" spans="1:13" ht="12.75">
      <c r="A43" s="3"/>
      <c r="C43" s="261"/>
      <c r="D43" s="261"/>
      <c r="E43" s="261"/>
      <c r="F43" s="261"/>
      <c r="G43" s="261"/>
      <c r="M43" s="15"/>
    </row>
    <row r="44" spans="1:13" ht="12.75">
      <c r="A44" s="3"/>
      <c r="B44" s="367"/>
      <c r="C44" s="261"/>
      <c r="D44" s="261"/>
      <c r="E44" s="261"/>
      <c r="F44" s="261"/>
      <c r="G44" s="261"/>
      <c r="M44" s="15"/>
    </row>
    <row r="45" spans="1:13" ht="12.75">
      <c r="A45" s="3"/>
      <c r="C45" s="261"/>
      <c r="D45" s="261"/>
      <c r="E45" s="261"/>
      <c r="F45" s="261"/>
      <c r="G45" s="261"/>
      <c r="M45" s="15"/>
    </row>
    <row r="46" spans="1:13" ht="12.75">
      <c r="A46" s="3"/>
      <c r="C46" s="261"/>
      <c r="D46" s="261"/>
      <c r="E46" s="261"/>
      <c r="F46" s="261"/>
      <c r="G46" s="261"/>
      <c r="M46" s="15"/>
    </row>
    <row r="47" spans="1:13" ht="12.75">
      <c r="A47" s="3"/>
      <c r="C47" s="261"/>
      <c r="D47" s="261"/>
      <c r="E47" s="261"/>
      <c r="F47" s="261"/>
      <c r="G47" s="261"/>
      <c r="M47" s="15"/>
    </row>
    <row r="48" spans="1:13" ht="12.75">
      <c r="A48" s="3"/>
      <c r="C48" s="261"/>
      <c r="D48" s="261"/>
      <c r="E48" s="261"/>
      <c r="F48" s="261"/>
      <c r="G48" s="261"/>
      <c r="M48" s="15"/>
    </row>
    <row r="49" spans="1:13" ht="12.75">
      <c r="A49" s="3"/>
      <c r="C49" s="261"/>
      <c r="D49" s="261"/>
      <c r="E49" s="261"/>
      <c r="F49" s="261"/>
      <c r="G49" s="261"/>
      <c r="M49" s="15"/>
    </row>
    <row r="50" spans="1:13" ht="12.75">
      <c r="A50" s="3"/>
      <c r="B50" s="257"/>
      <c r="C50" s="261"/>
      <c r="D50" s="261"/>
      <c r="E50" s="261"/>
      <c r="F50" s="261"/>
      <c r="G50" s="261"/>
      <c r="M50" s="15"/>
    </row>
    <row r="51" spans="1:13" ht="12.75">
      <c r="A51" s="3"/>
      <c r="B51" s="257"/>
      <c r="C51" s="261"/>
      <c r="D51" s="261"/>
      <c r="E51" s="261"/>
      <c r="F51" s="261"/>
      <c r="G51" s="261"/>
      <c r="M51" s="15"/>
    </row>
    <row r="52" spans="1:2" ht="12.75">
      <c r="A52" s="3"/>
      <c r="B52" s="257"/>
    </row>
    <row r="53" spans="1:2" ht="12.75">
      <c r="A53" s="3"/>
      <c r="B53" s="257"/>
    </row>
    <row r="54" spans="1:2" ht="12.75">
      <c r="A54" s="3"/>
      <c r="B54" s="257"/>
    </row>
    <row r="55" spans="1:2" ht="12.75">
      <c r="A55" s="3"/>
      <c r="B55" s="257"/>
    </row>
    <row r="56" spans="1:2" ht="12.75">
      <c r="A56" s="3"/>
      <c r="B56" s="257"/>
    </row>
    <row r="57" spans="1:2" ht="12.75">
      <c r="A57" s="3"/>
      <c r="B57" s="257"/>
    </row>
    <row r="58" spans="1:2" ht="12.75">
      <c r="A58" s="3"/>
      <c r="B58" s="257"/>
    </row>
    <row r="59" spans="1:2" ht="12.75">
      <c r="A59" s="3"/>
      <c r="B59" s="257"/>
    </row>
    <row r="60" spans="1:2" ht="12.75">
      <c r="A60" s="3"/>
      <c r="B60" s="257"/>
    </row>
    <row r="61" spans="1:2" ht="12.75">
      <c r="A61" s="3"/>
      <c r="B61" s="257"/>
    </row>
    <row r="62" spans="1:2" ht="12.75">
      <c r="A62" s="3"/>
      <c r="B62" s="257"/>
    </row>
    <row r="63" spans="1:2" ht="12.75">
      <c r="A63" s="3"/>
      <c r="B63" s="257"/>
    </row>
    <row r="64" spans="1:2" ht="12.75">
      <c r="A64" s="3"/>
      <c r="B64" s="257"/>
    </row>
    <row r="65" spans="1:2" ht="12.75">
      <c r="A65" s="3"/>
      <c r="B65" s="257"/>
    </row>
    <row r="66" ht="12.75">
      <c r="A66" s="3"/>
    </row>
    <row r="67" ht="12.75">
      <c r="A67" s="3"/>
    </row>
    <row r="68" ht="12.75">
      <c r="A68" s="3"/>
    </row>
    <row r="69" spans="1:2" ht="12.75">
      <c r="A69" s="3"/>
      <c r="B69" s="257"/>
    </row>
    <row r="70" spans="1:2" ht="12.75">
      <c r="A70" s="3"/>
      <c r="B70" s="257"/>
    </row>
    <row r="71" spans="1:2" ht="12.75">
      <c r="A71" s="3"/>
      <c r="B71" s="257"/>
    </row>
    <row r="72" spans="1:2" ht="12.75">
      <c r="A72" s="3"/>
      <c r="B72" s="257"/>
    </row>
    <row r="73" spans="1:2" ht="12.75">
      <c r="A73" s="3"/>
      <c r="B73" s="257"/>
    </row>
    <row r="74" spans="1:2" ht="12.75">
      <c r="A74" s="3"/>
      <c r="B74" s="257"/>
    </row>
    <row r="75" spans="1:2" ht="12.75">
      <c r="A75" s="3"/>
      <c r="B75" s="257"/>
    </row>
    <row r="76" spans="1:2" ht="12.75">
      <c r="A76" s="3"/>
      <c r="B76" s="257"/>
    </row>
    <row r="77" spans="1:2" ht="12.75">
      <c r="A77" s="3"/>
      <c r="B77" s="257"/>
    </row>
    <row r="78" spans="1:2" ht="12.75">
      <c r="A78" s="3"/>
      <c r="B78" s="257"/>
    </row>
    <row r="79" spans="1:2" ht="12.75">
      <c r="A79" s="3"/>
      <c r="B79" s="257"/>
    </row>
  </sheetData>
  <sheetProtection password="CAF5" sheet="1"/>
  <mergeCells count="10">
    <mergeCell ref="A1:K1"/>
    <mergeCell ref="A3:K3"/>
    <mergeCell ref="H6:H9"/>
    <mergeCell ref="G6:G9"/>
    <mergeCell ref="F6:F9"/>
    <mergeCell ref="J7:J9"/>
    <mergeCell ref="D5:D9"/>
    <mergeCell ref="B6:C7"/>
    <mergeCell ref="B8:B9"/>
    <mergeCell ref="E6:E9"/>
  </mergeCells>
  <printOptions horizontalCentered="1"/>
  <pageMargins left="0.56" right="0.48875" top="0.83" bottom="1.07" header="0.67" footer="0.5"/>
  <pageSetup fitToHeight="1" fitToWidth="1" horizontalDpi="600" verticalDpi="600" orientation="landscape" scale="94" r:id="rId1"/>
  <headerFooter scaleWithDoc="0">
    <oddFooter>&amp;L&amp;"Arial,Italic"&amp;9MSDE-LFRO  09 / 2010&amp;C- 14 -&amp;R&amp;"Arial,Italic"&amp;9Selected Financial Data-Part 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workbookViewId="0" topLeftCell="A1">
      <selection activeCell="A1" sqref="A1"/>
    </sheetView>
  </sheetViews>
  <sheetFormatPr defaultColWidth="11.421875" defaultRowHeight="12.75"/>
  <cols>
    <col min="1" max="1" width="17.8515625" style="24" customWidth="1"/>
    <col min="2" max="2" width="12.00390625" style="224" customWidth="1"/>
    <col min="3" max="3" width="17.7109375" style="224" customWidth="1"/>
    <col min="4" max="4" width="17.57421875" style="224" bestFit="1" customWidth="1"/>
    <col min="5" max="5" width="14.140625" style="224" customWidth="1"/>
    <col min="6" max="6" width="14.00390625" style="224" customWidth="1"/>
    <col min="7" max="7" width="15.57421875" style="224" customWidth="1"/>
    <col min="8" max="8" width="17.421875" style="224" customWidth="1"/>
    <col min="9" max="11" width="14.7109375" style="224" customWidth="1"/>
    <col min="12" max="12" width="12.57421875" style="224" customWidth="1"/>
    <col min="13" max="16384" width="11.421875" style="24" customWidth="1"/>
  </cols>
  <sheetData>
    <row r="1" spans="1:12" ht="12.75">
      <c r="A1" s="22" t="s">
        <v>97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2" ht="12.75">
      <c r="A2" s="22"/>
      <c r="B2" s="311"/>
      <c r="C2" s="311"/>
      <c r="D2" s="311"/>
      <c r="E2" s="311"/>
      <c r="F2" s="311"/>
      <c r="G2" s="311"/>
      <c r="H2" s="311"/>
      <c r="I2" s="311"/>
      <c r="J2" s="325"/>
      <c r="K2" s="325"/>
      <c r="L2" s="311"/>
    </row>
    <row r="3" spans="1:12" ht="12.75">
      <c r="A3" s="310" t="s">
        <v>266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</row>
    <row r="4" spans="1:12" ht="13.5" thickBot="1">
      <c r="A4" s="47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</row>
    <row r="5" spans="1:12" ht="15" customHeight="1" thickTop="1">
      <c r="A5" s="487" t="s">
        <v>178</v>
      </c>
      <c r="B5" s="486" t="s">
        <v>237</v>
      </c>
      <c r="C5" s="486" t="s">
        <v>211</v>
      </c>
      <c r="D5" s="486" t="s">
        <v>180</v>
      </c>
      <c r="E5" s="486" t="s">
        <v>238</v>
      </c>
      <c r="F5" s="486" t="s">
        <v>239</v>
      </c>
      <c r="G5" s="488" t="s">
        <v>98</v>
      </c>
      <c r="H5" s="488"/>
      <c r="I5" s="488"/>
      <c r="J5" s="488"/>
      <c r="K5" s="488"/>
      <c r="L5" s="488"/>
    </row>
    <row r="6" spans="1:12" ht="12.75">
      <c r="A6" s="452"/>
      <c r="B6" s="438"/>
      <c r="C6" s="438"/>
      <c r="D6" s="438"/>
      <c r="E6" s="438"/>
      <c r="F6" s="438"/>
      <c r="G6" s="446" t="s">
        <v>181</v>
      </c>
      <c r="H6" s="446" t="s">
        <v>240</v>
      </c>
      <c r="I6" s="446" t="s">
        <v>233</v>
      </c>
      <c r="J6" s="446" t="s">
        <v>212</v>
      </c>
      <c r="K6" s="446" t="s">
        <v>177</v>
      </c>
      <c r="L6" s="446" t="s">
        <v>179</v>
      </c>
    </row>
    <row r="7" spans="1:12" ht="12.75">
      <c r="A7" s="452"/>
      <c r="B7" s="438"/>
      <c r="C7" s="438"/>
      <c r="D7" s="438"/>
      <c r="E7" s="438"/>
      <c r="F7" s="438"/>
      <c r="G7" s="438"/>
      <c r="H7" s="438"/>
      <c r="I7" s="421"/>
      <c r="J7" s="421"/>
      <c r="K7" s="438"/>
      <c r="L7" s="438"/>
    </row>
    <row r="8" spans="1:12" ht="12.75">
      <c r="A8" s="452"/>
      <c r="B8" s="438"/>
      <c r="C8" s="438"/>
      <c r="D8" s="438"/>
      <c r="E8" s="438"/>
      <c r="F8" s="438"/>
      <c r="G8" s="438"/>
      <c r="H8" s="438"/>
      <c r="I8" s="421"/>
      <c r="J8" s="421"/>
      <c r="K8" s="438"/>
      <c r="L8" s="438"/>
    </row>
    <row r="9" spans="1:12" ht="13.5" thickBot="1">
      <c r="A9" s="449"/>
      <c r="B9" s="422"/>
      <c r="C9" s="422"/>
      <c r="D9" s="422"/>
      <c r="E9" s="422"/>
      <c r="F9" s="422"/>
      <c r="G9" s="422"/>
      <c r="H9" s="422"/>
      <c r="I9" s="422"/>
      <c r="J9" s="422"/>
      <c r="K9" s="422"/>
      <c r="L9" s="422"/>
    </row>
    <row r="10" spans="1:12" ht="12.75">
      <c r="A10" s="32" t="s">
        <v>0</v>
      </c>
      <c r="B10" s="298">
        <f>SUM(B12:B39)</f>
        <v>815742</v>
      </c>
      <c r="C10" s="316">
        <f>SUM(C12:C39)</f>
        <v>375634608783</v>
      </c>
      <c r="D10" s="317">
        <f>+C10/B10</f>
        <v>460482.1239840538</v>
      </c>
      <c r="E10" s="316">
        <f aca="true" t="shared" si="0" ref="E10:K10">SUM(E12:E39)</f>
        <v>5460576955</v>
      </c>
      <c r="F10" s="316">
        <f t="shared" si="0"/>
        <v>2730300153</v>
      </c>
      <c r="G10" s="316">
        <f t="shared" si="0"/>
        <v>2730276802</v>
      </c>
      <c r="H10" s="316">
        <f t="shared" si="0"/>
        <v>819086541</v>
      </c>
      <c r="I10" s="316">
        <f t="shared" si="0"/>
        <v>2756833445</v>
      </c>
      <c r="J10" s="305">
        <f t="shared" si="0"/>
        <v>75759495</v>
      </c>
      <c r="K10" s="316">
        <f t="shared" si="0"/>
        <v>2832592940</v>
      </c>
      <c r="L10" s="316">
        <f>K10/B10</f>
        <v>3472.4127726658676</v>
      </c>
    </row>
    <row r="11" spans="1:12" ht="12.75">
      <c r="A11" s="23"/>
      <c r="B11" s="285"/>
      <c r="C11" s="285"/>
      <c r="D11" s="318"/>
      <c r="E11" s="285"/>
      <c r="F11" s="321"/>
      <c r="G11" s="285"/>
      <c r="H11" s="285"/>
      <c r="I11" s="285"/>
      <c r="J11" s="326"/>
      <c r="K11" s="285"/>
      <c r="L11" s="358"/>
    </row>
    <row r="12" spans="1:12" ht="12.75">
      <c r="A12" s="23" t="s">
        <v>1</v>
      </c>
      <c r="B12" s="314">
        <v>8993</v>
      </c>
      <c r="C12" s="285">
        <v>2092388303</v>
      </c>
      <c r="D12" s="318">
        <f>+C12/B12</f>
        <v>232668.5536528411</v>
      </c>
      <c r="E12" s="279">
        <v>60199142</v>
      </c>
      <c r="F12" s="285">
        <v>15208524</v>
      </c>
      <c r="G12" s="285">
        <f>+E12-F12</f>
        <v>44990618</v>
      </c>
      <c r="H12" s="323">
        <v>9029871</v>
      </c>
      <c r="I12" s="323">
        <f>IF(G12&gt;H12,G12,H12)</f>
        <v>44990618</v>
      </c>
      <c r="J12" s="371">
        <v>0</v>
      </c>
      <c r="K12" s="279">
        <f>I12+J12</f>
        <v>44990618</v>
      </c>
      <c r="L12" s="358">
        <f>K12/B12</f>
        <v>5002.848660068942</v>
      </c>
    </row>
    <row r="13" spans="1:12" ht="12.75">
      <c r="A13" s="23" t="s">
        <v>2</v>
      </c>
      <c r="B13" s="314">
        <v>71605</v>
      </c>
      <c r="C13" s="285">
        <v>40903057854</v>
      </c>
      <c r="D13" s="318">
        <f>+C13/B13</f>
        <v>571231.8672439075</v>
      </c>
      <c r="E13" s="279">
        <v>479323870</v>
      </c>
      <c r="F13" s="285">
        <v>297303876</v>
      </c>
      <c r="G13" s="285">
        <f>+E13-F13</f>
        <v>182019994</v>
      </c>
      <c r="H13" s="323">
        <v>71898581</v>
      </c>
      <c r="I13" s="323">
        <f>IF(G13&gt;H13,G13,H13)</f>
        <v>182019994</v>
      </c>
      <c r="J13" s="370">
        <v>5176698</v>
      </c>
      <c r="K13" s="279">
        <f>I13+J13</f>
        <v>187196692</v>
      </c>
      <c r="L13" s="358">
        <f>K13/B13</f>
        <v>2614.2963759514</v>
      </c>
    </row>
    <row r="14" spans="1:12" ht="12.75">
      <c r="A14" s="23" t="s">
        <v>3</v>
      </c>
      <c r="B14" s="314">
        <v>77251.75</v>
      </c>
      <c r="C14" s="285">
        <v>18667985733</v>
      </c>
      <c r="D14" s="318">
        <f>+C14/B14</f>
        <v>241651.29894144792</v>
      </c>
      <c r="E14" s="279">
        <v>517123215</v>
      </c>
      <c r="F14" s="285">
        <v>135688254</v>
      </c>
      <c r="G14" s="285">
        <f>+E14-F14</f>
        <v>381434961</v>
      </c>
      <c r="H14" s="323">
        <v>77568482</v>
      </c>
      <c r="I14" s="323">
        <f>IF(G14&gt;H14,G14,H14)</f>
        <v>381434961</v>
      </c>
      <c r="J14" s="326">
        <v>13031505</v>
      </c>
      <c r="K14" s="279">
        <f>I14+J14</f>
        <v>394466466</v>
      </c>
      <c r="L14" s="358">
        <f>K14/B14</f>
        <v>5106.246343933956</v>
      </c>
    </row>
    <row r="15" spans="1:12" ht="12.75">
      <c r="A15" s="23" t="s">
        <v>4</v>
      </c>
      <c r="B15" s="314">
        <v>100022.75</v>
      </c>
      <c r="C15" s="285">
        <v>45502245582</v>
      </c>
      <c r="D15" s="318">
        <f>+C15/B15</f>
        <v>454918.9617562005</v>
      </c>
      <c r="E15" s="279">
        <v>669552289</v>
      </c>
      <c r="F15" s="285">
        <v>330733072</v>
      </c>
      <c r="G15" s="285">
        <f>+E15-F15</f>
        <v>338819217</v>
      </c>
      <c r="H15" s="323">
        <v>100432843</v>
      </c>
      <c r="I15" s="323">
        <f>IF(G15&gt;H15,G15,H15)</f>
        <v>338819217</v>
      </c>
      <c r="J15" s="326">
        <v>3213851</v>
      </c>
      <c r="K15" s="279">
        <f>I15+J15</f>
        <v>342033068</v>
      </c>
      <c r="L15" s="358">
        <f>K15/B15</f>
        <v>3419.552731753526</v>
      </c>
    </row>
    <row r="16" spans="1:12" ht="12.75">
      <c r="A16" s="23" t="s">
        <v>5</v>
      </c>
      <c r="B16" s="314">
        <v>16951.5</v>
      </c>
      <c r="C16" s="285">
        <v>6659304102</v>
      </c>
      <c r="D16" s="318">
        <f>+C16/B16</f>
        <v>392844.53305017255</v>
      </c>
      <c r="E16" s="279">
        <v>113473341</v>
      </c>
      <c r="F16" s="285">
        <v>48403152</v>
      </c>
      <c r="G16" s="285">
        <f>+E16-F16</f>
        <v>65070189</v>
      </c>
      <c r="H16" s="323">
        <v>17021001</v>
      </c>
      <c r="I16" s="323">
        <f>IF(G16&gt;H16,G16,H16)</f>
        <v>65070189</v>
      </c>
      <c r="J16" s="326">
        <v>1429764</v>
      </c>
      <c r="K16" s="279">
        <f>I16+J16</f>
        <v>66499953</v>
      </c>
      <c r="L16" s="358">
        <f>K16/B16</f>
        <v>3922.953897885143</v>
      </c>
    </row>
    <row r="17" spans="1:12" ht="12.75">
      <c r="A17" s="23"/>
      <c r="C17" s="285"/>
      <c r="D17" s="319"/>
      <c r="E17" s="320"/>
      <c r="G17" s="285"/>
      <c r="H17" s="323"/>
      <c r="J17" s="326"/>
      <c r="K17" s="285"/>
      <c r="L17" s="358"/>
    </row>
    <row r="18" spans="1:12" ht="12.75">
      <c r="A18" s="23" t="s">
        <v>6</v>
      </c>
      <c r="B18" s="314">
        <v>5349</v>
      </c>
      <c r="C18" s="285">
        <v>1402587322</v>
      </c>
      <c r="D18" s="318">
        <f>+C18/B18</f>
        <v>262214.86670405685</v>
      </c>
      <c r="E18" s="279">
        <v>35806206</v>
      </c>
      <c r="F18" s="285">
        <v>10194706</v>
      </c>
      <c r="G18" s="285">
        <f>+E18-F18</f>
        <v>25611500</v>
      </c>
      <c r="H18" s="323">
        <v>5370931</v>
      </c>
      <c r="I18" s="323">
        <f>IF(G18&gt;H18,G18,H18)</f>
        <v>25611500</v>
      </c>
      <c r="J18" s="371">
        <v>0</v>
      </c>
      <c r="K18" s="279">
        <f>I18+J18</f>
        <v>25611500</v>
      </c>
      <c r="L18" s="358">
        <f>K18/B18</f>
        <v>4788.091232005982</v>
      </c>
    </row>
    <row r="19" spans="1:12" ht="12.75">
      <c r="A19" s="23" t="s">
        <v>7</v>
      </c>
      <c r="B19" s="314">
        <v>27989.25</v>
      </c>
      <c r="C19" s="285">
        <v>10683841310</v>
      </c>
      <c r="D19" s="318">
        <f>+C19/B19</f>
        <v>381712.3113338157</v>
      </c>
      <c r="E19" s="279">
        <v>187360040</v>
      </c>
      <c r="F19" s="285">
        <v>77655501</v>
      </c>
      <c r="G19" s="285">
        <f>+E19-F19</f>
        <v>109704539</v>
      </c>
      <c r="H19" s="323">
        <v>28104006</v>
      </c>
      <c r="I19" s="323">
        <f>IF(G19&gt;H19,G19,H19)</f>
        <v>109704539</v>
      </c>
      <c r="J19" s="326">
        <v>1573824</v>
      </c>
      <c r="K19" s="279">
        <f>I19+J19</f>
        <v>111278363</v>
      </c>
      <c r="L19" s="358">
        <f>K19/B19</f>
        <v>3975.753655421278</v>
      </c>
    </row>
    <row r="20" spans="1:12" ht="12.75">
      <c r="A20" s="23" t="s">
        <v>8</v>
      </c>
      <c r="B20" s="314">
        <v>15769</v>
      </c>
      <c r="C20" s="285">
        <v>5277594019</v>
      </c>
      <c r="D20" s="318">
        <f>+C20/B20</f>
        <v>334681.59166719514</v>
      </c>
      <c r="E20" s="279">
        <v>105557686</v>
      </c>
      <c r="F20" s="285">
        <v>38360192</v>
      </c>
      <c r="G20" s="285">
        <f>+E20-F20</f>
        <v>67197494</v>
      </c>
      <c r="H20" s="323">
        <v>15833653</v>
      </c>
      <c r="I20" s="323">
        <f>IF(G20&gt;H20,G20,H20)</f>
        <v>67197494</v>
      </c>
      <c r="J20" s="371">
        <v>0</v>
      </c>
      <c r="K20" s="279">
        <f>I20+J20</f>
        <v>67197494</v>
      </c>
      <c r="L20" s="358">
        <f>K20/B20</f>
        <v>4261.3668590272055</v>
      </c>
    </row>
    <row r="21" spans="1:12" ht="12.75">
      <c r="A21" s="23" t="s">
        <v>9</v>
      </c>
      <c r="B21" s="314">
        <v>25843.25</v>
      </c>
      <c r="C21" s="285">
        <v>9002273556</v>
      </c>
      <c r="D21" s="318">
        <f>+C21/B21</f>
        <v>348341.3872481209</v>
      </c>
      <c r="E21" s="279">
        <v>172994716</v>
      </c>
      <c r="F21" s="285">
        <v>65433025</v>
      </c>
      <c r="G21" s="285">
        <f>+E21-F21</f>
        <v>107561691</v>
      </c>
      <c r="H21" s="323">
        <v>25949207</v>
      </c>
      <c r="I21" s="323">
        <f>IF(G21&gt;H21,G21,H21)</f>
        <v>107561691</v>
      </c>
      <c r="J21" s="326">
        <v>2075937</v>
      </c>
      <c r="K21" s="279">
        <f>I21+J21</f>
        <v>109637628</v>
      </c>
      <c r="L21" s="358">
        <f>K21/B21</f>
        <v>4242.408675379451</v>
      </c>
    </row>
    <row r="22" spans="1:12" ht="12.75">
      <c r="A22" s="23" t="s">
        <v>10</v>
      </c>
      <c r="B22" s="314">
        <v>4433.25</v>
      </c>
      <c r="C22" s="285">
        <v>1546257236</v>
      </c>
      <c r="D22" s="318">
        <f>+C22/B22</f>
        <v>348786.38380420685</v>
      </c>
      <c r="E22" s="279">
        <v>29676176</v>
      </c>
      <c r="F22" s="285">
        <v>11238971</v>
      </c>
      <c r="G22" s="285">
        <f>+E22-F22</f>
        <v>18437205</v>
      </c>
      <c r="H22" s="323">
        <v>4451426</v>
      </c>
      <c r="I22" s="323">
        <f>IF(G22&gt;H22,G22,H22)</f>
        <v>18437205</v>
      </c>
      <c r="J22" s="371">
        <v>0</v>
      </c>
      <c r="K22" s="279">
        <f>I22+J22</f>
        <v>18437205</v>
      </c>
      <c r="L22" s="358">
        <f>K22/B22</f>
        <v>4158.846218913889</v>
      </c>
    </row>
    <row r="23" spans="1:12" ht="12.75">
      <c r="A23" s="23"/>
      <c r="B23" s="314"/>
      <c r="C23" s="285"/>
      <c r="D23" s="318"/>
      <c r="E23" s="320"/>
      <c r="F23" s="285"/>
      <c r="G23" s="285"/>
      <c r="H23" s="323"/>
      <c r="I23" s="285"/>
      <c r="J23" s="326"/>
      <c r="K23" s="285"/>
      <c r="L23" s="358"/>
    </row>
    <row r="24" spans="1:12" ht="12.75">
      <c r="A24" s="23" t="s">
        <v>11</v>
      </c>
      <c r="B24" s="314">
        <v>39393.5</v>
      </c>
      <c r="C24" s="285">
        <v>15482580962</v>
      </c>
      <c r="D24" s="318">
        <f>+C24/B24</f>
        <v>393023.7466079429</v>
      </c>
      <c r="E24" s="279">
        <v>263700089</v>
      </c>
      <c r="F24" s="285">
        <v>112535140</v>
      </c>
      <c r="G24" s="285">
        <f>+E24-F24</f>
        <v>151164949</v>
      </c>
      <c r="H24" s="323">
        <v>39555013</v>
      </c>
      <c r="I24" s="323">
        <f>IF(G24&gt;H24,G24,H24)</f>
        <v>151164949</v>
      </c>
      <c r="J24" s="326">
        <v>3797281</v>
      </c>
      <c r="K24" s="279">
        <f>I24+J24</f>
        <v>154962230</v>
      </c>
      <c r="L24" s="358">
        <f>K24/B24</f>
        <v>3933.700483582317</v>
      </c>
    </row>
    <row r="25" spans="1:12" ht="12.75">
      <c r="A25" s="23" t="s">
        <v>12</v>
      </c>
      <c r="B25" s="314">
        <v>4394.75</v>
      </c>
      <c r="C25" s="285">
        <v>1944909232</v>
      </c>
      <c r="D25" s="318">
        <f>+C25/B25</f>
        <v>442552.8714943967</v>
      </c>
      <c r="E25" s="279">
        <v>29418457</v>
      </c>
      <c r="F25" s="285">
        <v>14136573</v>
      </c>
      <c r="G25" s="285">
        <f>+E25-F25</f>
        <v>15281884</v>
      </c>
      <c r="H25" s="323">
        <v>4412768</v>
      </c>
      <c r="I25" s="323">
        <f>IF(G25&gt;H25,G25,H25)</f>
        <v>15281884</v>
      </c>
      <c r="J25" s="371">
        <v>0</v>
      </c>
      <c r="K25" s="279">
        <f>I25+J25</f>
        <v>15281884</v>
      </c>
      <c r="L25" s="358">
        <f>K25/B25</f>
        <v>3477.304511064338</v>
      </c>
    </row>
    <row r="26" spans="1:12" ht="12.75">
      <c r="A26" s="23" t="s">
        <v>13</v>
      </c>
      <c r="B26" s="314">
        <v>38151.75</v>
      </c>
      <c r="C26" s="285">
        <v>14102746621</v>
      </c>
      <c r="D26" s="318">
        <f>+C26/B26</f>
        <v>369648.74798665853</v>
      </c>
      <c r="E26" s="279">
        <v>255387815</v>
      </c>
      <c r="F26" s="285">
        <v>102505814</v>
      </c>
      <c r="G26" s="285">
        <f>+E26-F26</f>
        <v>152882001</v>
      </c>
      <c r="H26" s="323">
        <v>38308172</v>
      </c>
      <c r="I26" s="323">
        <f>IF(G26&gt;H26,G26,H26)</f>
        <v>152882001</v>
      </c>
      <c r="J26" s="371">
        <v>0</v>
      </c>
      <c r="K26" s="279">
        <f>I26+J26</f>
        <v>152882001</v>
      </c>
      <c r="L26" s="358">
        <f>K26/B26</f>
        <v>4007.2080835086203</v>
      </c>
    </row>
    <row r="27" spans="1:12" ht="12.75">
      <c r="A27" s="23" t="s">
        <v>14</v>
      </c>
      <c r="B27" s="314">
        <v>48534.25</v>
      </c>
      <c r="C27" s="285">
        <v>24704373853</v>
      </c>
      <c r="D27" s="318">
        <f>+C27/B27</f>
        <v>509009.0781870535</v>
      </c>
      <c r="E27" s="279">
        <v>324888270</v>
      </c>
      <c r="F27" s="285">
        <v>179563741</v>
      </c>
      <c r="G27" s="285">
        <f>+E27-F27</f>
        <v>145324529</v>
      </c>
      <c r="H27" s="323">
        <v>48733240</v>
      </c>
      <c r="I27" s="323">
        <f>IF(G27&gt;H27,G27,H27)</f>
        <v>145324529</v>
      </c>
      <c r="J27" s="326">
        <v>2923994</v>
      </c>
      <c r="K27" s="279">
        <f>I27+J27</f>
        <v>148248523</v>
      </c>
      <c r="L27" s="358">
        <f>K27/B27</f>
        <v>3054.513523954733</v>
      </c>
    </row>
    <row r="28" spans="1:12" ht="12.75">
      <c r="A28" s="23" t="s">
        <v>15</v>
      </c>
      <c r="B28" s="314">
        <v>2152</v>
      </c>
      <c r="C28" s="285">
        <v>1368810679</v>
      </c>
      <c r="D28" s="318">
        <f>+C28/B28</f>
        <v>636064.4419144981</v>
      </c>
      <c r="E28" s="279">
        <v>14405488</v>
      </c>
      <c r="F28" s="285">
        <v>9949200</v>
      </c>
      <c r="G28" s="285">
        <f>+E28-F28</f>
        <v>4456288</v>
      </c>
      <c r="H28" s="323">
        <v>2160823</v>
      </c>
      <c r="I28" s="323">
        <f>IF(G28&gt;H28,G28,H28)</f>
        <v>4456288</v>
      </c>
      <c r="J28" s="326">
        <v>86433</v>
      </c>
      <c r="K28" s="279">
        <f>I28+J28</f>
        <v>4542721</v>
      </c>
      <c r="L28" s="358">
        <f>K28/B28</f>
        <v>2110.9298327137544</v>
      </c>
    </row>
    <row r="29" spans="1:12" ht="12.75">
      <c r="A29" s="23"/>
      <c r="C29" s="285"/>
      <c r="D29" s="318"/>
      <c r="E29" s="320"/>
      <c r="F29" s="285"/>
      <c r="G29" s="285"/>
      <c r="H29" s="323"/>
      <c r="J29" s="326"/>
      <c r="K29" s="285"/>
      <c r="L29" s="358"/>
    </row>
    <row r="30" spans="1:12" ht="12.75">
      <c r="A30" s="23" t="s">
        <v>16</v>
      </c>
      <c r="B30" s="314">
        <v>134546.75</v>
      </c>
      <c r="C30" s="285">
        <v>101065337939</v>
      </c>
      <c r="D30" s="318">
        <f>+C30/B30</f>
        <v>751154.0630970276</v>
      </c>
      <c r="E30" s="279">
        <v>900655945</v>
      </c>
      <c r="F30" s="285">
        <v>734593409</v>
      </c>
      <c r="G30" s="285">
        <f>+E30-F30</f>
        <v>166062536</v>
      </c>
      <c r="H30" s="323">
        <v>135098392</v>
      </c>
      <c r="I30" s="323">
        <f>IF(G30&gt;H30,G30,H30)</f>
        <v>166062536</v>
      </c>
      <c r="J30" s="326">
        <v>18373381</v>
      </c>
      <c r="K30" s="279">
        <f>I30+J30</f>
        <v>184435917</v>
      </c>
      <c r="L30" s="358">
        <f>K30/B30</f>
        <v>1370.7942926900873</v>
      </c>
    </row>
    <row r="31" spans="1:12" ht="12.75">
      <c r="A31" s="23" t="s">
        <v>17</v>
      </c>
      <c r="B31" s="314">
        <v>122513.25</v>
      </c>
      <c r="C31" s="285">
        <v>41800711355</v>
      </c>
      <c r="D31" s="318">
        <f>+C31/B31</f>
        <v>341193.3921841107</v>
      </c>
      <c r="E31" s="279">
        <v>820103696</v>
      </c>
      <c r="F31" s="285">
        <v>303828470</v>
      </c>
      <c r="G31" s="285">
        <f>+E31-F31</f>
        <v>516275226</v>
      </c>
      <c r="H31" s="323">
        <v>123015554</v>
      </c>
      <c r="I31" s="323">
        <f>IF(G31&gt;H31,G31,H31)</f>
        <v>516275226</v>
      </c>
      <c r="J31" s="326">
        <v>23618986</v>
      </c>
      <c r="K31" s="279">
        <f>I31+J31</f>
        <v>539894212</v>
      </c>
      <c r="L31" s="358">
        <f>K31/B31</f>
        <v>4406.8230334269965</v>
      </c>
    </row>
    <row r="32" spans="1:12" ht="12.75">
      <c r="A32" s="23" t="s">
        <v>18</v>
      </c>
      <c r="B32" s="314">
        <v>7449.75</v>
      </c>
      <c r="C32" s="285">
        <v>3947545444</v>
      </c>
      <c r="D32" s="318">
        <f>+C32/B32</f>
        <v>529889.6532098392</v>
      </c>
      <c r="E32" s="279">
        <v>49868627</v>
      </c>
      <c r="F32" s="285">
        <v>28692734</v>
      </c>
      <c r="G32" s="285">
        <f>+E32-F32</f>
        <v>21175893</v>
      </c>
      <c r="H32" s="323">
        <v>7480294</v>
      </c>
      <c r="I32" s="323">
        <f>IF(G32&gt;H32,G32,H32)</f>
        <v>21175893</v>
      </c>
      <c r="J32" s="326">
        <v>329133</v>
      </c>
      <c r="K32" s="279">
        <f>I32+J32</f>
        <v>21505026</v>
      </c>
      <c r="L32" s="358">
        <f>K32/B32</f>
        <v>2886.677539514749</v>
      </c>
    </row>
    <row r="33" spans="1:12" ht="12.75">
      <c r="A33" s="23" t="s">
        <v>19</v>
      </c>
      <c r="B33" s="314">
        <v>16022.75</v>
      </c>
      <c r="C33" s="285">
        <v>5723627496</v>
      </c>
      <c r="D33" s="318">
        <f>+C33/B33</f>
        <v>357218.7980215631</v>
      </c>
      <c r="E33" s="279">
        <v>107256289</v>
      </c>
      <c r="F33" s="285">
        <v>41602186</v>
      </c>
      <c r="G33" s="285">
        <f>+E33-F33</f>
        <v>65654103</v>
      </c>
      <c r="H33" s="323">
        <v>16088443</v>
      </c>
      <c r="I33" s="323">
        <f>IF(G33&gt;H33,G33,H33)</f>
        <v>65654103</v>
      </c>
      <c r="J33" s="326">
        <v>128708</v>
      </c>
      <c r="K33" s="279">
        <f>I33+J33</f>
        <v>65782811</v>
      </c>
      <c r="L33" s="358">
        <f>K33/B33</f>
        <v>4105.588054485029</v>
      </c>
    </row>
    <row r="34" spans="1:12" ht="12.75">
      <c r="A34" s="23" t="s">
        <v>20</v>
      </c>
      <c r="B34" s="314">
        <v>2725</v>
      </c>
      <c r="C34" s="285">
        <v>783268513</v>
      </c>
      <c r="D34" s="318">
        <f>+C34/B34</f>
        <v>287437.9864220183</v>
      </c>
      <c r="E34" s="279">
        <v>18241150</v>
      </c>
      <c r="F34" s="285">
        <v>5693187</v>
      </c>
      <c r="G34" s="285">
        <f>+E34-F34</f>
        <v>12547963</v>
      </c>
      <c r="H34" s="323">
        <v>2736173</v>
      </c>
      <c r="I34" s="323">
        <f>IF(G34&gt;H34,G34,H34)</f>
        <v>12547963</v>
      </c>
      <c r="J34" s="371">
        <v>0</v>
      </c>
      <c r="K34" s="279">
        <f>I34+J34</f>
        <v>12547963</v>
      </c>
      <c r="L34" s="358">
        <f>K34/B34</f>
        <v>4604.757064220184</v>
      </c>
    </row>
    <row r="35" spans="1:12" ht="12.75">
      <c r="A35" s="23"/>
      <c r="C35" s="285"/>
      <c r="D35" s="318"/>
      <c r="E35" s="320"/>
      <c r="F35" s="285"/>
      <c r="G35" s="285"/>
      <c r="H35" s="323"/>
      <c r="I35" s="285"/>
      <c r="J35" s="326"/>
      <c r="K35" s="285"/>
      <c r="L35" s="358"/>
    </row>
    <row r="36" spans="1:12" ht="12.75">
      <c r="A36" s="23" t="s">
        <v>21</v>
      </c>
      <c r="B36" s="314">
        <v>4231.5</v>
      </c>
      <c r="C36" s="285">
        <v>4067622391</v>
      </c>
      <c r="D36" s="318">
        <f>+C36/B36</f>
        <v>961271.981803143</v>
      </c>
      <c r="E36" s="279">
        <v>28325661</v>
      </c>
      <c r="F36" s="285">
        <v>29565513</v>
      </c>
      <c r="G36" s="279">
        <f>+E36-F36</f>
        <v>-1239852</v>
      </c>
      <c r="H36" s="323">
        <v>4248849</v>
      </c>
      <c r="I36" s="323">
        <f>IF(G36&gt;H36,G36,H36)</f>
        <v>4248849</v>
      </c>
      <c r="J36" s="371">
        <v>0</v>
      </c>
      <c r="K36" s="279">
        <f>I36+J36</f>
        <v>4248849</v>
      </c>
      <c r="L36" s="358">
        <f>K36/B36</f>
        <v>1004.0999645515775</v>
      </c>
    </row>
    <row r="37" spans="1:12" ht="12.75">
      <c r="A37" s="23" t="s">
        <v>22</v>
      </c>
      <c r="B37" s="314">
        <v>21187.25</v>
      </c>
      <c r="C37" s="285">
        <v>7074379655</v>
      </c>
      <c r="D37" s="318">
        <f>+C37/B37</f>
        <v>333897.9648137441</v>
      </c>
      <c r="E37" s="279">
        <v>141827452</v>
      </c>
      <c r="F37" s="285">
        <v>51420129</v>
      </c>
      <c r="G37" s="285">
        <f>+E37-F37</f>
        <v>90407323</v>
      </c>
      <c r="H37" s="323">
        <v>21274118</v>
      </c>
      <c r="I37" s="323">
        <f>IF(G37&gt;H37,G37,H37)</f>
        <v>90407323</v>
      </c>
      <c r="J37" s="371">
        <v>0</v>
      </c>
      <c r="K37" s="279">
        <f>I37+J37</f>
        <v>90407323</v>
      </c>
      <c r="L37" s="358">
        <f>K37/B37</f>
        <v>4267.062643807007</v>
      </c>
    </row>
    <row r="38" spans="1:12" ht="12.75">
      <c r="A38" s="23" t="s">
        <v>23</v>
      </c>
      <c r="B38" s="314">
        <v>13855.75</v>
      </c>
      <c r="C38" s="285">
        <v>3941396385</v>
      </c>
      <c r="D38" s="318">
        <f>+C38/B38</f>
        <v>284459.2595131985</v>
      </c>
      <c r="E38" s="279">
        <v>92750391</v>
      </c>
      <c r="F38" s="285">
        <v>28648040</v>
      </c>
      <c r="G38" s="285">
        <f>+E38-F38</f>
        <v>64102351</v>
      </c>
      <c r="H38" s="323">
        <v>13912559</v>
      </c>
      <c r="I38" s="323">
        <f>IF(G38&gt;H38,G38,H38)</f>
        <v>64102351</v>
      </c>
      <c r="J38" s="371">
        <v>0</v>
      </c>
      <c r="K38" s="279">
        <f>I38+J38</f>
        <v>64102351</v>
      </c>
      <c r="L38" s="358">
        <f>K38/B38</f>
        <v>4626.407881204554</v>
      </c>
    </row>
    <row r="39" spans="1:12" ht="12.75">
      <c r="A39" s="23" t="s">
        <v>24</v>
      </c>
      <c r="B39" s="314">
        <v>6376</v>
      </c>
      <c r="C39" s="285">
        <v>7889763241</v>
      </c>
      <c r="D39" s="378">
        <f>+C39/B39</f>
        <v>1237415.8157151819</v>
      </c>
      <c r="E39" s="279">
        <v>42680944</v>
      </c>
      <c r="F39" s="285">
        <v>57346744</v>
      </c>
      <c r="G39" s="254">
        <f>+E39-F39</f>
        <v>-14665800</v>
      </c>
      <c r="H39" s="286">
        <v>6402142</v>
      </c>
      <c r="I39" s="286">
        <f>IF(G39&gt;H39,G39,H39)</f>
        <v>6402142</v>
      </c>
      <c r="J39" s="371">
        <v>0</v>
      </c>
      <c r="K39" s="279">
        <f>I39+J39</f>
        <v>6402142</v>
      </c>
      <c r="L39" s="358">
        <f>K39/B39</f>
        <v>1004.1000627352572</v>
      </c>
    </row>
    <row r="40" spans="1:12" ht="12.75">
      <c r="A40" s="26" t="s">
        <v>118</v>
      </c>
      <c r="B40" s="315"/>
      <c r="C40" s="315"/>
      <c r="D40" s="315"/>
      <c r="E40" s="315"/>
      <c r="F40" s="315"/>
      <c r="G40" s="315"/>
      <c r="H40" s="323"/>
      <c r="J40" s="315"/>
      <c r="K40" s="315"/>
      <c r="L40" s="315"/>
    </row>
    <row r="41" spans="1:12" ht="12.75">
      <c r="A41" s="23" t="s">
        <v>119</v>
      </c>
      <c r="B41" s="285"/>
      <c r="C41" s="307"/>
      <c r="D41" s="307"/>
      <c r="E41" s="307"/>
      <c r="F41" s="307"/>
      <c r="G41" s="307"/>
      <c r="H41" s="307"/>
      <c r="J41" s="307"/>
      <c r="K41" s="307"/>
      <c r="L41" s="307"/>
    </row>
    <row r="42" spans="1:12" ht="12.75">
      <c r="A42" s="23"/>
      <c r="B42" s="285"/>
      <c r="C42" s="285"/>
      <c r="D42" s="285"/>
      <c r="E42" s="285"/>
      <c r="F42" s="285"/>
      <c r="G42" s="285"/>
      <c r="H42" s="285"/>
      <c r="J42" s="285"/>
      <c r="K42" s="285"/>
      <c r="L42" s="285"/>
    </row>
    <row r="43" spans="1:12" ht="12.75">
      <c r="A43" s="23" t="s">
        <v>230</v>
      </c>
      <c r="B43" s="285"/>
      <c r="C43" s="285"/>
      <c r="D43" s="285"/>
      <c r="E43" s="285"/>
      <c r="F43" s="285"/>
      <c r="G43" s="285"/>
      <c r="H43" s="285"/>
      <c r="I43" s="323"/>
      <c r="J43" s="285"/>
      <c r="K43" s="285"/>
      <c r="L43" s="285"/>
    </row>
    <row r="44" spans="1:12" ht="12.75">
      <c r="A44" s="23"/>
      <c r="B44" s="285"/>
      <c r="C44" s="285"/>
      <c r="D44" s="285"/>
      <c r="E44" s="285"/>
      <c r="F44" s="285"/>
      <c r="G44" s="285"/>
      <c r="H44" s="285"/>
      <c r="I44" s="323"/>
      <c r="J44" s="285"/>
      <c r="K44" s="285"/>
      <c r="L44" s="285"/>
    </row>
    <row r="45" spans="1:12" ht="12.75">
      <c r="A45" s="299" t="s">
        <v>267</v>
      </c>
      <c r="B45" s="285"/>
      <c r="C45" s="285"/>
      <c r="D45" s="285"/>
      <c r="E45" s="285"/>
      <c r="F45" s="285"/>
      <c r="G45" s="285"/>
      <c r="H45" s="285"/>
      <c r="I45" s="324"/>
      <c r="J45" s="285"/>
      <c r="K45" s="285"/>
      <c r="L45" s="285"/>
    </row>
    <row r="46" spans="1:12" ht="12.75">
      <c r="A46" s="23"/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</row>
    <row r="47" spans="1:12" ht="12.75">
      <c r="A47" s="23"/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</row>
    <row r="48" spans="1:12" ht="12.75">
      <c r="A48" s="23"/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</row>
    <row r="49" spans="1:12" ht="12.75">
      <c r="A49" s="23"/>
      <c r="B49" s="285"/>
      <c r="C49" s="285"/>
      <c r="D49" s="285"/>
      <c r="E49" s="285"/>
      <c r="F49" s="285"/>
      <c r="G49" s="285"/>
      <c r="H49" s="285"/>
      <c r="I49" s="285"/>
      <c r="J49" s="285"/>
      <c r="K49" s="285"/>
      <c r="L49" s="285"/>
    </row>
    <row r="50" spans="1:12" ht="12.75">
      <c r="A50" s="23"/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285"/>
    </row>
    <row r="51" spans="1:12" ht="12.75">
      <c r="A51" s="23"/>
      <c r="B51" s="285"/>
      <c r="C51" s="285"/>
      <c r="D51" s="285"/>
      <c r="E51" s="285"/>
      <c r="F51" s="322"/>
      <c r="G51" s="285"/>
      <c r="H51" s="285"/>
      <c r="I51" s="285"/>
      <c r="J51" s="285"/>
      <c r="K51" s="285"/>
      <c r="L51" s="285"/>
    </row>
    <row r="52" spans="1:12" ht="12.75">
      <c r="A52" s="23"/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285"/>
    </row>
    <row r="53" spans="1:12" ht="12.75">
      <c r="A53" s="23"/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5"/>
    </row>
    <row r="54" spans="1:12" ht="12.75">
      <c r="A54" s="23"/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285"/>
    </row>
    <row r="55" spans="1:12" ht="12.75">
      <c r="A55" s="23"/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L55" s="285"/>
    </row>
    <row r="56" spans="1:12" ht="12.75">
      <c r="A56" s="23"/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5"/>
    </row>
    <row r="57" spans="1:12" ht="12.75">
      <c r="A57" s="23"/>
      <c r="B57" s="285"/>
      <c r="C57" s="285"/>
      <c r="D57" s="285"/>
      <c r="E57" s="285"/>
      <c r="F57" s="285"/>
      <c r="G57" s="285"/>
      <c r="H57" s="285"/>
      <c r="I57" s="285"/>
      <c r="J57" s="285"/>
      <c r="K57" s="285"/>
      <c r="L57" s="285"/>
    </row>
    <row r="58" spans="1:12" ht="12.75">
      <c r="A58" s="23"/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</row>
    <row r="59" spans="1:12" ht="12.75">
      <c r="A59" s="23"/>
      <c r="B59" s="285"/>
      <c r="C59" s="285"/>
      <c r="D59" s="285"/>
      <c r="E59" s="285"/>
      <c r="F59" s="285"/>
      <c r="G59" s="285"/>
      <c r="H59" s="285"/>
      <c r="I59" s="285"/>
      <c r="J59" s="285"/>
      <c r="K59" s="285"/>
      <c r="L59" s="285"/>
    </row>
    <row r="60" spans="1:12" ht="12.75">
      <c r="A60" s="23"/>
      <c r="B60" s="285"/>
      <c r="C60" s="285"/>
      <c r="D60" s="285"/>
      <c r="E60" s="285"/>
      <c r="F60" s="285"/>
      <c r="G60" s="285"/>
      <c r="H60" s="285"/>
      <c r="I60" s="285"/>
      <c r="J60" s="285"/>
      <c r="K60" s="285"/>
      <c r="L60" s="285"/>
    </row>
    <row r="61" spans="1:12" ht="12.75">
      <c r="A61" s="23"/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</row>
    <row r="62" spans="1:12" ht="12.75">
      <c r="A62" s="23"/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5"/>
    </row>
    <row r="63" spans="1:12" ht="12.75">
      <c r="A63" s="23"/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85"/>
    </row>
    <row r="64" spans="1:12" ht="12.75">
      <c r="A64" s="23"/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</row>
    <row r="65" spans="1:12" ht="12.75">
      <c r="A65" s="23"/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5"/>
    </row>
    <row r="66" spans="1:12" ht="12.75">
      <c r="A66" s="23"/>
      <c r="B66" s="285"/>
      <c r="C66" s="285"/>
      <c r="D66" s="285"/>
      <c r="E66" s="285"/>
      <c r="F66" s="285"/>
      <c r="G66" s="285"/>
      <c r="H66" s="285"/>
      <c r="I66" s="285"/>
      <c r="J66" s="285"/>
      <c r="K66" s="285"/>
      <c r="L66" s="285"/>
    </row>
    <row r="67" spans="1:12" ht="12.75">
      <c r="A67" s="23"/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</row>
    <row r="68" spans="1:12" ht="12.75">
      <c r="A68" s="23"/>
      <c r="B68" s="285"/>
      <c r="C68" s="285"/>
      <c r="D68" s="285"/>
      <c r="E68" s="285"/>
      <c r="F68" s="285"/>
      <c r="G68" s="285"/>
      <c r="H68" s="285"/>
      <c r="I68" s="285"/>
      <c r="J68" s="285"/>
      <c r="K68" s="285"/>
      <c r="L68" s="285"/>
    </row>
    <row r="69" spans="1:12" ht="12.75">
      <c r="A69" s="23"/>
      <c r="B69" s="285"/>
      <c r="C69" s="285"/>
      <c r="D69" s="285"/>
      <c r="E69" s="285"/>
      <c r="F69" s="285"/>
      <c r="G69" s="285"/>
      <c r="H69" s="285"/>
      <c r="I69" s="285"/>
      <c r="J69" s="285"/>
      <c r="K69" s="285"/>
      <c r="L69" s="285"/>
    </row>
    <row r="70" spans="1:12" ht="12.75">
      <c r="A70" s="23"/>
      <c r="B70" s="285"/>
      <c r="C70" s="285"/>
      <c r="D70" s="285"/>
      <c r="E70" s="285"/>
      <c r="F70" s="285"/>
      <c r="G70" s="285"/>
      <c r="H70" s="285"/>
      <c r="I70" s="285"/>
      <c r="J70" s="285"/>
      <c r="K70" s="285"/>
      <c r="L70" s="285"/>
    </row>
    <row r="71" spans="1:12" ht="12.75">
      <c r="A71" s="23"/>
      <c r="B71" s="285"/>
      <c r="C71" s="285"/>
      <c r="D71" s="285"/>
      <c r="E71" s="285"/>
      <c r="F71" s="285"/>
      <c r="G71" s="285"/>
      <c r="H71" s="285"/>
      <c r="I71" s="285"/>
      <c r="J71" s="285"/>
      <c r="K71" s="285"/>
      <c r="L71" s="285"/>
    </row>
    <row r="72" spans="1:12" ht="12.75">
      <c r="A72" s="23"/>
      <c r="B72" s="285"/>
      <c r="C72" s="285"/>
      <c r="D72" s="285"/>
      <c r="E72" s="285"/>
      <c r="F72" s="285"/>
      <c r="G72" s="285"/>
      <c r="H72" s="285"/>
      <c r="I72" s="285"/>
      <c r="J72" s="285"/>
      <c r="K72" s="285"/>
      <c r="L72" s="285"/>
    </row>
    <row r="73" spans="1:12" ht="12.75">
      <c r="A73" s="23"/>
      <c r="B73" s="285"/>
      <c r="C73" s="285"/>
      <c r="D73" s="285"/>
      <c r="E73" s="285"/>
      <c r="F73" s="285"/>
      <c r="G73" s="285"/>
      <c r="H73" s="285"/>
      <c r="I73" s="285"/>
      <c r="J73" s="285"/>
      <c r="K73" s="285"/>
      <c r="L73" s="285"/>
    </row>
    <row r="74" spans="1:12" ht="12.75">
      <c r="A74" s="23"/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</row>
    <row r="75" spans="2:12" ht="12.75"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</row>
    <row r="76" spans="2:12" ht="12.75">
      <c r="B76" s="225"/>
      <c r="C76" s="225"/>
      <c r="D76" s="225"/>
      <c r="E76" s="225"/>
      <c r="F76" s="225"/>
      <c r="G76" s="225"/>
      <c r="H76" s="225"/>
      <c r="I76" s="225"/>
      <c r="J76" s="225"/>
      <c r="K76" s="225"/>
      <c r="L76" s="225"/>
    </row>
    <row r="77" spans="2:12" ht="12.75"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</row>
    <row r="78" spans="2:12" ht="12.75">
      <c r="B78" s="225"/>
      <c r="C78" s="225"/>
      <c r="D78" s="225"/>
      <c r="E78" s="225"/>
      <c r="F78" s="225"/>
      <c r="G78" s="225"/>
      <c r="H78" s="225"/>
      <c r="I78" s="225"/>
      <c r="J78" s="225"/>
      <c r="K78" s="225"/>
      <c r="L78" s="225"/>
    </row>
    <row r="79" spans="2:12" ht="12.75"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5"/>
    </row>
    <row r="80" spans="2:12" ht="12.75"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</row>
    <row r="81" spans="2:12" ht="12.75"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</row>
    <row r="82" spans="2:12" ht="12.75">
      <c r="B82" s="225"/>
      <c r="C82" s="225"/>
      <c r="D82" s="225"/>
      <c r="E82" s="225"/>
      <c r="F82" s="225"/>
      <c r="G82" s="225"/>
      <c r="H82" s="225"/>
      <c r="I82" s="225"/>
      <c r="J82" s="225"/>
      <c r="K82" s="225"/>
      <c r="L82" s="225"/>
    </row>
    <row r="83" spans="2:12" ht="12.75">
      <c r="B83" s="225"/>
      <c r="C83" s="225"/>
      <c r="D83" s="225"/>
      <c r="E83" s="225"/>
      <c r="F83" s="225"/>
      <c r="G83" s="225"/>
      <c r="H83" s="225"/>
      <c r="I83" s="225"/>
      <c r="J83" s="225"/>
      <c r="K83" s="225"/>
      <c r="L83" s="225"/>
    </row>
    <row r="84" spans="2:12" ht="12.75">
      <c r="B84" s="225"/>
      <c r="C84" s="225"/>
      <c r="D84" s="225"/>
      <c r="E84" s="225"/>
      <c r="F84" s="225"/>
      <c r="G84" s="225"/>
      <c r="H84" s="225"/>
      <c r="I84" s="225"/>
      <c r="J84" s="225"/>
      <c r="K84" s="225"/>
      <c r="L84" s="225"/>
    </row>
    <row r="85" spans="2:12" ht="12.75">
      <c r="B85" s="225"/>
      <c r="C85" s="225"/>
      <c r="D85" s="225"/>
      <c r="E85" s="225"/>
      <c r="F85" s="225"/>
      <c r="G85" s="225"/>
      <c r="H85" s="225"/>
      <c r="I85" s="225"/>
      <c r="J85" s="225"/>
      <c r="K85" s="225"/>
      <c r="L85" s="225"/>
    </row>
    <row r="86" spans="2:12" ht="12.75">
      <c r="B86" s="225"/>
      <c r="C86" s="225"/>
      <c r="D86" s="225"/>
      <c r="E86" s="225"/>
      <c r="F86" s="225"/>
      <c r="G86" s="225"/>
      <c r="H86" s="225"/>
      <c r="I86" s="225"/>
      <c r="J86" s="225"/>
      <c r="K86" s="225"/>
      <c r="L86" s="225"/>
    </row>
    <row r="87" spans="2:12" ht="12.75">
      <c r="B87" s="225"/>
      <c r="C87" s="225"/>
      <c r="D87" s="225"/>
      <c r="E87" s="225"/>
      <c r="F87" s="225"/>
      <c r="G87" s="225"/>
      <c r="H87" s="225"/>
      <c r="I87" s="225"/>
      <c r="J87" s="225"/>
      <c r="K87" s="225"/>
      <c r="L87" s="225"/>
    </row>
    <row r="88" spans="2:12" ht="12.75">
      <c r="B88" s="225"/>
      <c r="C88" s="225"/>
      <c r="D88" s="225"/>
      <c r="E88" s="225"/>
      <c r="F88" s="225"/>
      <c r="G88" s="225"/>
      <c r="H88" s="225"/>
      <c r="I88" s="225"/>
      <c r="J88" s="225"/>
      <c r="K88" s="225"/>
      <c r="L88" s="225"/>
    </row>
    <row r="89" spans="2:12" ht="12.75">
      <c r="B89" s="225"/>
      <c r="C89" s="225"/>
      <c r="D89" s="225"/>
      <c r="E89" s="225"/>
      <c r="F89" s="225"/>
      <c r="G89" s="225"/>
      <c r="H89" s="225"/>
      <c r="I89" s="225"/>
      <c r="J89" s="225"/>
      <c r="K89" s="225"/>
      <c r="L89" s="225"/>
    </row>
    <row r="90" spans="2:12" ht="12.75">
      <c r="B90" s="225"/>
      <c r="C90" s="225"/>
      <c r="D90" s="225"/>
      <c r="E90" s="225"/>
      <c r="F90" s="225"/>
      <c r="G90" s="225"/>
      <c r="H90" s="225"/>
      <c r="I90" s="225"/>
      <c r="J90" s="225"/>
      <c r="K90" s="225"/>
      <c r="L90" s="225"/>
    </row>
    <row r="91" spans="2:12" ht="12.75">
      <c r="B91" s="225"/>
      <c r="C91" s="225"/>
      <c r="D91" s="225"/>
      <c r="E91" s="225"/>
      <c r="F91" s="225"/>
      <c r="G91" s="225"/>
      <c r="H91" s="225"/>
      <c r="I91" s="225"/>
      <c r="J91" s="225"/>
      <c r="K91" s="225"/>
      <c r="L91" s="225"/>
    </row>
    <row r="92" spans="2:12" ht="12.75">
      <c r="B92" s="225"/>
      <c r="C92" s="225"/>
      <c r="D92" s="225"/>
      <c r="E92" s="225"/>
      <c r="F92" s="225"/>
      <c r="G92" s="225"/>
      <c r="H92" s="225"/>
      <c r="I92" s="225"/>
      <c r="J92" s="225"/>
      <c r="K92" s="225"/>
      <c r="L92" s="225"/>
    </row>
    <row r="93" spans="2:12" ht="12.75">
      <c r="B93" s="225"/>
      <c r="C93" s="225"/>
      <c r="D93" s="225"/>
      <c r="E93" s="225"/>
      <c r="F93" s="225"/>
      <c r="G93" s="225"/>
      <c r="H93" s="225"/>
      <c r="I93" s="225"/>
      <c r="J93" s="225"/>
      <c r="K93" s="225"/>
      <c r="L93" s="225"/>
    </row>
    <row r="94" spans="2:12" ht="12.75">
      <c r="B94" s="225"/>
      <c r="C94" s="225"/>
      <c r="D94" s="225"/>
      <c r="E94" s="225"/>
      <c r="F94" s="225"/>
      <c r="G94" s="225"/>
      <c r="H94" s="225"/>
      <c r="I94" s="225"/>
      <c r="J94" s="225"/>
      <c r="K94" s="225"/>
      <c r="L94" s="225"/>
    </row>
    <row r="95" spans="2:12" ht="12.75">
      <c r="B95" s="225"/>
      <c r="C95" s="225"/>
      <c r="D95" s="225"/>
      <c r="E95" s="225"/>
      <c r="F95" s="225"/>
      <c r="G95" s="225"/>
      <c r="H95" s="225"/>
      <c r="I95" s="225"/>
      <c r="J95" s="225"/>
      <c r="K95" s="225"/>
      <c r="L95" s="225"/>
    </row>
    <row r="96" spans="2:12" ht="12.75">
      <c r="B96" s="225"/>
      <c r="C96" s="225"/>
      <c r="D96" s="225"/>
      <c r="E96" s="225"/>
      <c r="F96" s="225"/>
      <c r="G96" s="225"/>
      <c r="H96" s="225"/>
      <c r="I96" s="225"/>
      <c r="J96" s="225"/>
      <c r="K96" s="225"/>
      <c r="L96" s="225"/>
    </row>
    <row r="97" spans="2:12" ht="12.75">
      <c r="B97" s="225"/>
      <c r="C97" s="225"/>
      <c r="D97" s="225"/>
      <c r="E97" s="225"/>
      <c r="F97" s="225"/>
      <c r="G97" s="225"/>
      <c r="H97" s="225"/>
      <c r="I97" s="225"/>
      <c r="J97" s="225"/>
      <c r="K97" s="225"/>
      <c r="L97" s="225"/>
    </row>
    <row r="98" spans="2:12" ht="12.75">
      <c r="B98" s="225"/>
      <c r="C98" s="225"/>
      <c r="D98" s="225"/>
      <c r="E98" s="225"/>
      <c r="F98" s="225"/>
      <c r="G98" s="225"/>
      <c r="H98" s="225"/>
      <c r="I98" s="225"/>
      <c r="J98" s="225"/>
      <c r="K98" s="225"/>
      <c r="L98" s="225"/>
    </row>
    <row r="99" spans="2:12" ht="12.75">
      <c r="B99" s="225"/>
      <c r="C99" s="225"/>
      <c r="D99" s="225"/>
      <c r="E99" s="225"/>
      <c r="F99" s="225"/>
      <c r="G99" s="225"/>
      <c r="H99" s="225"/>
      <c r="I99" s="225"/>
      <c r="J99" s="225"/>
      <c r="K99" s="225"/>
      <c r="L99" s="225"/>
    </row>
    <row r="100" spans="2:12" ht="12.75">
      <c r="B100" s="225"/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</row>
    <row r="101" spans="2:12" ht="12.75">
      <c r="B101" s="225"/>
      <c r="C101" s="225"/>
      <c r="D101" s="225"/>
      <c r="E101" s="225"/>
      <c r="F101" s="225"/>
      <c r="G101" s="225"/>
      <c r="H101" s="225"/>
      <c r="I101" s="225"/>
      <c r="J101" s="225"/>
      <c r="K101" s="225"/>
      <c r="L101" s="225"/>
    </row>
    <row r="102" spans="2:12" ht="12.75">
      <c r="B102" s="225"/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</row>
    <row r="103" spans="2:12" ht="12.75">
      <c r="B103" s="225"/>
      <c r="C103" s="225"/>
      <c r="D103" s="225"/>
      <c r="E103" s="225"/>
      <c r="F103" s="225"/>
      <c r="G103" s="225"/>
      <c r="H103" s="225"/>
      <c r="I103" s="225"/>
      <c r="J103" s="225"/>
      <c r="K103" s="225"/>
      <c r="L103" s="225"/>
    </row>
    <row r="104" spans="2:12" ht="12.75">
      <c r="B104" s="225"/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</row>
    <row r="105" spans="2:12" ht="12.75">
      <c r="B105" s="225"/>
      <c r="C105" s="225"/>
      <c r="D105" s="225"/>
      <c r="E105" s="225"/>
      <c r="F105" s="225"/>
      <c r="G105" s="225"/>
      <c r="H105" s="225"/>
      <c r="I105" s="225"/>
      <c r="J105" s="225"/>
      <c r="K105" s="225"/>
      <c r="L105" s="225"/>
    </row>
    <row r="106" spans="2:12" ht="12.75">
      <c r="B106" s="225"/>
      <c r="C106" s="225"/>
      <c r="D106" s="225"/>
      <c r="E106" s="225"/>
      <c r="F106" s="225"/>
      <c r="G106" s="225"/>
      <c r="H106" s="225"/>
      <c r="I106" s="225"/>
      <c r="J106" s="225"/>
      <c r="K106" s="225"/>
      <c r="L106" s="225"/>
    </row>
    <row r="107" spans="2:12" ht="12.75">
      <c r="B107" s="225"/>
      <c r="C107" s="225"/>
      <c r="D107" s="225"/>
      <c r="E107" s="225"/>
      <c r="F107" s="225"/>
      <c r="G107" s="225"/>
      <c r="H107" s="225"/>
      <c r="I107" s="225"/>
      <c r="J107" s="225"/>
      <c r="K107" s="225"/>
      <c r="L107" s="225"/>
    </row>
    <row r="108" spans="2:12" ht="12.75">
      <c r="B108" s="225"/>
      <c r="C108" s="225"/>
      <c r="D108" s="225"/>
      <c r="E108" s="225"/>
      <c r="F108" s="225"/>
      <c r="G108" s="225"/>
      <c r="H108" s="225"/>
      <c r="I108" s="225"/>
      <c r="J108" s="225"/>
      <c r="K108" s="225"/>
      <c r="L108" s="225"/>
    </row>
    <row r="109" spans="2:12" ht="12.75">
      <c r="B109" s="225"/>
      <c r="C109" s="225"/>
      <c r="D109" s="225"/>
      <c r="E109" s="225"/>
      <c r="F109" s="225"/>
      <c r="G109" s="225"/>
      <c r="H109" s="225"/>
      <c r="I109" s="225"/>
      <c r="J109" s="225"/>
      <c r="K109" s="225"/>
      <c r="L109" s="225"/>
    </row>
  </sheetData>
  <sheetProtection password="CAF5" sheet="1"/>
  <mergeCells count="13">
    <mergeCell ref="I6:I9"/>
    <mergeCell ref="K6:K9"/>
    <mergeCell ref="L6:L9"/>
    <mergeCell ref="D5:D9"/>
    <mergeCell ref="C5:C9"/>
    <mergeCell ref="B5:B9"/>
    <mergeCell ref="A5:A9"/>
    <mergeCell ref="G5:L5"/>
    <mergeCell ref="J6:J9"/>
    <mergeCell ref="E5:E9"/>
    <mergeCell ref="F5:F9"/>
    <mergeCell ref="G6:G9"/>
    <mergeCell ref="H6:H9"/>
  </mergeCells>
  <printOptions horizontalCentered="1"/>
  <pageMargins left="0.61" right="0.75" top="0.83" bottom="1" header="0.67" footer="0.5"/>
  <pageSetup fitToHeight="1" fitToWidth="1" horizontalDpi="600" verticalDpi="600" orientation="landscape" scale="68" r:id="rId1"/>
  <headerFooter scaleWithDoc="0">
    <oddFooter>&amp;L&amp;"Arial,Italic"&amp;9MSDE-LFRO  09 / 2010&amp;C- 15 -&amp;R&amp;"Arial,Italic"&amp;9Selected Financial Data-Part 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"/>
  <sheetViews>
    <sheetView workbookViewId="0" topLeftCell="D1">
      <selection activeCell="A11" sqref="A11"/>
    </sheetView>
  </sheetViews>
  <sheetFormatPr defaultColWidth="11.421875" defaultRowHeight="12.75"/>
  <cols>
    <col min="1" max="1" width="21.57421875" style="24" customWidth="1"/>
    <col min="2" max="2" width="14.7109375" style="24" customWidth="1"/>
    <col min="3" max="3" width="13.57421875" style="24" customWidth="1"/>
    <col min="4" max="4" width="15.28125" style="224" customWidth="1"/>
    <col min="5" max="5" width="17.421875" style="24" customWidth="1"/>
    <col min="6" max="6" width="15.28125" style="24" customWidth="1"/>
    <col min="7" max="7" width="16.7109375" style="24" customWidth="1"/>
    <col min="8" max="8" width="15.421875" style="24" customWidth="1"/>
    <col min="9" max="9" width="17.8515625" style="24" customWidth="1"/>
    <col min="10" max="11" width="11.421875" style="24" customWidth="1"/>
    <col min="12" max="12" width="14.57421875" style="24" customWidth="1"/>
    <col min="13" max="16384" width="11.421875" style="24" customWidth="1"/>
  </cols>
  <sheetData>
    <row r="1" spans="1:13" ht="12.75">
      <c r="A1" s="22" t="s">
        <v>100</v>
      </c>
      <c r="B1" s="22"/>
      <c r="C1" s="22"/>
      <c r="D1" s="223"/>
      <c r="E1" s="22"/>
      <c r="F1" s="22"/>
      <c r="G1" s="22"/>
      <c r="H1" s="22"/>
      <c r="I1" s="22"/>
      <c r="J1" s="23"/>
      <c r="K1" s="23"/>
      <c r="L1" s="23"/>
      <c r="M1" s="23"/>
    </row>
    <row r="2" spans="1:13" ht="12.75">
      <c r="A2" s="22"/>
      <c r="B2" s="22"/>
      <c r="C2" s="22"/>
      <c r="D2" s="223"/>
      <c r="E2" s="22"/>
      <c r="F2" s="22"/>
      <c r="G2" s="22"/>
      <c r="H2" s="22"/>
      <c r="I2" s="22"/>
      <c r="J2" s="23"/>
      <c r="K2" s="23"/>
      <c r="L2" s="23"/>
      <c r="M2" s="23"/>
    </row>
    <row r="3" spans="1:13" ht="12.75">
      <c r="A3" s="327" t="s">
        <v>289</v>
      </c>
      <c r="B3" s="22"/>
      <c r="C3" s="22"/>
      <c r="D3" s="223"/>
      <c r="E3" s="22"/>
      <c r="F3" s="22"/>
      <c r="G3" s="22"/>
      <c r="H3" s="22"/>
      <c r="I3" s="22"/>
      <c r="J3" s="23"/>
      <c r="K3" s="23"/>
      <c r="L3" s="23"/>
      <c r="M3" s="23"/>
    </row>
    <row r="4" spans="1:13" ht="12.75">
      <c r="A4" s="22"/>
      <c r="B4" s="22"/>
      <c r="C4" s="22"/>
      <c r="D4" s="223"/>
      <c r="E4" s="22"/>
      <c r="F4" s="22"/>
      <c r="G4" s="22"/>
      <c r="H4" s="22"/>
      <c r="I4" s="22"/>
      <c r="J4" s="23"/>
      <c r="K4" s="23"/>
      <c r="L4" s="23"/>
      <c r="M4" s="23"/>
    </row>
    <row r="5" spans="1:13" ht="13.5" thickBot="1">
      <c r="A5" s="47"/>
      <c r="B5" s="47"/>
      <c r="C5" s="47"/>
      <c r="D5" s="181"/>
      <c r="E5" s="47"/>
      <c r="F5" s="47"/>
      <c r="G5" s="47"/>
      <c r="H5" s="47"/>
      <c r="I5" s="47"/>
      <c r="J5" s="23"/>
      <c r="K5" s="23"/>
      <c r="L5" s="23"/>
      <c r="M5" s="23"/>
    </row>
    <row r="6" spans="1:13" ht="13.5" customHeight="1" thickTop="1">
      <c r="A6" s="23"/>
      <c r="B6" s="489" t="s">
        <v>268</v>
      </c>
      <c r="C6" s="493" t="s">
        <v>241</v>
      </c>
      <c r="D6" s="494" t="s">
        <v>183</v>
      </c>
      <c r="E6" s="492" t="s">
        <v>182</v>
      </c>
      <c r="F6" s="489" t="s">
        <v>269</v>
      </c>
      <c r="G6" s="492" t="s">
        <v>184</v>
      </c>
      <c r="H6" s="492" t="s">
        <v>214</v>
      </c>
      <c r="I6" s="492" t="s">
        <v>185</v>
      </c>
      <c r="J6" s="23"/>
      <c r="K6" s="23"/>
      <c r="L6" s="23"/>
      <c r="M6" s="23"/>
    </row>
    <row r="7" spans="1:13" ht="12.75">
      <c r="A7" s="34" t="s">
        <v>81</v>
      </c>
      <c r="B7" s="490"/>
      <c r="C7" s="455"/>
      <c r="D7" s="400"/>
      <c r="E7" s="455"/>
      <c r="F7" s="455"/>
      <c r="G7" s="455"/>
      <c r="H7" s="415"/>
      <c r="I7" s="455"/>
      <c r="J7" s="23"/>
      <c r="K7" s="23"/>
      <c r="L7" s="23"/>
      <c r="M7" s="23"/>
    </row>
    <row r="8" spans="1:13" ht="12.75">
      <c r="A8" s="32" t="s">
        <v>34</v>
      </c>
      <c r="B8" s="490"/>
      <c r="C8" s="415"/>
      <c r="D8" s="495"/>
      <c r="E8" s="415"/>
      <c r="F8" s="455"/>
      <c r="G8" s="415"/>
      <c r="H8" s="415"/>
      <c r="I8" s="455"/>
      <c r="J8" s="23"/>
      <c r="K8" s="23"/>
      <c r="L8" s="23"/>
      <c r="M8" s="23"/>
    </row>
    <row r="9" spans="1:13" ht="13.5" thickBot="1">
      <c r="A9" s="52" t="s">
        <v>134</v>
      </c>
      <c r="B9" s="491"/>
      <c r="C9" s="49" t="s">
        <v>101</v>
      </c>
      <c r="D9" s="185" t="s">
        <v>102</v>
      </c>
      <c r="E9" s="66" t="s">
        <v>213</v>
      </c>
      <c r="F9" s="416"/>
      <c r="G9" s="66" t="s">
        <v>242</v>
      </c>
      <c r="H9" s="416"/>
      <c r="I9" s="416"/>
      <c r="J9" s="23"/>
      <c r="K9" s="23"/>
      <c r="L9" s="23"/>
      <c r="M9" s="23"/>
    </row>
    <row r="10" spans="1:13" ht="12.75">
      <c r="A10" s="32" t="s">
        <v>0</v>
      </c>
      <c r="B10" s="50">
        <f>SUM(B12:B39)</f>
        <v>265493</v>
      </c>
      <c r="C10" s="51">
        <f>SUM(C12:C39)</f>
        <v>862055771</v>
      </c>
      <c r="D10" s="226">
        <v>460482.1239840538</v>
      </c>
      <c r="E10" s="51">
        <f>SUM(E12:E39)</f>
        <v>1105292760</v>
      </c>
      <c r="F10" s="51">
        <f>SUM(F12:F39)+2</f>
        <v>862055737.065668</v>
      </c>
      <c r="G10" s="51">
        <f>SUM(G12:G39)-2</f>
        <v>689644614.8</v>
      </c>
      <c r="H10" s="51">
        <f>SUM(H12:H39)-1</f>
        <v>52311433.220845826</v>
      </c>
      <c r="I10" s="51">
        <f>SUM(I12:I39)+1</f>
        <v>914367170.2865137</v>
      </c>
      <c r="J10" s="23"/>
      <c r="K10" s="23"/>
      <c r="L10" s="23"/>
      <c r="M10" s="23"/>
    </row>
    <row r="11" spans="1:13" ht="12.75">
      <c r="A11" s="23"/>
      <c r="B11" s="25"/>
      <c r="C11" s="25"/>
      <c r="D11" s="218"/>
      <c r="E11" s="25"/>
      <c r="F11" s="25"/>
      <c r="G11" s="25"/>
      <c r="H11" s="25"/>
      <c r="I11" s="25"/>
      <c r="J11" s="23"/>
      <c r="K11" s="23"/>
      <c r="L11" s="23"/>
      <c r="M11" s="23"/>
    </row>
    <row r="12" spans="1:13" ht="12.75">
      <c r="A12" s="23" t="s">
        <v>1</v>
      </c>
      <c r="B12" s="25">
        <v>4317</v>
      </c>
      <c r="C12" s="25">
        <f>+B12*3247</f>
        <v>14017299</v>
      </c>
      <c r="D12" s="241">
        <v>232668.5536528411</v>
      </c>
      <c r="E12" s="25">
        <v>27742047</v>
      </c>
      <c r="F12" s="25">
        <f>E12*0.7799343</f>
        <v>21636974.0075121</v>
      </c>
      <c r="G12" s="25">
        <f>C12*0.8</f>
        <v>11213839.200000001</v>
      </c>
      <c r="H12" s="50">
        <f>IF(F12&gt;G12,0,(G12-F12))</f>
        <v>0</v>
      </c>
      <c r="I12" s="25">
        <f>MAX(F12,G12)</f>
        <v>21636974.0075121</v>
      </c>
      <c r="J12" s="29"/>
      <c r="K12" s="23"/>
      <c r="L12" s="25"/>
      <c r="M12" s="23"/>
    </row>
    <row r="13" spans="1:13" ht="12.75">
      <c r="A13" s="240" t="s">
        <v>2</v>
      </c>
      <c r="B13" s="25">
        <v>15362</v>
      </c>
      <c r="C13" s="25">
        <f>+B13*3247</f>
        <v>49880414</v>
      </c>
      <c r="D13" s="241">
        <v>571231.8672439075</v>
      </c>
      <c r="E13" s="25">
        <v>40209638</v>
      </c>
      <c r="F13" s="25">
        <f>E13*0.7799343</f>
        <v>31360875.8667834</v>
      </c>
      <c r="G13" s="25">
        <f>C13*0.8</f>
        <v>39904331.2</v>
      </c>
      <c r="H13" s="50">
        <f>IF(F13&gt;G13,0,(G13-F13))</f>
        <v>8543455.333216604</v>
      </c>
      <c r="I13" s="25">
        <f>MAX(F13,G13)</f>
        <v>39904331.2</v>
      </c>
      <c r="J13" s="23"/>
      <c r="K13" s="23"/>
      <c r="L13" s="25"/>
      <c r="M13" s="23"/>
    </row>
    <row r="14" spans="1:13" ht="12.75">
      <c r="A14" s="23" t="s">
        <v>3</v>
      </c>
      <c r="B14" s="25">
        <v>55565</v>
      </c>
      <c r="C14" s="25">
        <f>+B14*3247</f>
        <v>180419555</v>
      </c>
      <c r="D14" s="241">
        <v>241651.29894144792</v>
      </c>
      <c r="E14" s="25">
        <v>343801412</v>
      </c>
      <c r="F14" s="25">
        <f>E14*0.7799343</f>
        <v>268142513.6072316</v>
      </c>
      <c r="G14" s="25">
        <f>C14*0.8</f>
        <v>144335644</v>
      </c>
      <c r="H14" s="50">
        <f>IF(F14&gt;G14,0,(G14-F14))</f>
        <v>0</v>
      </c>
      <c r="I14" s="25">
        <f>MAX(F14,G14)</f>
        <v>268142513.6072316</v>
      </c>
      <c r="J14" s="23"/>
      <c r="K14" s="23"/>
      <c r="L14" s="25"/>
      <c r="M14" s="23"/>
    </row>
    <row r="15" spans="1:13" ht="12.75">
      <c r="A15" s="23" t="s">
        <v>4</v>
      </c>
      <c r="B15" s="25">
        <v>34202</v>
      </c>
      <c r="C15" s="25">
        <f>+B15*3247</f>
        <v>111053894</v>
      </c>
      <c r="D15" s="241">
        <v>454918.9617562005</v>
      </c>
      <c r="E15" s="25">
        <v>112411920</v>
      </c>
      <c r="F15" s="25">
        <f>E15*0.7799343</f>
        <v>87673912.13685599</v>
      </c>
      <c r="G15" s="25">
        <f>C15*0.8</f>
        <v>88843115.2</v>
      </c>
      <c r="H15" s="50">
        <f>IF(F15&gt;G15,0,(G15-F15))</f>
        <v>1169203.0631440133</v>
      </c>
      <c r="I15" s="25">
        <f>MAX(F15,G15)</f>
        <v>88843115.2</v>
      </c>
      <c r="J15" s="23"/>
      <c r="K15" s="23"/>
      <c r="L15" s="25"/>
      <c r="M15" s="23"/>
    </row>
    <row r="16" spans="1:13" ht="12.75">
      <c r="A16" s="23" t="s">
        <v>5</v>
      </c>
      <c r="B16" s="25">
        <v>2468</v>
      </c>
      <c r="C16" s="25">
        <f>+B16*3247</f>
        <v>8013596</v>
      </c>
      <c r="D16" s="241">
        <v>392844.53305017255</v>
      </c>
      <c r="E16" s="25">
        <v>9393314</v>
      </c>
      <c r="F16" s="25">
        <f>E16*0.7799343</f>
        <v>7326167.7792702</v>
      </c>
      <c r="G16" s="25">
        <f>C16*0.8</f>
        <v>6410876.800000001</v>
      </c>
      <c r="H16" s="50">
        <f>IF(F16&gt;G16,0,(G16-F16))</f>
        <v>0</v>
      </c>
      <c r="I16" s="25">
        <f>MAX(F16,G16)</f>
        <v>7326167.7792702</v>
      </c>
      <c r="J16" s="23"/>
      <c r="K16" s="23"/>
      <c r="L16" s="25"/>
      <c r="M16" s="23"/>
    </row>
    <row r="17" spans="1:13" ht="12.75">
      <c r="A17" s="23"/>
      <c r="B17" s="25"/>
      <c r="C17" s="25"/>
      <c r="E17" s="25"/>
      <c r="F17" s="25"/>
      <c r="G17" s="25"/>
      <c r="H17" s="25"/>
      <c r="I17" s="25"/>
      <c r="J17" s="23"/>
      <c r="K17" s="23"/>
      <c r="L17" s="25"/>
      <c r="M17" s="23"/>
    </row>
    <row r="18" spans="1:13" ht="12.75">
      <c r="A18" s="23" t="s">
        <v>6</v>
      </c>
      <c r="B18" s="25">
        <v>2297</v>
      </c>
      <c r="C18" s="25">
        <f>+B18*3247</f>
        <v>7458359</v>
      </c>
      <c r="D18" s="218">
        <v>262214.86670405685</v>
      </c>
      <c r="E18" s="25">
        <v>13097803</v>
      </c>
      <c r="F18" s="25">
        <f>E18*0.7799343</f>
        <v>10215425.8143429</v>
      </c>
      <c r="G18" s="25">
        <f>C18*0.8</f>
        <v>5966687.2</v>
      </c>
      <c r="H18" s="50">
        <f>IF(F18&gt;G18,0,(G18-F18))</f>
        <v>0</v>
      </c>
      <c r="I18" s="25">
        <f>MAX(F18,G18)</f>
        <v>10215425.8143429</v>
      </c>
      <c r="J18" s="23"/>
      <c r="K18" s="23"/>
      <c r="L18" s="25"/>
      <c r="M18" s="23"/>
    </row>
    <row r="19" spans="1:13" ht="12.75">
      <c r="A19" s="23" t="s">
        <v>7</v>
      </c>
      <c r="B19" s="25">
        <v>3129</v>
      </c>
      <c r="C19" s="25">
        <f>+B19*3247</f>
        <v>10159863</v>
      </c>
      <c r="D19" s="218">
        <v>381712.3113338157</v>
      </c>
      <c r="E19" s="25">
        <v>12256450</v>
      </c>
      <c r="F19" s="25">
        <f>E19*0.7799343</f>
        <v>9559225.751234999</v>
      </c>
      <c r="G19" s="25">
        <f>C19*0.8</f>
        <v>8127890.4</v>
      </c>
      <c r="H19" s="50">
        <f>IF(F19&gt;G19,0,(G19-F19))</f>
        <v>0</v>
      </c>
      <c r="I19" s="25">
        <f>MAX(F19,G19)</f>
        <v>9559225.751234999</v>
      </c>
      <c r="J19" s="23"/>
      <c r="K19" s="23"/>
      <c r="L19" s="25"/>
      <c r="M19" s="23"/>
    </row>
    <row r="20" spans="1:13" ht="12.75">
      <c r="A20" s="23" t="s">
        <v>8</v>
      </c>
      <c r="B20" s="328">
        <v>4232</v>
      </c>
      <c r="C20" s="25">
        <f>+B20*3247</f>
        <v>13741304</v>
      </c>
      <c r="D20" s="218">
        <v>334681.59166719514</v>
      </c>
      <c r="E20" s="25">
        <v>18906374</v>
      </c>
      <c r="F20" s="25">
        <f>E20*0.7799343</f>
        <v>14745729.571228199</v>
      </c>
      <c r="G20" s="25">
        <f>C20*0.8</f>
        <v>10993043.200000001</v>
      </c>
      <c r="H20" s="50">
        <f>IF(F20&gt;G20,0,(G20-F20))</f>
        <v>0</v>
      </c>
      <c r="I20" s="25">
        <f>MAX(F20,G20)</f>
        <v>14745729.571228199</v>
      </c>
      <c r="J20" s="23"/>
      <c r="K20" s="23"/>
      <c r="L20" s="25"/>
      <c r="M20" s="23"/>
    </row>
    <row r="21" spans="1:13" ht="12.75">
      <c r="A21" s="23" t="s">
        <v>9</v>
      </c>
      <c r="B21" s="25">
        <v>5838</v>
      </c>
      <c r="C21" s="25">
        <f>+B21*3247</f>
        <v>18955986</v>
      </c>
      <c r="D21" s="218">
        <v>348341.3872481209</v>
      </c>
      <c r="E21" s="25">
        <v>25058464</v>
      </c>
      <c r="F21" s="25">
        <f>E21*0.7799343</f>
        <v>19543955.578915197</v>
      </c>
      <c r="G21" s="25">
        <f>C21*0.8</f>
        <v>15164788.8</v>
      </c>
      <c r="H21" s="50">
        <f>IF(F21&gt;G21,0,(G21-F21))</f>
        <v>0</v>
      </c>
      <c r="I21" s="25">
        <f>MAX(F21,G21)</f>
        <v>19543955.578915197</v>
      </c>
      <c r="J21" s="23"/>
      <c r="K21" s="23"/>
      <c r="L21" s="25"/>
      <c r="M21" s="23"/>
    </row>
    <row r="22" spans="1:13" ht="12.75">
      <c r="A22" s="23" t="s">
        <v>10</v>
      </c>
      <c r="B22" s="25">
        <v>2206</v>
      </c>
      <c r="C22" s="25">
        <f>+B22*3247</f>
        <v>7162882</v>
      </c>
      <c r="D22" s="218">
        <v>348786.38380420685</v>
      </c>
      <c r="E22" s="25">
        <v>9456739</v>
      </c>
      <c r="F22" s="25">
        <f>E22*0.7799343</f>
        <v>7375635.1122477</v>
      </c>
      <c r="G22" s="25">
        <f>C22*0.8</f>
        <v>5730305.600000001</v>
      </c>
      <c r="H22" s="50">
        <f>IF(F22&gt;G22,0,(G22-F22))</f>
        <v>0</v>
      </c>
      <c r="I22" s="25">
        <f>MAX(F22,G22)</f>
        <v>7375635.1122477</v>
      </c>
      <c r="J22" s="23"/>
      <c r="K22" s="23"/>
      <c r="L22" s="25"/>
      <c r="M22" s="23"/>
    </row>
    <row r="23" spans="1:13" ht="12.75">
      <c r="A23" s="23"/>
      <c r="B23" s="25"/>
      <c r="C23" s="25"/>
      <c r="D23" s="218"/>
      <c r="E23" s="25"/>
      <c r="F23" s="25"/>
      <c r="G23" s="25"/>
      <c r="H23" s="25"/>
      <c r="I23" s="25"/>
      <c r="J23" s="23"/>
      <c r="K23" s="23"/>
      <c r="L23" s="25"/>
      <c r="M23" s="23"/>
    </row>
    <row r="24" spans="1:13" ht="12.75">
      <c r="A24" s="23" t="s">
        <v>11</v>
      </c>
      <c r="B24" s="25">
        <v>6633</v>
      </c>
      <c r="C24" s="25">
        <f>+B24*3247</f>
        <v>21537351</v>
      </c>
      <c r="D24" s="218">
        <v>393023.7466079429</v>
      </c>
      <c r="E24" s="25">
        <v>25233986</v>
      </c>
      <c r="F24" s="25">
        <f>E24*0.7799343</f>
        <v>19680851.2071198</v>
      </c>
      <c r="G24" s="25">
        <f>C24*0.8</f>
        <v>17229880.8</v>
      </c>
      <c r="H24" s="50">
        <f>IF(F24&gt;G24,0,(G24-F24))</f>
        <v>0</v>
      </c>
      <c r="I24" s="25">
        <f>MAX(F24,G24)</f>
        <v>19680851.2071198</v>
      </c>
      <c r="J24" s="23"/>
      <c r="K24" s="23"/>
      <c r="L24" s="25"/>
      <c r="M24" s="23"/>
    </row>
    <row r="25" spans="1:13" ht="12.75">
      <c r="A25" s="23" t="s">
        <v>12</v>
      </c>
      <c r="B25" s="25">
        <v>1824</v>
      </c>
      <c r="C25" s="25">
        <f>+B25*3247</f>
        <v>5922528</v>
      </c>
      <c r="D25" s="218">
        <v>442552.8714943967</v>
      </c>
      <c r="E25" s="25">
        <v>6162465</v>
      </c>
      <c r="F25" s="25">
        <f>E25*0.7799343</f>
        <v>4806317.8260495</v>
      </c>
      <c r="G25" s="25">
        <f>C25*0.8</f>
        <v>4738022.4</v>
      </c>
      <c r="H25" s="50">
        <f>IF(F25&gt;G25,0,(G25-F25))</f>
        <v>0</v>
      </c>
      <c r="I25" s="25">
        <f>MAX(F25,G25)</f>
        <v>4806317.8260495</v>
      </c>
      <c r="J25" s="23"/>
      <c r="K25" s="23"/>
      <c r="L25" s="25"/>
      <c r="M25" s="23"/>
    </row>
    <row r="26" spans="1:13" ht="12.75">
      <c r="A26" s="23" t="s">
        <v>13</v>
      </c>
      <c r="B26" s="25">
        <v>7866</v>
      </c>
      <c r="C26" s="25">
        <f>+B26*3247</f>
        <v>25540902</v>
      </c>
      <c r="D26" s="218">
        <v>369648.74798665853</v>
      </c>
      <c r="E26" s="25">
        <v>31817011</v>
      </c>
      <c r="F26" s="25">
        <f>E26*0.7799343</f>
        <v>24815178.2023773</v>
      </c>
      <c r="G26" s="25">
        <f>C26*0.8</f>
        <v>20432721.6</v>
      </c>
      <c r="H26" s="50">
        <f>IF(F26&gt;G26,0,(G26-F26))</f>
        <v>0</v>
      </c>
      <c r="I26" s="25">
        <f>MAX(F26,G26)</f>
        <v>24815178.2023773</v>
      </c>
      <c r="J26" s="23"/>
      <c r="K26" s="23"/>
      <c r="L26" s="25"/>
      <c r="M26" s="23"/>
    </row>
    <row r="27" spans="1:13" ht="12.75">
      <c r="A27" s="23" t="s">
        <v>14</v>
      </c>
      <c r="B27" s="25">
        <v>5724</v>
      </c>
      <c r="C27" s="25">
        <f>+B27*3247</f>
        <v>18585828</v>
      </c>
      <c r="D27" s="218">
        <v>509009.0781870535</v>
      </c>
      <c r="E27" s="25">
        <v>16813925</v>
      </c>
      <c r="F27" s="25">
        <f>E27*0.7799343</f>
        <v>13113756.8251275</v>
      </c>
      <c r="G27" s="25">
        <f>C27*0.8</f>
        <v>14868662.4</v>
      </c>
      <c r="H27" s="50">
        <f>IF(F27&gt;G27,0,(G27-F27))</f>
        <v>1754905.5748725012</v>
      </c>
      <c r="I27" s="25">
        <f>MAX(F27,G27)</f>
        <v>14868662.4</v>
      </c>
      <c r="J27" s="23"/>
      <c r="K27" s="23"/>
      <c r="L27" s="25"/>
      <c r="M27" s="23"/>
    </row>
    <row r="28" spans="1:13" ht="12.75">
      <c r="A28" s="23" t="s">
        <v>15</v>
      </c>
      <c r="B28" s="25">
        <v>844</v>
      </c>
      <c r="C28" s="25">
        <f>+B28*3247</f>
        <v>2740468</v>
      </c>
      <c r="D28" s="218">
        <v>636064.4419144981</v>
      </c>
      <c r="E28" s="25">
        <v>1983977</v>
      </c>
      <c r="F28" s="25">
        <f>E28*0.7799343</f>
        <v>1547371.7127111</v>
      </c>
      <c r="G28" s="25">
        <f>C28*0.8</f>
        <v>2192374.4</v>
      </c>
      <c r="H28" s="50">
        <f>IF(F28&gt;G28,0,(G28-F28))</f>
        <v>645002.6872888999</v>
      </c>
      <c r="I28" s="25">
        <f>MAX(F28,G28)</f>
        <v>2192374.4</v>
      </c>
      <c r="J28" s="23"/>
      <c r="K28" s="23"/>
      <c r="L28" s="25"/>
      <c r="M28" s="23"/>
    </row>
    <row r="29" spans="1:13" ht="12.75">
      <c r="A29" s="23"/>
      <c r="B29" s="25"/>
      <c r="C29" s="25"/>
      <c r="D29" s="218"/>
      <c r="E29" s="25"/>
      <c r="F29" s="25"/>
      <c r="G29" s="25"/>
      <c r="H29" s="25"/>
      <c r="I29" s="25"/>
      <c r="J29" s="23"/>
      <c r="K29" s="23"/>
      <c r="L29" s="25"/>
      <c r="M29" s="23"/>
    </row>
    <row r="30" spans="1:13" ht="12.75">
      <c r="A30" s="23" t="s">
        <v>16</v>
      </c>
      <c r="B30" s="25">
        <v>33020</v>
      </c>
      <c r="C30" s="25">
        <f aca="true" t="shared" si="0" ref="C30:C39">+B30*3247</f>
        <v>107215940</v>
      </c>
      <c r="D30" s="218">
        <v>751154.0630970276</v>
      </c>
      <c r="E30" s="25">
        <v>65726883</v>
      </c>
      <c r="F30" s="25">
        <f>E30*0.7799343</f>
        <v>51262650.483786896</v>
      </c>
      <c r="G30" s="25">
        <f>C30*0.8</f>
        <v>85772752</v>
      </c>
      <c r="H30" s="50">
        <f>IF(F30&gt;G30,0,(G30-F30))</f>
        <v>34510101.516213104</v>
      </c>
      <c r="I30" s="25">
        <f>MAX(F30,G30)</f>
        <v>85772752</v>
      </c>
      <c r="J30" s="23"/>
      <c r="K30" s="23"/>
      <c r="L30" s="25"/>
      <c r="M30" s="23"/>
    </row>
    <row r="31" spans="1:13" ht="12.75">
      <c r="A31" s="23" t="s">
        <v>17</v>
      </c>
      <c r="B31" s="25">
        <v>55352</v>
      </c>
      <c r="C31" s="25">
        <f t="shared" si="0"/>
        <v>179727944</v>
      </c>
      <c r="D31" s="218">
        <v>341193.3921841107</v>
      </c>
      <c r="E31" s="25">
        <v>242565018</v>
      </c>
      <c r="F31" s="25">
        <f>E31*0.7799343</f>
        <v>189184777.5183174</v>
      </c>
      <c r="G31" s="25">
        <f>C31*0.8</f>
        <v>143782355.20000002</v>
      </c>
      <c r="H31" s="50">
        <f>IF(F31&gt;G31,0,(G31-F31))</f>
        <v>0</v>
      </c>
      <c r="I31" s="25">
        <f>MAX(F31,G31)</f>
        <v>189184777.5183174</v>
      </c>
      <c r="J31" s="23"/>
      <c r="K31" s="23"/>
      <c r="L31" s="25"/>
      <c r="M31" s="23"/>
    </row>
    <row r="32" spans="1:13" ht="12.75">
      <c r="A32" s="23" t="s">
        <v>18</v>
      </c>
      <c r="B32" s="25">
        <v>1138</v>
      </c>
      <c r="C32" s="25">
        <f t="shared" si="0"/>
        <v>3695086</v>
      </c>
      <c r="D32" s="218">
        <v>529889.6532098392</v>
      </c>
      <c r="E32" s="25">
        <v>3211083</v>
      </c>
      <c r="F32" s="25">
        <f>E32*0.7799343</f>
        <v>2504433.7718468998</v>
      </c>
      <c r="G32" s="25">
        <f>C32*0.8</f>
        <v>2956068.8000000003</v>
      </c>
      <c r="H32" s="50">
        <f>IF(F32&gt;G32,0,(G32-F32))</f>
        <v>451635.0281531005</v>
      </c>
      <c r="I32" s="25">
        <f>MAX(F32,G32)</f>
        <v>2956068.8000000003</v>
      </c>
      <c r="J32" s="23"/>
      <c r="K32" s="23"/>
      <c r="L32" s="25"/>
      <c r="M32" s="23"/>
    </row>
    <row r="33" spans="1:13" ht="12.75">
      <c r="A33" s="23" t="s">
        <v>19</v>
      </c>
      <c r="B33" s="25">
        <v>4197</v>
      </c>
      <c r="C33" s="25">
        <f t="shared" si="0"/>
        <v>13627659</v>
      </c>
      <c r="D33" s="218">
        <v>357218.7980215631</v>
      </c>
      <c r="E33" s="25">
        <v>17567071</v>
      </c>
      <c r="F33" s="25">
        <f>E33*0.7799343</f>
        <v>13701161.2234353</v>
      </c>
      <c r="G33" s="25">
        <f>C33*0.8</f>
        <v>10902127.200000001</v>
      </c>
      <c r="H33" s="50">
        <f>IF(F33&gt;G33,0,(G33-F33))</f>
        <v>0</v>
      </c>
      <c r="I33" s="25">
        <f>MAX(F33,G33)</f>
        <v>13701161.2234353</v>
      </c>
      <c r="J33" s="23"/>
      <c r="K33" s="23"/>
      <c r="L33" s="25"/>
      <c r="M33" s="23"/>
    </row>
    <row r="34" spans="1:13" ht="12.75">
      <c r="A34" s="23" t="s">
        <v>20</v>
      </c>
      <c r="B34" s="25">
        <v>1454</v>
      </c>
      <c r="C34" s="25">
        <f t="shared" si="0"/>
        <v>4721138</v>
      </c>
      <c r="D34" s="218">
        <v>287437.9864220183</v>
      </c>
      <c r="E34" s="25">
        <v>7563366</v>
      </c>
      <c r="F34" s="25">
        <f>E34*0.7799343</f>
        <v>5898928.5668538</v>
      </c>
      <c r="G34" s="25">
        <f>C34*0.8</f>
        <v>3776910.4000000004</v>
      </c>
      <c r="H34" s="50">
        <f>IF(F34&gt;G34,0,(G34-F34))</f>
        <v>0</v>
      </c>
      <c r="I34" s="25">
        <f>MAX(F34,G34)</f>
        <v>5898928.5668538</v>
      </c>
      <c r="J34" s="23"/>
      <c r="K34" s="23"/>
      <c r="L34" s="25"/>
      <c r="M34" s="23"/>
    </row>
    <row r="35" spans="1:13" ht="12.75">
      <c r="A35" s="23"/>
      <c r="B35" s="25"/>
      <c r="C35" s="25"/>
      <c r="D35" s="218"/>
      <c r="E35" s="25"/>
      <c r="F35" s="25"/>
      <c r="G35" s="25"/>
      <c r="H35" s="25"/>
      <c r="I35" s="25"/>
      <c r="J35" s="23"/>
      <c r="K35" s="23"/>
      <c r="L35" s="25"/>
      <c r="M35" s="23"/>
    </row>
    <row r="36" spans="1:13" ht="12.75">
      <c r="A36" s="23" t="s">
        <v>21</v>
      </c>
      <c r="B36" s="25">
        <v>1198</v>
      </c>
      <c r="C36" s="25">
        <f t="shared" si="0"/>
        <v>3889906</v>
      </c>
      <c r="D36" s="218">
        <v>961271.981803143</v>
      </c>
      <c r="E36" s="25">
        <v>1863397</v>
      </c>
      <c r="F36" s="25">
        <f>E36*0.7799343</f>
        <v>1453327.2348171</v>
      </c>
      <c r="G36" s="25">
        <f>C36*0.8</f>
        <v>3111924.8000000003</v>
      </c>
      <c r="H36" s="50">
        <f>IF(F36&gt;G36,0,(G36-F36))</f>
        <v>1658597.5651829003</v>
      </c>
      <c r="I36" s="25">
        <f>MAX(F36,G36)</f>
        <v>3111924.8000000003</v>
      </c>
      <c r="J36" s="23"/>
      <c r="K36" s="23"/>
      <c r="L36" s="25"/>
      <c r="M36" s="23"/>
    </row>
    <row r="37" spans="1:13" ht="12.75">
      <c r="A37" s="23" t="s">
        <v>22</v>
      </c>
      <c r="B37" s="25">
        <v>7958</v>
      </c>
      <c r="C37" s="25">
        <f t="shared" si="0"/>
        <v>25839626</v>
      </c>
      <c r="D37" s="218">
        <v>333897.9648137441</v>
      </c>
      <c r="E37" s="25">
        <v>35635683</v>
      </c>
      <c r="F37" s="25">
        <f>E37*0.7799343</f>
        <v>27793491.475626897</v>
      </c>
      <c r="G37" s="25">
        <f>C37*0.8</f>
        <v>20671700.8</v>
      </c>
      <c r="H37" s="50">
        <f>IF(F37&gt;G37,0,(G37-F37))</f>
        <v>0</v>
      </c>
      <c r="I37" s="25">
        <f>MAX(F37,G37)</f>
        <v>27793491.475626897</v>
      </c>
      <c r="J37" s="23"/>
      <c r="K37" s="23"/>
      <c r="L37" s="25"/>
      <c r="M37" s="23"/>
    </row>
    <row r="38" spans="1:13" ht="12.75">
      <c r="A38" s="23" t="s">
        <v>23</v>
      </c>
      <c r="B38" s="25">
        <v>6507</v>
      </c>
      <c r="C38" s="25">
        <f t="shared" si="0"/>
        <v>21128229</v>
      </c>
      <c r="D38" s="218">
        <v>284459.2595131985</v>
      </c>
      <c r="E38" s="25">
        <v>34202363</v>
      </c>
      <c r="F38" s="25">
        <f>E38*0.7799343</f>
        <v>26675596.0447509</v>
      </c>
      <c r="G38" s="25">
        <f>C38*0.8</f>
        <v>16902583.2</v>
      </c>
      <c r="H38" s="50">
        <f>IF(F38&gt;G38,0,(G38-F38))</f>
        <v>0</v>
      </c>
      <c r="I38" s="25">
        <f>MAX(F38,G38)</f>
        <v>26675596.0447509</v>
      </c>
      <c r="J38" s="23"/>
      <c r="K38" s="23"/>
      <c r="L38" s="25"/>
      <c r="M38" s="23"/>
    </row>
    <row r="39" spans="1:13" ht="12.75">
      <c r="A39" s="31" t="s">
        <v>24</v>
      </c>
      <c r="B39" s="28">
        <v>2162</v>
      </c>
      <c r="C39" s="28">
        <f t="shared" si="0"/>
        <v>7020014</v>
      </c>
      <c r="D39" s="220">
        <v>1237415.8157151819</v>
      </c>
      <c r="E39" s="28">
        <v>2612371</v>
      </c>
      <c r="F39" s="28">
        <f>E39*0.7799343</f>
        <v>2037477.7472253</v>
      </c>
      <c r="G39" s="28">
        <f>C39*0.8</f>
        <v>5616011.2</v>
      </c>
      <c r="H39" s="140">
        <f>IF(F39&gt;G39,0,(G39-F39))</f>
        <v>3578533.4527747002</v>
      </c>
      <c r="I39" s="28">
        <f>MAX(F39,G39)</f>
        <v>5616011.2</v>
      </c>
      <c r="J39" s="23"/>
      <c r="K39" s="23"/>
      <c r="L39" s="25"/>
      <c r="M39" s="23"/>
    </row>
    <row r="40" spans="1:13" ht="12.75">
      <c r="A40" s="33"/>
      <c r="B40" s="33"/>
      <c r="C40" s="33"/>
      <c r="D40" s="227"/>
      <c r="E40" s="33"/>
      <c r="F40" s="33"/>
      <c r="G40" s="33"/>
      <c r="H40" s="33"/>
      <c r="I40" s="33"/>
      <c r="J40" s="23"/>
      <c r="K40" s="23"/>
      <c r="L40" s="25"/>
      <c r="M40" s="23"/>
    </row>
    <row r="41" spans="1:13" ht="12.75">
      <c r="A41" s="23" t="s">
        <v>99</v>
      </c>
      <c r="B41" s="25"/>
      <c r="C41" s="25"/>
      <c r="D41" s="218"/>
      <c r="E41" s="25"/>
      <c r="F41" s="25"/>
      <c r="G41" s="25"/>
      <c r="H41" s="25"/>
      <c r="I41" s="25"/>
      <c r="J41" s="23"/>
      <c r="K41" s="23"/>
      <c r="L41" s="25"/>
      <c r="M41" s="23"/>
    </row>
    <row r="42" spans="1:13" ht="12.75">
      <c r="A42" s="23"/>
      <c r="B42" s="25"/>
      <c r="C42" s="25"/>
      <c r="D42" s="218"/>
      <c r="E42" s="25"/>
      <c r="F42" s="25"/>
      <c r="G42" s="25"/>
      <c r="H42" s="25"/>
      <c r="I42" s="25"/>
      <c r="J42" s="23"/>
      <c r="K42" s="23"/>
      <c r="L42" s="25"/>
      <c r="M42" s="23"/>
    </row>
    <row r="43" spans="1:13" ht="12.75">
      <c r="A43" s="299" t="s">
        <v>267</v>
      </c>
      <c r="B43" s="25"/>
      <c r="C43" s="25"/>
      <c r="D43" s="218"/>
      <c r="E43" s="25"/>
      <c r="F43" s="25"/>
      <c r="G43" s="25"/>
      <c r="H43" s="25"/>
      <c r="I43" s="25"/>
      <c r="J43" s="23"/>
      <c r="K43" s="23"/>
      <c r="L43" s="25"/>
      <c r="M43" s="23"/>
    </row>
    <row r="44" spans="1:13" ht="12.75">
      <c r="A44" s="23"/>
      <c r="B44" s="25"/>
      <c r="C44" s="25"/>
      <c r="D44" s="218"/>
      <c r="E44" s="25"/>
      <c r="F44" s="25"/>
      <c r="G44" s="25"/>
      <c r="H44" s="25"/>
      <c r="I44" s="25"/>
      <c r="J44" s="23"/>
      <c r="K44" s="23"/>
      <c r="L44" s="25"/>
      <c r="M44" s="23"/>
    </row>
    <row r="45" spans="1:13" ht="12.75">
      <c r="A45" s="23"/>
      <c r="B45" s="25"/>
      <c r="C45" s="25"/>
      <c r="D45" s="218"/>
      <c r="E45" s="25"/>
      <c r="F45" s="25"/>
      <c r="G45" s="25"/>
      <c r="H45" s="25"/>
      <c r="I45" s="25"/>
      <c r="J45" s="23"/>
      <c r="K45" s="23"/>
      <c r="L45" s="23"/>
      <c r="M45" s="23"/>
    </row>
    <row r="46" spans="1:13" ht="12.75">
      <c r="A46" s="23"/>
      <c r="B46" s="25"/>
      <c r="C46" s="25"/>
      <c r="D46" s="218"/>
      <c r="E46" s="25"/>
      <c r="F46" s="25"/>
      <c r="G46" s="25"/>
      <c r="H46" s="25"/>
      <c r="I46" s="25"/>
      <c r="J46" s="23"/>
      <c r="K46" s="23"/>
      <c r="L46" s="23"/>
      <c r="M46" s="23"/>
    </row>
    <row r="47" spans="1:13" ht="12.75">
      <c r="A47" s="23"/>
      <c r="B47" s="25"/>
      <c r="C47" s="25"/>
      <c r="D47" s="218"/>
      <c r="E47" s="25"/>
      <c r="F47" s="25"/>
      <c r="G47" s="25"/>
      <c r="H47" s="25"/>
      <c r="I47" s="25"/>
      <c r="J47" s="23"/>
      <c r="K47" s="23"/>
      <c r="L47" s="23"/>
      <c r="M47" s="23"/>
    </row>
    <row r="48" spans="1:13" ht="12.75">
      <c r="A48" s="23"/>
      <c r="B48" s="25"/>
      <c r="C48" s="25"/>
      <c r="D48" s="218"/>
      <c r="E48" s="25"/>
      <c r="F48" s="25"/>
      <c r="G48" s="25"/>
      <c r="H48" s="25"/>
      <c r="I48" s="25"/>
      <c r="J48" s="23"/>
      <c r="K48" s="23"/>
      <c r="L48" s="23"/>
      <c r="M48" s="23"/>
    </row>
    <row r="49" spans="1:13" ht="12.75">
      <c r="A49" s="23"/>
      <c r="B49" s="25"/>
      <c r="C49" s="25"/>
      <c r="D49" s="218"/>
      <c r="E49" s="25"/>
      <c r="F49" s="25"/>
      <c r="G49" s="25"/>
      <c r="H49" s="25"/>
      <c r="I49" s="25"/>
      <c r="J49" s="23"/>
      <c r="K49" s="23"/>
      <c r="L49" s="23"/>
      <c r="M49" s="23"/>
    </row>
    <row r="50" spans="1:13" ht="12.75">
      <c r="A50" s="23"/>
      <c r="B50" s="25"/>
      <c r="C50" s="25"/>
      <c r="D50" s="218"/>
      <c r="E50" s="25"/>
      <c r="F50" s="25"/>
      <c r="G50" s="25"/>
      <c r="H50" s="25"/>
      <c r="I50" s="25"/>
      <c r="J50" s="23"/>
      <c r="K50" s="23"/>
      <c r="L50" s="23"/>
      <c r="M50" s="23"/>
    </row>
    <row r="51" spans="1:13" ht="12.75">
      <c r="A51" s="23"/>
      <c r="B51" s="25"/>
      <c r="C51" s="25"/>
      <c r="D51" s="218"/>
      <c r="E51" s="25"/>
      <c r="F51" s="25"/>
      <c r="G51" s="25"/>
      <c r="H51" s="25"/>
      <c r="I51" s="25"/>
      <c r="J51" s="23"/>
      <c r="K51" s="23"/>
      <c r="L51" s="23"/>
      <c r="M51" s="23"/>
    </row>
    <row r="52" spans="1:13" ht="12.75">
      <c r="A52" s="23"/>
      <c r="B52" s="25"/>
      <c r="C52" s="25"/>
      <c r="D52" s="218"/>
      <c r="E52" s="25"/>
      <c r="F52" s="25"/>
      <c r="G52" s="25"/>
      <c r="H52" s="25"/>
      <c r="I52" s="25"/>
      <c r="J52" s="23"/>
      <c r="K52" s="23"/>
      <c r="L52" s="23"/>
      <c r="M52" s="23"/>
    </row>
    <row r="53" spans="1:13" ht="12.75">
      <c r="A53" s="23"/>
      <c r="B53" s="25"/>
      <c r="C53" s="25"/>
      <c r="D53" s="218"/>
      <c r="E53" s="25"/>
      <c r="F53" s="25"/>
      <c r="G53" s="25"/>
      <c r="H53" s="25"/>
      <c r="I53" s="25"/>
      <c r="J53" s="23"/>
      <c r="K53" s="23"/>
      <c r="L53" s="23"/>
      <c r="M53" s="23"/>
    </row>
    <row r="54" spans="1:13" ht="12.75">
      <c r="A54" s="23"/>
      <c r="B54" s="25"/>
      <c r="C54" s="25"/>
      <c r="D54" s="218"/>
      <c r="E54" s="25"/>
      <c r="F54" s="25"/>
      <c r="G54" s="25"/>
      <c r="H54" s="25"/>
      <c r="I54" s="25"/>
      <c r="J54" s="23"/>
      <c r="K54" s="23"/>
      <c r="L54" s="23"/>
      <c r="M54" s="23"/>
    </row>
    <row r="55" spans="1:13" ht="12.75">
      <c r="A55" s="23"/>
      <c r="B55" s="25"/>
      <c r="C55" s="25"/>
      <c r="D55" s="218"/>
      <c r="E55" s="25"/>
      <c r="F55" s="25"/>
      <c r="G55" s="25"/>
      <c r="H55" s="25"/>
      <c r="I55" s="25"/>
      <c r="J55" s="23"/>
      <c r="K55" s="23"/>
      <c r="L55" s="23"/>
      <c r="M55" s="23"/>
    </row>
    <row r="56" spans="1:13" ht="12.75">
      <c r="A56" s="23"/>
      <c r="B56" s="25"/>
      <c r="C56" s="25"/>
      <c r="D56" s="218"/>
      <c r="E56" s="25"/>
      <c r="F56" s="25"/>
      <c r="G56" s="25"/>
      <c r="H56" s="25"/>
      <c r="I56" s="25"/>
      <c r="J56" s="23"/>
      <c r="K56" s="23"/>
      <c r="L56" s="23"/>
      <c r="M56" s="23"/>
    </row>
    <row r="57" spans="1:13" ht="12.75">
      <c r="A57" s="23"/>
      <c r="B57" s="25"/>
      <c r="C57" s="25"/>
      <c r="D57" s="218"/>
      <c r="E57" s="25"/>
      <c r="F57" s="25"/>
      <c r="G57" s="25"/>
      <c r="H57" s="25"/>
      <c r="I57" s="25"/>
      <c r="J57" s="23"/>
      <c r="K57" s="23"/>
      <c r="L57" s="23"/>
      <c r="M57" s="23"/>
    </row>
    <row r="58" spans="1:13" ht="12.75">
      <c r="A58" s="23"/>
      <c r="B58" s="25"/>
      <c r="C58" s="25"/>
      <c r="D58" s="218"/>
      <c r="E58" s="25"/>
      <c r="F58" s="25"/>
      <c r="G58" s="25"/>
      <c r="H58" s="25"/>
      <c r="I58" s="25"/>
      <c r="J58" s="23"/>
      <c r="K58" s="23"/>
      <c r="L58" s="23"/>
      <c r="M58" s="23"/>
    </row>
    <row r="59" spans="1:13" ht="12.75">
      <c r="A59" s="23"/>
      <c r="B59" s="25"/>
      <c r="C59" s="25"/>
      <c r="D59" s="218"/>
      <c r="E59" s="25"/>
      <c r="F59" s="25"/>
      <c r="G59" s="25"/>
      <c r="H59" s="25"/>
      <c r="I59" s="25"/>
      <c r="J59" s="23"/>
      <c r="K59" s="23"/>
      <c r="L59" s="23"/>
      <c r="M59" s="23"/>
    </row>
    <row r="60" spans="1:13" ht="12.75">
      <c r="A60" s="23"/>
      <c r="B60" s="25"/>
      <c r="C60" s="25"/>
      <c r="D60" s="218"/>
      <c r="E60" s="25"/>
      <c r="F60" s="25"/>
      <c r="G60" s="25"/>
      <c r="H60" s="25"/>
      <c r="I60" s="25"/>
      <c r="J60" s="23"/>
      <c r="K60" s="23"/>
      <c r="L60" s="23"/>
      <c r="M60" s="23"/>
    </row>
    <row r="61" spans="1:13" ht="12.75">
      <c r="A61" s="23"/>
      <c r="B61" s="25"/>
      <c r="C61" s="25"/>
      <c r="D61" s="218"/>
      <c r="E61" s="25"/>
      <c r="F61" s="25"/>
      <c r="G61" s="25"/>
      <c r="H61" s="25"/>
      <c r="I61" s="25"/>
      <c r="J61" s="23"/>
      <c r="K61" s="23"/>
      <c r="L61" s="23"/>
      <c r="M61" s="23"/>
    </row>
    <row r="62" spans="1:13" ht="12.75">
      <c r="A62" s="23"/>
      <c r="B62" s="25"/>
      <c r="C62" s="25"/>
      <c r="D62" s="218"/>
      <c r="E62" s="25"/>
      <c r="F62" s="25"/>
      <c r="G62" s="25"/>
      <c r="H62" s="25"/>
      <c r="I62" s="25"/>
      <c r="J62" s="23"/>
      <c r="K62" s="23"/>
      <c r="L62" s="23"/>
      <c r="M62" s="23"/>
    </row>
    <row r="63" spans="1:13" ht="12.75">
      <c r="A63" s="23"/>
      <c r="B63" s="25"/>
      <c r="C63" s="25"/>
      <c r="D63" s="218"/>
      <c r="E63" s="25"/>
      <c r="F63" s="25"/>
      <c r="G63" s="25"/>
      <c r="H63" s="25"/>
      <c r="I63" s="25"/>
      <c r="J63" s="23"/>
      <c r="K63" s="23"/>
      <c r="L63" s="23"/>
      <c r="M63" s="23"/>
    </row>
    <row r="64" spans="1:13" ht="12.75">
      <c r="A64" s="23"/>
      <c r="B64" s="25"/>
      <c r="C64" s="25"/>
      <c r="D64" s="218"/>
      <c r="E64" s="25"/>
      <c r="F64" s="25"/>
      <c r="G64" s="25"/>
      <c r="H64" s="25"/>
      <c r="I64" s="25"/>
      <c r="J64" s="23"/>
      <c r="K64" s="23"/>
      <c r="L64" s="23"/>
      <c r="M64" s="23"/>
    </row>
    <row r="65" spans="1:13" ht="12.75">
      <c r="A65" s="23"/>
      <c r="B65" s="25"/>
      <c r="C65" s="25"/>
      <c r="D65" s="218"/>
      <c r="E65" s="25"/>
      <c r="F65" s="25"/>
      <c r="G65" s="25"/>
      <c r="H65" s="25"/>
      <c r="I65" s="25"/>
      <c r="J65" s="23"/>
      <c r="K65" s="23"/>
      <c r="L65" s="23"/>
      <c r="M65" s="23"/>
    </row>
    <row r="66" spans="1:13" ht="12.75">
      <c r="A66" s="23"/>
      <c r="B66" s="25"/>
      <c r="C66" s="25"/>
      <c r="D66" s="218"/>
      <c r="E66" s="25"/>
      <c r="F66" s="25"/>
      <c r="G66" s="25"/>
      <c r="H66" s="25"/>
      <c r="I66" s="25"/>
      <c r="J66" s="23"/>
      <c r="K66" s="23"/>
      <c r="L66" s="23"/>
      <c r="M66" s="23"/>
    </row>
    <row r="67" spans="1:13" ht="12.75">
      <c r="A67" s="23"/>
      <c r="B67" s="25"/>
      <c r="C67" s="25"/>
      <c r="D67" s="218"/>
      <c r="E67" s="25"/>
      <c r="F67" s="25"/>
      <c r="G67" s="25"/>
      <c r="H67" s="25"/>
      <c r="I67" s="25"/>
      <c r="J67" s="23"/>
      <c r="K67" s="23"/>
      <c r="L67" s="23"/>
      <c r="M67" s="23"/>
    </row>
    <row r="68" spans="1:13" ht="12.75">
      <c r="A68" s="23"/>
      <c r="B68" s="25"/>
      <c r="C68" s="25"/>
      <c r="D68" s="218"/>
      <c r="E68" s="25"/>
      <c r="F68" s="25"/>
      <c r="G68" s="25"/>
      <c r="H68" s="25"/>
      <c r="I68" s="25"/>
      <c r="J68" s="23"/>
      <c r="K68" s="23"/>
      <c r="L68" s="23"/>
      <c r="M68" s="23"/>
    </row>
    <row r="69" spans="1:13" ht="12.75">
      <c r="A69" s="23"/>
      <c r="B69" s="25"/>
      <c r="C69" s="25"/>
      <c r="D69" s="218"/>
      <c r="E69" s="25"/>
      <c r="F69" s="25"/>
      <c r="G69" s="25"/>
      <c r="H69" s="25"/>
      <c r="I69" s="25"/>
      <c r="J69" s="23"/>
      <c r="K69" s="23"/>
      <c r="L69" s="23"/>
      <c r="M69" s="23"/>
    </row>
    <row r="70" spans="1:13" ht="12.75">
      <c r="A70" s="23"/>
      <c r="B70" s="25"/>
      <c r="C70" s="25"/>
      <c r="D70" s="218"/>
      <c r="E70" s="25"/>
      <c r="F70" s="25"/>
      <c r="G70" s="25"/>
      <c r="H70" s="25"/>
      <c r="I70" s="25"/>
      <c r="J70" s="23"/>
      <c r="K70" s="23"/>
      <c r="L70" s="23"/>
      <c r="M70" s="23"/>
    </row>
    <row r="71" spans="1:13" ht="12.75">
      <c r="A71" s="23"/>
      <c r="B71" s="25"/>
      <c r="C71" s="25"/>
      <c r="D71" s="218"/>
      <c r="E71" s="25"/>
      <c r="F71" s="25"/>
      <c r="G71" s="25"/>
      <c r="H71" s="25"/>
      <c r="I71" s="25"/>
      <c r="J71" s="23"/>
      <c r="K71" s="23"/>
      <c r="L71" s="23"/>
      <c r="M71" s="23"/>
    </row>
    <row r="72" spans="2:9" ht="12.75">
      <c r="B72" s="27"/>
      <c r="C72" s="27"/>
      <c r="D72" s="225"/>
      <c r="E72" s="27"/>
      <c r="F72" s="27"/>
      <c r="G72" s="27"/>
      <c r="H72" s="27"/>
      <c r="I72" s="27"/>
    </row>
    <row r="73" spans="2:9" ht="12.75">
      <c r="B73" s="27"/>
      <c r="C73" s="27"/>
      <c r="D73" s="225"/>
      <c r="E73" s="27"/>
      <c r="F73" s="27"/>
      <c r="G73" s="27"/>
      <c r="H73" s="27"/>
      <c r="I73" s="27"/>
    </row>
    <row r="74" spans="2:9" ht="12.75">
      <c r="B74" s="27"/>
      <c r="C74" s="27"/>
      <c r="D74" s="225"/>
      <c r="E74" s="27"/>
      <c r="F74" s="27"/>
      <c r="G74" s="27"/>
      <c r="H74" s="27"/>
      <c r="I74" s="27"/>
    </row>
    <row r="75" spans="2:9" ht="12.75">
      <c r="B75" s="27"/>
      <c r="C75" s="27"/>
      <c r="D75" s="225"/>
      <c r="E75" s="27"/>
      <c r="F75" s="27"/>
      <c r="G75" s="27"/>
      <c r="H75" s="27"/>
      <c r="I75" s="27"/>
    </row>
    <row r="76" spans="2:9" ht="12.75">
      <c r="B76" s="27"/>
      <c r="C76" s="27"/>
      <c r="D76" s="225"/>
      <c r="E76" s="27"/>
      <c r="F76" s="27"/>
      <c r="G76" s="27"/>
      <c r="H76" s="27"/>
      <c r="I76" s="27"/>
    </row>
    <row r="77" spans="2:9" ht="12.75">
      <c r="B77" s="27"/>
      <c r="C77" s="27"/>
      <c r="D77" s="225"/>
      <c r="E77" s="27"/>
      <c r="F77" s="27"/>
      <c r="G77" s="27"/>
      <c r="H77" s="27"/>
      <c r="I77" s="27"/>
    </row>
    <row r="78" spans="2:9" ht="12.75">
      <c r="B78" s="27"/>
      <c r="C78" s="27"/>
      <c r="D78" s="225"/>
      <c r="E78" s="27"/>
      <c r="F78" s="27"/>
      <c r="G78" s="27"/>
      <c r="H78" s="27"/>
      <c r="I78" s="27"/>
    </row>
    <row r="79" spans="2:9" ht="12.75">
      <c r="B79" s="27"/>
      <c r="C79" s="27"/>
      <c r="D79" s="225"/>
      <c r="E79" s="27"/>
      <c r="F79" s="27"/>
      <c r="G79" s="27"/>
      <c r="H79" s="27"/>
      <c r="I79" s="27"/>
    </row>
    <row r="80" spans="2:9" ht="12.75">
      <c r="B80" s="27"/>
      <c r="C80" s="27"/>
      <c r="D80" s="225"/>
      <c r="E80" s="27"/>
      <c r="F80" s="27"/>
      <c r="G80" s="27"/>
      <c r="H80" s="27"/>
      <c r="I80" s="27"/>
    </row>
    <row r="81" spans="2:9" ht="12.75">
      <c r="B81" s="27"/>
      <c r="C81" s="27"/>
      <c r="D81" s="225"/>
      <c r="E81" s="27"/>
      <c r="F81" s="27"/>
      <c r="G81" s="27"/>
      <c r="H81" s="27"/>
      <c r="I81" s="27"/>
    </row>
    <row r="82" spans="2:9" ht="12.75">
      <c r="B82" s="27"/>
      <c r="C82" s="27"/>
      <c r="D82" s="225"/>
      <c r="E82" s="27"/>
      <c r="F82" s="27"/>
      <c r="G82" s="27"/>
      <c r="H82" s="27"/>
      <c r="I82" s="27"/>
    </row>
    <row r="83" spans="2:9" ht="12.75">
      <c r="B83" s="27"/>
      <c r="C83" s="27"/>
      <c r="D83" s="225"/>
      <c r="E83" s="27"/>
      <c r="F83" s="27"/>
      <c r="G83" s="27"/>
      <c r="H83" s="27"/>
      <c r="I83" s="27"/>
    </row>
    <row r="84" spans="2:9" ht="12.75">
      <c r="B84" s="27"/>
      <c r="C84" s="27"/>
      <c r="D84" s="225"/>
      <c r="E84" s="27"/>
      <c r="F84" s="27"/>
      <c r="G84" s="27"/>
      <c r="H84" s="27"/>
      <c r="I84" s="27"/>
    </row>
    <row r="85" spans="2:9" ht="12.75">
      <c r="B85" s="27"/>
      <c r="C85" s="27"/>
      <c r="D85" s="225"/>
      <c r="E85" s="27"/>
      <c r="F85" s="27"/>
      <c r="G85" s="27"/>
      <c r="H85" s="27"/>
      <c r="I85" s="27"/>
    </row>
    <row r="86" spans="2:9" ht="12.75">
      <c r="B86" s="27"/>
      <c r="C86" s="27"/>
      <c r="D86" s="225"/>
      <c r="E86" s="27"/>
      <c r="F86" s="27"/>
      <c r="G86" s="27"/>
      <c r="H86" s="27"/>
      <c r="I86" s="27"/>
    </row>
    <row r="87" spans="2:9" ht="12.75">
      <c r="B87" s="27"/>
      <c r="C87" s="27"/>
      <c r="D87" s="225"/>
      <c r="E87" s="27"/>
      <c r="F87" s="27"/>
      <c r="G87" s="27"/>
      <c r="H87" s="27"/>
      <c r="I87" s="27"/>
    </row>
    <row r="88" spans="2:9" ht="12.75">
      <c r="B88" s="27"/>
      <c r="C88" s="27"/>
      <c r="D88" s="225"/>
      <c r="E88" s="27"/>
      <c r="F88" s="27"/>
      <c r="G88" s="27"/>
      <c r="H88" s="27"/>
      <c r="I88" s="27"/>
    </row>
    <row r="89" spans="2:9" ht="12.75">
      <c r="B89" s="27"/>
      <c r="C89" s="27"/>
      <c r="D89" s="225"/>
      <c r="E89" s="27"/>
      <c r="F89" s="27"/>
      <c r="G89" s="27"/>
      <c r="H89" s="27"/>
      <c r="I89" s="27"/>
    </row>
    <row r="90" spans="2:9" ht="12.75">
      <c r="B90" s="27"/>
      <c r="C90" s="27"/>
      <c r="D90" s="225"/>
      <c r="E90" s="27"/>
      <c r="F90" s="27"/>
      <c r="G90" s="27"/>
      <c r="H90" s="27"/>
      <c r="I90" s="27"/>
    </row>
    <row r="91" spans="2:9" ht="12.75">
      <c r="B91" s="27"/>
      <c r="C91" s="27"/>
      <c r="D91" s="225"/>
      <c r="E91" s="27"/>
      <c r="F91" s="27"/>
      <c r="G91" s="27"/>
      <c r="H91" s="27"/>
      <c r="I91" s="27"/>
    </row>
    <row r="92" spans="2:9" ht="12.75">
      <c r="B92" s="27"/>
      <c r="C92" s="27"/>
      <c r="D92" s="225"/>
      <c r="E92" s="27"/>
      <c r="F92" s="27"/>
      <c r="G92" s="27"/>
      <c r="H92" s="27"/>
      <c r="I92" s="27"/>
    </row>
    <row r="93" spans="2:9" ht="12.75">
      <c r="B93" s="27"/>
      <c r="C93" s="27"/>
      <c r="D93" s="225"/>
      <c r="E93" s="27"/>
      <c r="F93" s="27"/>
      <c r="G93" s="27"/>
      <c r="H93" s="27"/>
      <c r="I93" s="27"/>
    </row>
    <row r="94" spans="2:9" ht="12.75">
      <c r="B94" s="27"/>
      <c r="C94" s="27"/>
      <c r="D94" s="225"/>
      <c r="E94" s="27"/>
      <c r="F94" s="27"/>
      <c r="G94" s="27"/>
      <c r="H94" s="27"/>
      <c r="I94" s="27"/>
    </row>
    <row r="95" spans="2:9" ht="12.75">
      <c r="B95" s="27"/>
      <c r="C95" s="27"/>
      <c r="D95" s="225"/>
      <c r="E95" s="27"/>
      <c r="F95" s="27"/>
      <c r="G95" s="27"/>
      <c r="H95" s="27"/>
      <c r="I95" s="27"/>
    </row>
    <row r="96" spans="2:9" ht="12.75">
      <c r="B96" s="27"/>
      <c r="C96" s="27"/>
      <c r="D96" s="225"/>
      <c r="E96" s="27"/>
      <c r="F96" s="27"/>
      <c r="G96" s="27"/>
      <c r="H96" s="27"/>
      <c r="I96" s="27"/>
    </row>
    <row r="97" spans="2:9" ht="12.75">
      <c r="B97" s="27"/>
      <c r="C97" s="27"/>
      <c r="D97" s="225"/>
      <c r="E97" s="27"/>
      <c r="F97" s="27"/>
      <c r="G97" s="27"/>
      <c r="H97" s="27"/>
      <c r="I97" s="27"/>
    </row>
    <row r="98" spans="2:9" ht="12.75">
      <c r="B98" s="27"/>
      <c r="C98" s="27"/>
      <c r="D98" s="225"/>
      <c r="E98" s="27"/>
      <c r="F98" s="27"/>
      <c r="G98" s="27"/>
      <c r="H98" s="27"/>
      <c r="I98" s="27"/>
    </row>
    <row r="99" spans="2:9" ht="12.75">
      <c r="B99" s="27"/>
      <c r="C99" s="27"/>
      <c r="D99" s="225"/>
      <c r="E99" s="27"/>
      <c r="F99" s="27"/>
      <c r="G99" s="27"/>
      <c r="H99" s="27"/>
      <c r="I99" s="27"/>
    </row>
    <row r="100" spans="2:9" ht="12.75">
      <c r="B100" s="27"/>
      <c r="C100" s="27"/>
      <c r="D100" s="225"/>
      <c r="E100" s="27"/>
      <c r="F100" s="27"/>
      <c r="G100" s="27"/>
      <c r="H100" s="27"/>
      <c r="I100" s="27"/>
    </row>
    <row r="101" spans="2:9" ht="12.75">
      <c r="B101" s="27"/>
      <c r="C101" s="27"/>
      <c r="D101" s="225"/>
      <c r="E101" s="27"/>
      <c r="F101" s="27"/>
      <c r="G101" s="27"/>
      <c r="H101" s="27"/>
      <c r="I101" s="27"/>
    </row>
    <row r="102" spans="2:9" ht="12.75">
      <c r="B102" s="27"/>
      <c r="C102" s="27"/>
      <c r="D102" s="225"/>
      <c r="E102" s="27"/>
      <c r="F102" s="27"/>
      <c r="G102" s="27"/>
      <c r="H102" s="27"/>
      <c r="I102" s="27"/>
    </row>
    <row r="103" spans="2:9" ht="12.75">
      <c r="B103" s="27"/>
      <c r="C103" s="27"/>
      <c r="D103" s="225"/>
      <c r="E103" s="27"/>
      <c r="F103" s="27"/>
      <c r="G103" s="27"/>
      <c r="H103" s="27"/>
      <c r="I103" s="27"/>
    </row>
    <row r="104" spans="2:9" ht="12.75">
      <c r="B104" s="27"/>
      <c r="C104" s="27"/>
      <c r="D104" s="225"/>
      <c r="E104" s="27"/>
      <c r="F104" s="27"/>
      <c r="G104" s="27"/>
      <c r="H104" s="27"/>
      <c r="I104" s="27"/>
    </row>
    <row r="105" spans="2:9" ht="12.75">
      <c r="B105" s="27"/>
      <c r="C105" s="27"/>
      <c r="D105" s="225"/>
      <c r="E105" s="27"/>
      <c r="F105" s="27"/>
      <c r="G105" s="27"/>
      <c r="H105" s="27"/>
      <c r="I105" s="27"/>
    </row>
    <row r="106" spans="2:9" ht="12.75">
      <c r="B106" s="27"/>
      <c r="C106" s="27"/>
      <c r="D106" s="225"/>
      <c r="E106" s="27"/>
      <c r="F106" s="27"/>
      <c r="G106" s="27"/>
      <c r="H106" s="27"/>
      <c r="I106" s="27"/>
    </row>
  </sheetData>
  <sheetProtection password="CAF5" sheet="1"/>
  <mergeCells count="8">
    <mergeCell ref="B6:B9"/>
    <mergeCell ref="F6:F9"/>
    <mergeCell ref="H6:H9"/>
    <mergeCell ref="I6:I9"/>
    <mergeCell ref="C6:C8"/>
    <mergeCell ref="D6:D8"/>
    <mergeCell ref="E6:E8"/>
    <mergeCell ref="G6:G8"/>
  </mergeCells>
  <printOptions horizontalCentered="1"/>
  <pageMargins left="0.7" right="0.75" top="0.83" bottom="0.84" header="0.67" footer="0.5"/>
  <pageSetup fitToHeight="1" fitToWidth="1" horizontalDpi="600" verticalDpi="600" orientation="landscape" scale="84" r:id="rId1"/>
  <headerFooter scaleWithDoc="0">
    <oddFooter>&amp;L&amp;"Arial,Italic"&amp;9MSDE-LFRO 09 / 2010&amp;C- 16 -&amp;R&amp;"Arial,Italic"&amp;9Selected Financial Data-Part 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workbookViewId="0" topLeftCell="A1">
      <selection activeCell="C10" sqref="C10"/>
    </sheetView>
  </sheetViews>
  <sheetFormatPr defaultColWidth="9.140625" defaultRowHeight="12.75"/>
  <cols>
    <col min="1" max="1" width="22.00390625" style="0" customWidth="1"/>
    <col min="2" max="2" width="20.8515625" style="0" customWidth="1"/>
    <col min="3" max="3" width="17.28125" style="0" customWidth="1"/>
    <col min="4" max="4" width="18.140625" style="0" customWidth="1"/>
    <col min="5" max="5" width="17.140625" style="90" customWidth="1"/>
    <col min="6" max="6" width="22.421875" style="0" customWidth="1"/>
  </cols>
  <sheetData>
    <row r="1" spans="1:6" ht="12.75">
      <c r="A1" s="397" t="s">
        <v>111</v>
      </c>
      <c r="B1" s="397"/>
      <c r="C1" s="397"/>
      <c r="D1" s="397"/>
      <c r="E1" s="397"/>
      <c r="F1" s="397"/>
    </row>
    <row r="2" spans="1:5" ht="13.5" customHeight="1">
      <c r="A2" s="39"/>
      <c r="E2" s="32"/>
    </row>
    <row r="3" spans="1:6" ht="12.75">
      <c r="A3" s="392" t="s">
        <v>270</v>
      </c>
      <c r="B3" s="397"/>
      <c r="C3" s="397"/>
      <c r="D3" s="397"/>
      <c r="E3" s="397"/>
      <c r="F3" s="397"/>
    </row>
    <row r="4" spans="1:6" ht="13.5" thickBot="1">
      <c r="A4" s="3"/>
      <c r="B4" s="3"/>
      <c r="C4" s="3"/>
      <c r="D4" s="3"/>
      <c r="E4" s="23"/>
      <c r="F4" s="3"/>
    </row>
    <row r="5" spans="1:7" ht="15" customHeight="1" thickTop="1">
      <c r="A5" s="6"/>
      <c r="B5" s="65" t="s">
        <v>232</v>
      </c>
      <c r="C5" s="6"/>
      <c r="D5" s="6"/>
      <c r="E5" s="486" t="s">
        <v>272</v>
      </c>
      <c r="F5" s="163"/>
      <c r="G5" s="19"/>
    </row>
    <row r="6" spans="1:7" ht="12.75">
      <c r="A6" s="3" t="s">
        <v>81</v>
      </c>
      <c r="B6" s="4" t="s">
        <v>120</v>
      </c>
      <c r="C6" s="4" t="s">
        <v>106</v>
      </c>
      <c r="D6" s="4" t="s">
        <v>103</v>
      </c>
      <c r="E6" s="496"/>
      <c r="F6" s="4" t="s">
        <v>103</v>
      </c>
      <c r="G6" s="19"/>
    </row>
    <row r="7" spans="1:7" ht="12.75">
      <c r="A7" s="3" t="s">
        <v>34</v>
      </c>
      <c r="B7" s="4" t="s">
        <v>121</v>
      </c>
      <c r="C7" s="4" t="s">
        <v>107</v>
      </c>
      <c r="D7" s="4" t="s">
        <v>104</v>
      </c>
      <c r="E7" s="496"/>
      <c r="F7" s="4" t="s">
        <v>104</v>
      </c>
      <c r="G7" s="19"/>
    </row>
    <row r="8" spans="1:7" ht="13.5" thickBot="1">
      <c r="A8" s="7" t="s">
        <v>134</v>
      </c>
      <c r="B8" s="8" t="s">
        <v>105</v>
      </c>
      <c r="C8" s="8" t="s">
        <v>231</v>
      </c>
      <c r="D8" s="8" t="s">
        <v>108</v>
      </c>
      <c r="E8" s="497"/>
      <c r="F8" s="8" t="s">
        <v>109</v>
      </c>
      <c r="G8" s="19"/>
    </row>
    <row r="9" spans="1:6" ht="12.75">
      <c r="A9" s="3" t="s">
        <v>0</v>
      </c>
      <c r="B9" s="46">
        <f>SUM(B11:B38)</f>
        <v>728060012</v>
      </c>
      <c r="C9" s="359">
        <f>SUM(C11:C38)</f>
        <v>815742</v>
      </c>
      <c r="D9" s="16">
        <f>+B9*1000/C9</f>
        <v>892512.5983460457</v>
      </c>
      <c r="E9" s="57">
        <f>SUM(E11:E45)</f>
        <v>5633597</v>
      </c>
      <c r="F9" s="46">
        <f>+B9*1000/E9</f>
        <v>129235.37342127951</v>
      </c>
    </row>
    <row r="10" spans="1:6" ht="12.75">
      <c r="A10" s="3"/>
      <c r="B10" s="2"/>
      <c r="C10" s="5"/>
      <c r="D10" s="3"/>
      <c r="E10" s="58"/>
      <c r="F10" s="2"/>
    </row>
    <row r="11" spans="1:6" ht="12.75">
      <c r="A11" s="3" t="s">
        <v>1</v>
      </c>
      <c r="B11" s="2">
        <v>3411030</v>
      </c>
      <c r="C11" s="320">
        <v>8993</v>
      </c>
      <c r="D11" s="2">
        <f>+B11*1000/C11</f>
        <v>379298.34315578785</v>
      </c>
      <c r="E11" s="251">
        <v>72238</v>
      </c>
      <c r="F11" s="15">
        <f>+B11*1000/E11</f>
        <v>47219.3305462499</v>
      </c>
    </row>
    <row r="12" spans="1:6" ht="12.75">
      <c r="A12" s="3" t="s">
        <v>2</v>
      </c>
      <c r="B12" s="2">
        <v>81956148</v>
      </c>
      <c r="C12" s="320">
        <v>71605</v>
      </c>
      <c r="D12" s="2">
        <f>+B12*1000/C12</f>
        <v>1144559.0112422316</v>
      </c>
      <c r="E12" s="251">
        <v>512790</v>
      </c>
      <c r="F12" s="15">
        <f>+B12*1000/E12</f>
        <v>159823.9981278886</v>
      </c>
    </row>
    <row r="13" spans="1:6" ht="12.75">
      <c r="A13" s="3" t="s">
        <v>3</v>
      </c>
      <c r="B13" s="2">
        <v>33564630</v>
      </c>
      <c r="C13" s="320">
        <v>77251.75</v>
      </c>
      <c r="D13" s="2">
        <f>+B13*1000/C13</f>
        <v>434483.7495590715</v>
      </c>
      <c r="E13" s="252">
        <v>636919</v>
      </c>
      <c r="F13" s="15">
        <f>+B13*1000/E13</f>
        <v>52698.42790056506</v>
      </c>
    </row>
    <row r="14" spans="1:6" ht="12.75">
      <c r="A14" s="3" t="s">
        <v>4</v>
      </c>
      <c r="B14" s="2">
        <v>81732183</v>
      </c>
      <c r="C14" s="320">
        <v>100022.75</v>
      </c>
      <c r="D14" s="2">
        <f>+B14*1000/C14</f>
        <v>817135.9315755665</v>
      </c>
      <c r="E14" s="251">
        <v>785618</v>
      </c>
      <c r="F14" s="15">
        <f>+B14*1000/E14</f>
        <v>104035.52744463594</v>
      </c>
    </row>
    <row r="15" spans="1:6" ht="12.75">
      <c r="A15" s="3" t="s">
        <v>5</v>
      </c>
      <c r="B15" s="2">
        <v>12916676</v>
      </c>
      <c r="C15" s="320">
        <v>16951.5</v>
      </c>
      <c r="D15" s="2">
        <f>+B15*1000/C15</f>
        <v>761978.3499985252</v>
      </c>
      <c r="E15" s="251">
        <v>88698</v>
      </c>
      <c r="F15" s="15">
        <f>+B15*1000/E15</f>
        <v>145625.33540778822</v>
      </c>
    </row>
    <row r="16" spans="1:6" ht="12.75">
      <c r="A16" s="3"/>
      <c r="B16" s="2"/>
      <c r="C16" s="360"/>
      <c r="D16" s="2"/>
      <c r="E16" s="59"/>
      <c r="F16" s="15"/>
    </row>
    <row r="17" spans="1:6" ht="12.75">
      <c r="A17" s="3" t="s">
        <v>6</v>
      </c>
      <c r="B17" s="2">
        <v>2869869</v>
      </c>
      <c r="C17" s="320">
        <v>5349</v>
      </c>
      <c r="D17" s="2">
        <f>+B17*1000/C17</f>
        <v>536524.397083567</v>
      </c>
      <c r="E17" s="251">
        <v>33138</v>
      </c>
      <c r="F17" s="15">
        <f>+B17*1000/E17</f>
        <v>86603.56690204599</v>
      </c>
    </row>
    <row r="18" spans="1:6" ht="12.75">
      <c r="A18" s="3" t="s">
        <v>7</v>
      </c>
      <c r="B18" s="2">
        <v>20329010</v>
      </c>
      <c r="C18" s="320">
        <v>27989.25</v>
      </c>
      <c r="D18" s="2">
        <f>+B18*1000/C18</f>
        <v>726314.9244799343</v>
      </c>
      <c r="E18" s="251">
        <v>169353</v>
      </c>
      <c r="F18" s="15">
        <f>+B18*1000/E18</f>
        <v>120039.2670929951</v>
      </c>
    </row>
    <row r="19" spans="1:6" ht="12.75">
      <c r="A19" s="3" t="s">
        <v>8</v>
      </c>
      <c r="B19" s="2">
        <v>10469664</v>
      </c>
      <c r="C19" s="320">
        <v>15769</v>
      </c>
      <c r="D19" s="2">
        <f>+B19*1000/C19</f>
        <v>663939.6283848056</v>
      </c>
      <c r="E19" s="251">
        <v>99926</v>
      </c>
      <c r="F19" s="15">
        <f>+B19*1000/E19</f>
        <v>104774.17288793708</v>
      </c>
    </row>
    <row r="20" spans="1:6" ht="12.75">
      <c r="A20" s="3" t="s">
        <v>9</v>
      </c>
      <c r="B20" s="2">
        <v>18586394</v>
      </c>
      <c r="C20" s="320">
        <v>25843.25</v>
      </c>
      <c r="D20" s="2">
        <f>+B20*1000/C20</f>
        <v>719197.237189595</v>
      </c>
      <c r="E20" s="251">
        <v>140764</v>
      </c>
      <c r="F20" s="15">
        <f>+B20*1000/E20</f>
        <v>132039.39927822453</v>
      </c>
    </row>
    <row r="21" spans="1:6" ht="12.75">
      <c r="A21" s="3" t="s">
        <v>10</v>
      </c>
      <c r="B21" s="2">
        <v>3234812</v>
      </c>
      <c r="C21" s="320">
        <v>4433.25</v>
      </c>
      <c r="D21" s="2">
        <f>+B21*1000/C21</f>
        <v>729670.5577172503</v>
      </c>
      <c r="E21" s="251">
        <v>31998</v>
      </c>
      <c r="F21" s="15">
        <f>+B21*1000/E21</f>
        <v>101094.19338708669</v>
      </c>
    </row>
    <row r="22" spans="1:6" ht="12.75">
      <c r="A22" s="3"/>
      <c r="B22" s="1"/>
      <c r="C22" s="320"/>
      <c r="D22" s="2"/>
      <c r="E22" s="34"/>
      <c r="F22" s="15"/>
    </row>
    <row r="23" spans="1:6" ht="12.75">
      <c r="A23" s="3" t="s">
        <v>11</v>
      </c>
      <c r="B23" s="2">
        <v>30138087</v>
      </c>
      <c r="C23" s="320">
        <v>39393.5</v>
      </c>
      <c r="D23" s="2">
        <f>+B23*1000/C23</f>
        <v>765052.2801985099</v>
      </c>
      <c r="E23" s="251">
        <v>225721</v>
      </c>
      <c r="F23" s="15">
        <f>+B23*1000/E23</f>
        <v>133519.1984795389</v>
      </c>
    </row>
    <row r="24" spans="1:6" ht="12.75">
      <c r="A24" s="3" t="s">
        <v>12</v>
      </c>
      <c r="B24" s="2">
        <v>4356322</v>
      </c>
      <c r="C24" s="320">
        <v>4394.75</v>
      </c>
      <c r="D24" s="2">
        <f>+B24*1000/C24</f>
        <v>991255.930371466</v>
      </c>
      <c r="E24" s="251">
        <v>29698</v>
      </c>
      <c r="F24" s="15">
        <f>+B24*1000/E24</f>
        <v>146687.38635598356</v>
      </c>
    </row>
    <row r="25" spans="1:6" ht="12.75">
      <c r="A25" s="3" t="s">
        <v>13</v>
      </c>
      <c r="B25" s="2">
        <v>26162245</v>
      </c>
      <c r="C25" s="320">
        <v>38151.75</v>
      </c>
      <c r="D25" s="2">
        <f>+B25*1000/C25</f>
        <v>685741.6763320162</v>
      </c>
      <c r="E25" s="251">
        <v>240351</v>
      </c>
      <c r="F25" s="15">
        <f>+B25*1000/E25</f>
        <v>108850.16080648718</v>
      </c>
    </row>
    <row r="26" spans="1:6" ht="12.75">
      <c r="A26" s="3" t="s">
        <v>14</v>
      </c>
      <c r="B26" s="2">
        <v>47667750</v>
      </c>
      <c r="C26" s="320">
        <v>48534.25</v>
      </c>
      <c r="D26" s="2">
        <f>+B26*1000/C26</f>
        <v>982146.6284118947</v>
      </c>
      <c r="E26" s="251">
        <v>274995</v>
      </c>
      <c r="F26" s="15">
        <f>+B26*1000/E26</f>
        <v>173340.42437135222</v>
      </c>
    </row>
    <row r="27" spans="1:6" ht="12.75">
      <c r="A27" s="3" t="s">
        <v>15</v>
      </c>
      <c r="B27" s="2">
        <v>2917378</v>
      </c>
      <c r="C27" s="320">
        <v>2152</v>
      </c>
      <c r="D27" s="2">
        <f>+B27*1000/C27</f>
        <v>1355658.9219330854</v>
      </c>
      <c r="E27" s="251">
        <v>20151</v>
      </c>
      <c r="F27" s="15">
        <f>+B27*1000/E27</f>
        <v>144775.84238995583</v>
      </c>
    </row>
    <row r="28" spans="1:6" ht="12.75">
      <c r="A28" s="3"/>
      <c r="B28" s="1"/>
      <c r="C28" s="360"/>
      <c r="D28" s="2"/>
      <c r="E28" s="34"/>
      <c r="F28" s="15"/>
    </row>
    <row r="29" spans="1:6" ht="12.75">
      <c r="A29" s="3" t="s">
        <v>16</v>
      </c>
      <c r="B29" s="2">
        <v>186959284</v>
      </c>
      <c r="C29" s="320">
        <v>134546.75</v>
      </c>
      <c r="D29" s="2">
        <f>+B29*1000/C29</f>
        <v>1389548.8668436806</v>
      </c>
      <c r="E29" s="251">
        <v>950680</v>
      </c>
      <c r="F29" s="15">
        <f>+B29*1000/E29</f>
        <v>196658.48024571885</v>
      </c>
    </row>
    <row r="30" spans="1:6" ht="12.75">
      <c r="A30" s="3" t="s">
        <v>17</v>
      </c>
      <c r="B30" s="2">
        <v>88581325</v>
      </c>
      <c r="C30" s="320">
        <v>122513.25</v>
      </c>
      <c r="D30" s="2">
        <f>+B30*1000/C30</f>
        <v>723034.6513540372</v>
      </c>
      <c r="E30" s="251">
        <v>820852</v>
      </c>
      <c r="F30" s="15">
        <f>+B30*1000/E30</f>
        <v>107913.8809432151</v>
      </c>
    </row>
    <row r="31" spans="1:6" ht="12.75">
      <c r="A31" s="3" t="s">
        <v>18</v>
      </c>
      <c r="B31" s="2">
        <v>8420273</v>
      </c>
      <c r="C31" s="320">
        <v>7449.75</v>
      </c>
      <c r="D31" s="2">
        <f>+B31*1000/C31</f>
        <v>1130275.915299171</v>
      </c>
      <c r="E31" s="251">
        <v>47091</v>
      </c>
      <c r="F31" s="15">
        <f>+B31*1000/E31</f>
        <v>178808.5409101527</v>
      </c>
    </row>
    <row r="32" spans="1:6" ht="12.75">
      <c r="A32" s="3" t="s">
        <v>19</v>
      </c>
      <c r="B32" s="2">
        <v>11602222</v>
      </c>
      <c r="C32" s="320">
        <v>16022.75</v>
      </c>
      <c r="D32" s="2">
        <f>+B32*1000/C32</f>
        <v>724109.2821144934</v>
      </c>
      <c r="E32" s="251">
        <v>101578</v>
      </c>
      <c r="F32" s="15">
        <f>+B32*1000/E32</f>
        <v>114219.83106578197</v>
      </c>
    </row>
    <row r="33" spans="1:6" ht="12.75">
      <c r="A33" s="3" t="s">
        <v>20</v>
      </c>
      <c r="B33" s="2">
        <v>1632417</v>
      </c>
      <c r="C33" s="320">
        <v>2725</v>
      </c>
      <c r="D33" s="2">
        <f>+B33*1000/C33</f>
        <v>599052.1100917432</v>
      </c>
      <c r="E33" s="251">
        <v>26119</v>
      </c>
      <c r="F33" s="15">
        <f>+B33*1000/E33</f>
        <v>62499.21513074773</v>
      </c>
    </row>
    <row r="34" spans="1:6" ht="12.75">
      <c r="A34" s="3"/>
      <c r="B34" s="2"/>
      <c r="C34" s="360"/>
      <c r="D34" s="2"/>
      <c r="E34" s="34"/>
      <c r="F34" s="15"/>
    </row>
    <row r="35" spans="1:6" ht="12.75">
      <c r="A35" s="3" t="s">
        <v>21</v>
      </c>
      <c r="B35" s="2">
        <v>9155628</v>
      </c>
      <c r="C35" s="320">
        <v>4231.5</v>
      </c>
      <c r="D35" s="2">
        <f>+B35*1000/C35</f>
        <v>2163683.8000708967</v>
      </c>
      <c r="E35" s="156">
        <v>36215</v>
      </c>
      <c r="F35" s="15">
        <f>+B35*1000/E35</f>
        <v>252813.14372497585</v>
      </c>
    </row>
    <row r="36" spans="1:6" ht="12.75">
      <c r="A36" s="3" t="s">
        <v>22</v>
      </c>
      <c r="B36" s="2">
        <v>13768572</v>
      </c>
      <c r="C36" s="320">
        <v>21187.25</v>
      </c>
      <c r="D36" s="2">
        <f>+B36*1000/C36</f>
        <v>649851.7740622308</v>
      </c>
      <c r="E36" s="156">
        <v>145384</v>
      </c>
      <c r="F36" s="15">
        <f>+B36*1000/E36</f>
        <v>94704.86435921422</v>
      </c>
    </row>
    <row r="37" spans="1:6" ht="12.75">
      <c r="A37" s="3" t="s">
        <v>23</v>
      </c>
      <c r="B37" s="2">
        <v>7211174</v>
      </c>
      <c r="C37" s="320">
        <v>13855.75</v>
      </c>
      <c r="D37" s="2">
        <f>+B37*1000/C37</f>
        <v>520446.31290258555</v>
      </c>
      <c r="E37" s="156">
        <v>94046</v>
      </c>
      <c r="F37" s="15">
        <f>+B37*1000/E37</f>
        <v>76677.09418795058</v>
      </c>
    </row>
    <row r="38" spans="1:6" ht="13.5" thickBot="1">
      <c r="A38" s="7" t="s">
        <v>24</v>
      </c>
      <c r="B38" s="84">
        <v>20416919</v>
      </c>
      <c r="C38" s="361">
        <v>6376</v>
      </c>
      <c r="D38" s="84">
        <f>+B38*1000/C38</f>
        <v>3202151.662484316</v>
      </c>
      <c r="E38" s="157">
        <v>49274</v>
      </c>
      <c r="F38" s="85">
        <f>+B38*1000/E38</f>
        <v>414354.81186832814</v>
      </c>
    </row>
    <row r="39" spans="1:6" ht="12.75">
      <c r="A39" s="308" t="s">
        <v>271</v>
      </c>
      <c r="B39" s="2"/>
      <c r="C39" s="2"/>
      <c r="D39" s="2"/>
      <c r="E39" s="145"/>
      <c r="F39" s="15"/>
    </row>
    <row r="40" ht="12.75">
      <c r="A40" s="308" t="s">
        <v>273</v>
      </c>
    </row>
    <row r="41" ht="12.75">
      <c r="A41" s="67"/>
    </row>
    <row r="42" ht="12.75">
      <c r="A42" s="3" t="s">
        <v>243</v>
      </c>
    </row>
    <row r="43" ht="12.75">
      <c r="A43" s="3"/>
    </row>
    <row r="44" ht="12.75">
      <c r="A44" s="87" t="s">
        <v>246</v>
      </c>
    </row>
    <row r="45" ht="12.75">
      <c r="A45" s="307" t="s">
        <v>247</v>
      </c>
    </row>
    <row r="46" ht="12.75">
      <c r="A46" s="83" t="s">
        <v>248</v>
      </c>
    </row>
    <row r="47" spans="4:5" ht="20.25" customHeight="1">
      <c r="D47" s="38"/>
      <c r="E47"/>
    </row>
    <row r="48" spans="4:5" ht="12.75">
      <c r="D48" s="38"/>
      <c r="E48"/>
    </row>
    <row r="49" spans="4:5" ht="12.75">
      <c r="D49" s="38"/>
      <c r="E49"/>
    </row>
    <row r="50" spans="4:5" ht="12.75">
      <c r="D50" s="38"/>
      <c r="E50"/>
    </row>
    <row r="51" spans="4:5" ht="12.75">
      <c r="D51" s="38"/>
      <c r="E51"/>
    </row>
    <row r="52" spans="4:5" ht="12.75">
      <c r="D52" s="38"/>
      <c r="E52"/>
    </row>
    <row r="53" spans="4:5" ht="12.75">
      <c r="D53" s="38"/>
      <c r="E53"/>
    </row>
    <row r="54" spans="4:5" ht="12.75">
      <c r="D54" s="38"/>
      <c r="E54"/>
    </row>
    <row r="55" spans="4:5" ht="12.75">
      <c r="D55" s="38"/>
      <c r="E55"/>
    </row>
    <row r="56" spans="4:5" ht="12.75">
      <c r="D56" s="38"/>
      <c r="E56"/>
    </row>
    <row r="57" spans="4:5" ht="12.75">
      <c r="D57" s="38"/>
      <c r="E57"/>
    </row>
    <row r="58" spans="4:5" ht="12.75">
      <c r="D58" s="38"/>
      <c r="E58"/>
    </row>
    <row r="59" spans="4:5" ht="12.75">
      <c r="D59" s="38"/>
      <c r="E59"/>
    </row>
    <row r="60" spans="4:5" ht="12.75">
      <c r="D60" s="38"/>
      <c r="E60"/>
    </row>
    <row r="61" spans="4:5" ht="12.75">
      <c r="D61" s="38"/>
      <c r="E61"/>
    </row>
    <row r="62" spans="4:5" ht="12.75">
      <c r="D62" s="38"/>
      <c r="E62"/>
    </row>
    <row r="63" spans="4:5" ht="12.75">
      <c r="D63" s="38"/>
      <c r="E63"/>
    </row>
    <row r="64" spans="4:5" ht="12.75">
      <c r="D64" s="38"/>
      <c r="E64"/>
    </row>
    <row r="65" spans="4:5" ht="12.75">
      <c r="D65" s="38"/>
      <c r="E65"/>
    </row>
    <row r="66" spans="4:5" ht="12.75">
      <c r="D66" s="38"/>
      <c r="E66"/>
    </row>
    <row r="67" spans="4:5" ht="12.75">
      <c r="D67" s="38"/>
      <c r="E67"/>
    </row>
    <row r="68" spans="4:5" ht="12.75">
      <c r="D68" s="38"/>
      <c r="E68"/>
    </row>
    <row r="69" spans="4:5" ht="12.75">
      <c r="D69" s="38"/>
      <c r="E69"/>
    </row>
    <row r="70" spans="4:5" ht="12.75">
      <c r="D70" s="38"/>
      <c r="E70"/>
    </row>
    <row r="71" spans="4:5" ht="12.75">
      <c r="D71" s="38"/>
      <c r="E71"/>
    </row>
    <row r="72" spans="4:5" ht="12.75">
      <c r="D72" s="38"/>
      <c r="E72"/>
    </row>
    <row r="73" spans="4:5" ht="12.75">
      <c r="D73" s="38"/>
      <c r="E73"/>
    </row>
  </sheetData>
  <sheetProtection password="CAF5" sheet="1"/>
  <mergeCells count="3">
    <mergeCell ref="A1:F1"/>
    <mergeCell ref="A3:F3"/>
    <mergeCell ref="E5:E8"/>
  </mergeCells>
  <printOptions horizontalCentered="1"/>
  <pageMargins left="0.75" right="0.75" top="0.83" bottom="1" header="0.67" footer="0.5"/>
  <pageSetup fitToHeight="1" fitToWidth="1" horizontalDpi="600" verticalDpi="600" orientation="landscape" scale="83" r:id="rId1"/>
  <headerFooter scaleWithDoc="0">
    <oddFooter>&amp;L&amp;"Arial,Italic"&amp;9MSDE-LFRO 09 / 2010&amp;C- 17 -&amp;R&amp;"Arial,Italic"&amp;9Selected Financial Data-Part 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B1">
      <selection activeCell="H8" sqref="H8"/>
    </sheetView>
  </sheetViews>
  <sheetFormatPr defaultColWidth="9.140625" defaultRowHeight="12.75"/>
  <cols>
    <col min="1" max="1" width="14.140625" style="0" customWidth="1"/>
    <col min="2" max="2" width="16.421875" style="0" customWidth="1"/>
    <col min="3" max="3" width="16.140625" style="0" customWidth="1"/>
    <col min="4" max="4" width="14.57421875" style="0" customWidth="1"/>
    <col min="5" max="5" width="15.28125" style="0" customWidth="1"/>
    <col min="6" max="6" width="2.7109375" style="0" customWidth="1"/>
    <col min="7" max="7" width="13.00390625" style="0" customWidth="1"/>
    <col min="8" max="8" width="11.7109375" style="0" customWidth="1"/>
    <col min="9" max="9" width="12.7109375" style="0" customWidth="1"/>
    <col min="10" max="10" width="13.140625" style="0" customWidth="1"/>
  </cols>
  <sheetData>
    <row r="1" spans="1:10" ht="12.75">
      <c r="A1" s="397" t="s">
        <v>110</v>
      </c>
      <c r="B1" s="397"/>
      <c r="C1" s="397"/>
      <c r="D1" s="397"/>
      <c r="E1" s="397"/>
      <c r="F1" s="397"/>
      <c r="G1" s="397"/>
      <c r="H1" s="397"/>
      <c r="I1" s="397"/>
      <c r="J1" s="397"/>
    </row>
    <row r="3" spans="1:10" ht="12.75">
      <c r="A3" s="397" t="s">
        <v>245</v>
      </c>
      <c r="B3" s="397"/>
      <c r="C3" s="397"/>
      <c r="D3" s="397"/>
      <c r="E3" s="397"/>
      <c r="F3" s="397"/>
      <c r="G3" s="397"/>
      <c r="H3" s="397"/>
      <c r="I3" s="397"/>
      <c r="J3" s="397"/>
    </row>
    <row r="4" spans="1:10" ht="12.75">
      <c r="A4" s="392" t="s">
        <v>279</v>
      </c>
      <c r="B4" s="397"/>
      <c r="C4" s="397"/>
      <c r="D4" s="397"/>
      <c r="E4" s="397"/>
      <c r="F4" s="397"/>
      <c r="G4" s="397"/>
      <c r="H4" s="397"/>
      <c r="I4" s="397"/>
      <c r="J4" s="397"/>
    </row>
    <row r="5" spans="1:10" ht="13.5" thickBo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 thickTop="1">
      <c r="A6" s="3"/>
      <c r="B6" s="499" t="s">
        <v>186</v>
      </c>
      <c r="C6" s="499"/>
      <c r="D6" s="499"/>
      <c r="E6" s="499"/>
      <c r="F6" s="233"/>
      <c r="G6" s="498" t="s">
        <v>187</v>
      </c>
      <c r="H6" s="498"/>
      <c r="I6" s="498"/>
      <c r="J6" s="498"/>
    </row>
    <row r="7" spans="1:10" ht="12.75">
      <c r="A7" s="3" t="s">
        <v>81</v>
      </c>
      <c r="B7" s="4"/>
      <c r="C7" s="82" t="s">
        <v>113</v>
      </c>
      <c r="D7" s="4" t="s">
        <v>35</v>
      </c>
      <c r="E7" s="4"/>
      <c r="F7" s="4"/>
      <c r="G7" s="4"/>
      <c r="H7" s="4"/>
      <c r="I7" s="4" t="s">
        <v>35</v>
      </c>
      <c r="J7" s="4"/>
    </row>
    <row r="8" spans="1:10" ht="12.75">
      <c r="A8" s="3" t="s">
        <v>34</v>
      </c>
      <c r="B8" s="4" t="s">
        <v>112</v>
      </c>
      <c r="C8" s="81" t="s">
        <v>59</v>
      </c>
      <c r="D8" s="4" t="s">
        <v>40</v>
      </c>
      <c r="E8" s="4" t="s">
        <v>42</v>
      </c>
      <c r="F8" s="4"/>
      <c r="G8" s="4" t="s">
        <v>112</v>
      </c>
      <c r="H8" s="4" t="s">
        <v>113</v>
      </c>
      <c r="I8" s="4" t="s">
        <v>40</v>
      </c>
      <c r="J8" s="4" t="s">
        <v>42</v>
      </c>
    </row>
    <row r="9" spans="1:10" ht="13.5" thickBot="1">
      <c r="A9" s="7" t="s">
        <v>134</v>
      </c>
      <c r="B9" s="8" t="s">
        <v>46</v>
      </c>
      <c r="C9" s="228"/>
      <c r="D9" s="8" t="s">
        <v>41</v>
      </c>
      <c r="E9" s="8" t="s">
        <v>39</v>
      </c>
      <c r="F9" s="8"/>
      <c r="G9" s="8" t="s">
        <v>46</v>
      </c>
      <c r="H9" s="8" t="s">
        <v>122</v>
      </c>
      <c r="I9" s="8" t="s">
        <v>41</v>
      </c>
      <c r="J9" s="8" t="s">
        <v>39</v>
      </c>
    </row>
    <row r="10" spans="1:10" ht="12.75">
      <c r="A10" s="3" t="s">
        <v>0</v>
      </c>
      <c r="B10" s="10">
        <f>SUM(B12:B39)</f>
        <v>6286373907.07</v>
      </c>
      <c r="C10" s="10">
        <f>SUM(C12:C39)</f>
        <v>5359096509.66</v>
      </c>
      <c r="D10" s="10">
        <f>SUM(D12:D39)</f>
        <v>575828153.1</v>
      </c>
      <c r="E10" s="10">
        <f>SUM(E12:E39)</f>
        <v>351449244.31</v>
      </c>
      <c r="F10" s="10"/>
      <c r="G10" s="37">
        <f>+B10/(table11!$B9*1000)</f>
        <v>0.008634417223109349</v>
      </c>
      <c r="H10" s="37">
        <f>+C10/(table11!$B9*1000)</f>
        <v>0.007360789524669019</v>
      </c>
      <c r="I10" s="37">
        <f>+D10/(table11!$B9*1000)</f>
        <v>0.000790907540050421</v>
      </c>
      <c r="J10" s="37">
        <f>+E10/(table11!$B9*1000)</f>
        <v>0.0004827201583899103</v>
      </c>
    </row>
    <row r="11" spans="1:6" ht="12.75">
      <c r="A11" s="3"/>
      <c r="C11" s="4"/>
      <c r="D11" s="4"/>
      <c r="E11" s="4"/>
      <c r="F11" s="4"/>
    </row>
    <row r="12" spans="1:10" ht="12.75">
      <c r="A12" s="3" t="s">
        <v>1</v>
      </c>
      <c r="B12" s="1">
        <f aca="true" t="shared" si="0" ref="B12:B39">SUM(C12:E12)</f>
        <v>30681786.13</v>
      </c>
      <c r="C12" s="40">
        <f>'table 2a'!C11</f>
        <v>28452250</v>
      </c>
      <c r="D12" s="2">
        <f>+table4!$C11</f>
        <v>109693.13</v>
      </c>
      <c r="E12" s="2">
        <f>+table5!$C11</f>
        <v>2119843</v>
      </c>
      <c r="F12" s="2"/>
      <c r="G12" s="36">
        <f>+B12/(table11!$B11*1000)*100</f>
        <v>0.8994874313623743</v>
      </c>
      <c r="H12" s="36">
        <f>+C12/(table11!$B11*1000)*100</f>
        <v>0.8341248830998262</v>
      </c>
      <c r="I12" s="36">
        <f>+D12/(table11!$B11*1000)*100</f>
        <v>0.0032158359791617194</v>
      </c>
      <c r="J12" s="36">
        <f>+E12/(table11!$B11*1000)*100</f>
        <v>0.06214671228338655</v>
      </c>
    </row>
    <row r="13" spans="1:10" ht="12.75">
      <c r="A13" s="3" t="s">
        <v>2</v>
      </c>
      <c r="B13" s="1">
        <f t="shared" si="0"/>
        <v>592373709</v>
      </c>
      <c r="C13" s="40">
        <f>'table 2a'!C12</f>
        <v>551340800</v>
      </c>
      <c r="D13" s="2">
        <f>+table4!$C12</f>
        <v>8088206</v>
      </c>
      <c r="E13" s="2">
        <f>+table5!$C12</f>
        <v>32944703</v>
      </c>
      <c r="F13" s="2"/>
      <c r="G13" s="36">
        <f>+B13/(table11!$B12*1000)*100</f>
        <v>0.7227934980545938</v>
      </c>
      <c r="H13" s="36">
        <f>+C13/(table11!$B12*1000)*100</f>
        <v>0.6727265903224245</v>
      </c>
      <c r="I13" s="36">
        <f>+D13/(table11!$B12*1000)*100</f>
        <v>0.009868943572116151</v>
      </c>
      <c r="J13" s="36">
        <f>+E13/(table11!$B12*1000)*100</f>
        <v>0.04019796416005301</v>
      </c>
    </row>
    <row r="14" spans="1:10" ht="12.75">
      <c r="A14" s="3" t="s">
        <v>3</v>
      </c>
      <c r="B14" s="1">
        <f t="shared" si="0"/>
        <v>234937378.71</v>
      </c>
      <c r="C14" s="40">
        <f>'table 2a'!C13</f>
        <v>200769779</v>
      </c>
      <c r="D14" s="2">
        <f>+table4!$C13</f>
        <v>26623662.71</v>
      </c>
      <c r="E14" s="2">
        <f>+table5!$C13</f>
        <v>7543937</v>
      </c>
      <c r="F14" s="2"/>
      <c r="G14" s="36">
        <f>+B14/(table11!$B13*1000)*100</f>
        <v>0.6999552168756218</v>
      </c>
      <c r="H14" s="36">
        <f>+C14/(table11!$B13*1000)*100</f>
        <v>0.5981587730894099</v>
      </c>
      <c r="I14" s="36">
        <f>+D14/(table11!$B13*1000)*100</f>
        <v>0.07932059048468582</v>
      </c>
      <c r="J14" s="36">
        <f>+E14/(table11!$B13*1000)*100</f>
        <v>0.02247585330152604</v>
      </c>
    </row>
    <row r="15" spans="1:10" ht="12.75">
      <c r="A15" s="3" t="s">
        <v>4</v>
      </c>
      <c r="B15" s="1">
        <f t="shared" si="0"/>
        <v>734408168</v>
      </c>
      <c r="C15" s="40">
        <f>'table 2a'!C14</f>
        <v>646292520</v>
      </c>
      <c r="D15" s="2">
        <f>+table4!$C14</f>
        <v>61738484</v>
      </c>
      <c r="E15" s="2">
        <f>+table5!$C14</f>
        <v>26377164</v>
      </c>
      <c r="F15" s="2"/>
      <c r="G15" s="36">
        <f>+B15/(table11!$B14*1000)*100</f>
        <v>0.8985544506990594</v>
      </c>
      <c r="H15" s="36">
        <f>+C15/(table11!$B14*1000)*100</f>
        <v>0.7907442286228914</v>
      </c>
      <c r="I15" s="36">
        <f>+D15/(table11!$B14*1000)*100</f>
        <v>0.07553754437220891</v>
      </c>
      <c r="J15" s="36">
        <f>+E15/(table11!$B14*1000)*100</f>
        <v>0.03227267770395904</v>
      </c>
    </row>
    <row r="16" spans="1:10" ht="12.75">
      <c r="A16" s="3" t="s">
        <v>5</v>
      </c>
      <c r="B16" s="1">
        <f t="shared" si="0"/>
        <v>116448138.03</v>
      </c>
      <c r="C16" s="40">
        <f>'table 2a'!C15</f>
        <v>100658901.51</v>
      </c>
      <c r="D16" s="2">
        <f>+table4!$C15</f>
        <v>9506711.52</v>
      </c>
      <c r="E16" s="2">
        <f>+table5!$C15</f>
        <v>6282525</v>
      </c>
      <c r="F16" s="2"/>
      <c r="G16" s="36">
        <f>+B16/(table11!$B15*1000)*100</f>
        <v>0.9015333204146331</v>
      </c>
      <c r="H16" s="36">
        <f>+C16/(table11!$B15*1000)*100</f>
        <v>0.7792941582648663</v>
      </c>
      <c r="I16" s="36">
        <f>+D16/(table11!$B15*1000)*100</f>
        <v>0.07360029406946493</v>
      </c>
      <c r="J16" s="36">
        <f>+E16/(table11!$B15*1000)*100</f>
        <v>0.048638868080301774</v>
      </c>
    </row>
    <row r="17" spans="1:10" ht="12.75">
      <c r="A17" s="3"/>
      <c r="B17" s="1"/>
      <c r="C17" s="2"/>
      <c r="D17" s="2"/>
      <c r="E17" s="2"/>
      <c r="F17" s="2"/>
      <c r="G17" s="36"/>
      <c r="H17" s="36"/>
      <c r="I17" s="36"/>
      <c r="J17" s="36"/>
    </row>
    <row r="18" spans="1:10" ht="12.75">
      <c r="A18" s="3" t="s">
        <v>6</v>
      </c>
      <c r="B18" s="1">
        <f t="shared" si="0"/>
        <v>13103739.87</v>
      </c>
      <c r="C18" s="40">
        <f>'table 2a'!C17</f>
        <v>12367678</v>
      </c>
      <c r="D18" s="2">
        <f>+table4!$C17</f>
        <v>736061.87</v>
      </c>
      <c r="E18" s="2">
        <f>+table5!$C17</f>
        <v>0</v>
      </c>
      <c r="F18" s="2"/>
      <c r="G18" s="36">
        <f>+B18/(table11!$B17*1000)*100</f>
        <v>0.45659714328424045</v>
      </c>
      <c r="H18" s="36">
        <f>+C18/(table11!$B17*1000)*100</f>
        <v>0.43094921754268223</v>
      </c>
      <c r="I18" s="36">
        <f>+D18/(table11!$B17*1000)*100</f>
        <v>0.02564792574155824</v>
      </c>
      <c r="J18" s="36">
        <f>+E18/(table11!$B17*1000)*100</f>
        <v>0</v>
      </c>
    </row>
    <row r="19" spans="1:10" ht="12.75">
      <c r="A19" s="3" t="s">
        <v>7</v>
      </c>
      <c r="B19" s="1">
        <f t="shared" si="0"/>
        <v>222600627.5</v>
      </c>
      <c r="C19" s="40">
        <f>'table 2a'!C18</f>
        <v>164164876</v>
      </c>
      <c r="D19" s="2">
        <f>+table4!$C18</f>
        <v>47868929.19</v>
      </c>
      <c r="E19" s="2">
        <f>+table5!$C18</f>
        <v>10566822.31</v>
      </c>
      <c r="F19" s="2"/>
      <c r="G19" s="36">
        <f>+B19/(table11!$B18*1000)*100</f>
        <v>1.09499000443209</v>
      </c>
      <c r="H19" s="36">
        <f>+C19/(table11!$B18*1000)*100</f>
        <v>0.8075399441487805</v>
      </c>
      <c r="I19" s="36">
        <f>+D19/(table11!$B18*1000)*100</f>
        <v>0.23547102977469142</v>
      </c>
      <c r="J19" s="36">
        <f>+E19/(table11!$B18*1000)*100</f>
        <v>0.051979030508617984</v>
      </c>
    </row>
    <row r="20" spans="1:10" ht="12.75">
      <c r="A20" s="3" t="s">
        <v>8</v>
      </c>
      <c r="B20" s="1">
        <f t="shared" si="0"/>
        <v>80676398.13</v>
      </c>
      <c r="C20" s="40">
        <f>'table 2a'!C19</f>
        <v>69915162</v>
      </c>
      <c r="D20" s="2">
        <f>+table4!$C19</f>
        <v>10761236.13</v>
      </c>
      <c r="E20" s="2">
        <f>+table5!$C19</f>
        <v>0</v>
      </c>
      <c r="F20" s="2"/>
      <c r="G20" s="36">
        <f>+B20/(table11!$B19*1000)*100</f>
        <v>0.7705729441747128</v>
      </c>
      <c r="H20" s="36">
        <f>+C20/(table11!$B19*1000)*100</f>
        <v>0.6677880207043894</v>
      </c>
      <c r="I20" s="36">
        <f>+D20/(table11!$B19*1000)*100</f>
        <v>0.1027849234703234</v>
      </c>
      <c r="J20" s="36">
        <f>+E20/(table11!$B19*1000)*100</f>
        <v>0</v>
      </c>
    </row>
    <row r="21" spans="1:10" ht="12.75">
      <c r="A21" s="3" t="s">
        <v>219</v>
      </c>
      <c r="B21" s="1">
        <f t="shared" si="0"/>
        <v>143473677.01</v>
      </c>
      <c r="C21" s="40">
        <f>'table 2a'!C20</f>
        <v>138466100.01</v>
      </c>
      <c r="D21" s="2">
        <f>+table4!$C20</f>
        <v>0</v>
      </c>
      <c r="E21" s="2">
        <f>+table5!$C20</f>
        <v>5007577</v>
      </c>
      <c r="F21" s="2"/>
      <c r="G21" s="36">
        <f>+B21/(table11!$B20*1000)*100</f>
        <v>0.7719285247584873</v>
      </c>
      <c r="H21" s="36">
        <f>+C21/(table11!$B20*1000)*100</f>
        <v>0.7449863594304521</v>
      </c>
      <c r="I21" s="36">
        <f>+D21/(table11!$B20*1000)*100</f>
        <v>0</v>
      </c>
      <c r="J21" s="36">
        <f>+E21/(table11!$B20*1000)*100</f>
        <v>0.02694216532803512</v>
      </c>
    </row>
    <row r="22" spans="1:10" ht="12.75">
      <c r="A22" s="3" t="s">
        <v>10</v>
      </c>
      <c r="B22" s="1">
        <f t="shared" si="0"/>
        <v>26216318</v>
      </c>
      <c r="C22" s="40">
        <f>'table 2a'!C21</f>
        <v>17473300</v>
      </c>
      <c r="D22" s="2">
        <f>+table4!$C21</f>
        <v>7606009</v>
      </c>
      <c r="E22" s="2">
        <f>+table5!$C21</f>
        <v>1137009</v>
      </c>
      <c r="F22" s="2"/>
      <c r="G22" s="36">
        <f>+B22/(table11!$B21*1000)*100</f>
        <v>0.8104433271547156</v>
      </c>
      <c r="H22" s="36">
        <f>+C22/(table11!$B21*1000)*100</f>
        <v>0.5401643124855479</v>
      </c>
      <c r="I22" s="36">
        <f>+D22/(table11!$B21*1000)*100</f>
        <v>0.2351298622609289</v>
      </c>
      <c r="J22" s="36">
        <f>+E22/(table11!$B21*1000)*100</f>
        <v>0.03514915240823887</v>
      </c>
    </row>
    <row r="23" spans="1:10" ht="12.75">
      <c r="A23" s="3"/>
      <c r="B23" s="1"/>
      <c r="C23" s="2"/>
      <c r="D23" s="2"/>
      <c r="E23" s="2"/>
      <c r="F23" s="2"/>
      <c r="G23" s="36"/>
      <c r="H23" s="36"/>
      <c r="I23" s="36"/>
      <c r="J23" s="36"/>
    </row>
    <row r="24" spans="1:10" ht="12.75">
      <c r="A24" s="3" t="s">
        <v>11</v>
      </c>
      <c r="B24" s="1">
        <f t="shared" si="0"/>
        <v>321543511.99</v>
      </c>
      <c r="C24" s="40">
        <f>'table 2a'!C23</f>
        <v>238250808.99</v>
      </c>
      <c r="D24" s="2">
        <f>+table4!$C23</f>
        <v>57657468</v>
      </c>
      <c r="E24" s="2">
        <f>+table5!$C23</f>
        <v>25635235</v>
      </c>
      <c r="F24" s="2"/>
      <c r="G24" s="36">
        <f>+B24/(table11!$B23*1000)*100</f>
        <v>1.0669008686251389</v>
      </c>
      <c r="H24" s="36">
        <f>+C24/(table11!$B23*1000)*100</f>
        <v>0.7905306298637998</v>
      </c>
      <c r="I24" s="36">
        <f>+D24/(table11!$B23*1000)*100</f>
        <v>0.1913109747144867</v>
      </c>
      <c r="J24" s="36">
        <f>+E24/(table11!$B23*1000)*100</f>
        <v>0.08505926404685209</v>
      </c>
    </row>
    <row r="25" spans="1:10" ht="12.75">
      <c r="A25" s="3" t="s">
        <v>12</v>
      </c>
      <c r="B25" s="1">
        <f t="shared" si="0"/>
        <v>30933978.58</v>
      </c>
      <c r="C25" s="40">
        <f>'table 2a'!C24</f>
        <v>22773734.86</v>
      </c>
      <c r="D25" s="2">
        <f>+table4!$C24</f>
        <v>8160243.72</v>
      </c>
      <c r="E25" s="2">
        <f>+table5!$C24</f>
        <v>0</v>
      </c>
      <c r="F25" s="2"/>
      <c r="G25" s="36">
        <f>+B25/(table11!$B24*1000)*100</f>
        <v>0.7100939411733108</v>
      </c>
      <c r="H25" s="36">
        <f>+C25/(table11!$B24*1000)*100</f>
        <v>0.5227743692959336</v>
      </c>
      <c r="I25" s="36">
        <f>+D25/(table11!$B24*1000)*100</f>
        <v>0.1873195718773773</v>
      </c>
      <c r="J25" s="36">
        <f>+E25/(table11!$B24*1000)*100</f>
        <v>0</v>
      </c>
    </row>
    <row r="26" spans="1:10" ht="12.75">
      <c r="A26" s="3" t="s">
        <v>13</v>
      </c>
      <c r="B26" s="1">
        <f t="shared" si="0"/>
        <v>312806749</v>
      </c>
      <c r="C26" s="40">
        <f>'table 2a'!C25</f>
        <v>206978734</v>
      </c>
      <c r="D26" s="2">
        <f>+table4!$C25</f>
        <v>92470793</v>
      </c>
      <c r="E26" s="2">
        <f>+table5!$C25</f>
        <v>13357222</v>
      </c>
      <c r="F26" s="2"/>
      <c r="G26" s="36">
        <f>+B26/(table11!$B25*1000)*100</f>
        <v>1.1956418457208087</v>
      </c>
      <c r="H26" s="36">
        <f>+C26/(table11!$B25*1000)*100</f>
        <v>0.7911352179447902</v>
      </c>
      <c r="I26" s="36">
        <f>+D26/(table11!$B25*1000)*100</f>
        <v>0.3534512921196174</v>
      </c>
      <c r="J26" s="36">
        <f>+E26/(table11!$B25*1000)*100</f>
        <v>0.05105533565640105</v>
      </c>
    </row>
    <row r="27" spans="1:10" ht="12.75">
      <c r="A27" s="3" t="s">
        <v>14</v>
      </c>
      <c r="B27" s="1">
        <f t="shared" si="0"/>
        <v>522466201</v>
      </c>
      <c r="C27" s="40">
        <f>'table 2a'!C26</f>
        <v>454794610</v>
      </c>
      <c r="D27" s="2">
        <f>+table4!$C26</f>
        <v>32418919</v>
      </c>
      <c r="E27" s="2">
        <f>+table5!$C26</f>
        <v>35252672</v>
      </c>
      <c r="F27" s="2"/>
      <c r="G27" s="36">
        <f>+B27/(table11!$B26*1000)*100</f>
        <v>1.0960580287510948</v>
      </c>
      <c r="H27" s="36">
        <f>+C27/(table11!$B26*1000)*100</f>
        <v>0.9540928825044186</v>
      </c>
      <c r="I27" s="36">
        <f>+D27/(table11!$B26*1000)*100</f>
        <v>0.06801017249607964</v>
      </c>
      <c r="J27" s="36">
        <f>+E27/(table11!$B26*1000)*100</f>
        <v>0.07395497375059658</v>
      </c>
    </row>
    <row r="28" spans="1:10" ht="12.75">
      <c r="A28" s="3" t="s">
        <v>15</v>
      </c>
      <c r="B28" s="1">
        <f t="shared" si="0"/>
        <v>18923876</v>
      </c>
      <c r="C28" s="40">
        <f>'table 2a'!C27</f>
        <v>17217000</v>
      </c>
      <c r="D28" s="2">
        <f>+table4!$C27</f>
        <v>1706876</v>
      </c>
      <c r="E28" s="2">
        <f>+table5!$C27</f>
        <v>0</v>
      </c>
      <c r="F28" s="2"/>
      <c r="G28" s="36">
        <f>+B28/(table11!$B27*1000)*100</f>
        <v>0.648660406707667</v>
      </c>
      <c r="H28" s="36">
        <f>+C28/(table11!$B27*1000)*100</f>
        <v>0.590153212919272</v>
      </c>
      <c r="I28" s="36">
        <f>+D28/(table11!$B27*1000)*100</f>
        <v>0.058507193788394925</v>
      </c>
      <c r="J28" s="36">
        <f>+E28/(table11!$B27*1000)*100</f>
        <v>0</v>
      </c>
    </row>
    <row r="29" spans="1:10" ht="12.75">
      <c r="A29" s="3"/>
      <c r="B29" s="1"/>
      <c r="C29" s="2"/>
      <c r="D29" s="2"/>
      <c r="E29" s="2"/>
      <c r="F29" s="2"/>
      <c r="G29" s="36"/>
      <c r="H29" s="36"/>
      <c r="I29" s="36"/>
      <c r="J29" s="36"/>
    </row>
    <row r="30" spans="1:10" ht="12.75">
      <c r="A30" s="3" t="s">
        <v>16</v>
      </c>
      <c r="B30" s="1">
        <f t="shared" si="0"/>
        <v>1741788140.48</v>
      </c>
      <c r="C30" s="40">
        <f>'table 2a'!C29</f>
        <v>1513763860.48</v>
      </c>
      <c r="D30" s="2">
        <f>+table4!$C29</f>
        <v>124590280</v>
      </c>
      <c r="E30" s="2">
        <f>+table5!$C29</f>
        <v>103434000</v>
      </c>
      <c r="F30" s="2"/>
      <c r="G30" s="36">
        <f>+B30/(table11!$B29*1000)*100</f>
        <v>0.9316403567741519</v>
      </c>
      <c r="H30" s="36">
        <f>+C30/(table11!$B29*1000)*100</f>
        <v>0.8096756834391813</v>
      </c>
      <c r="I30" s="36">
        <f>+D30/(table11!$B29*1000)*100</f>
        <v>0.06664032795504288</v>
      </c>
      <c r="J30" s="36">
        <f>+E30/(table11!$B30*1000)*100</f>
        <v>0.11676727572092652</v>
      </c>
    </row>
    <row r="31" spans="1:10" ht="12.75">
      <c r="A31" s="3" t="s">
        <v>17</v>
      </c>
      <c r="B31" s="1">
        <f t="shared" si="0"/>
        <v>673219717.81</v>
      </c>
      <c r="C31" s="40">
        <f>'table 2a'!C30</f>
        <v>594493211.81</v>
      </c>
      <c r="D31" s="2">
        <f>+table4!$C30</f>
        <v>27879215</v>
      </c>
      <c r="E31" s="2">
        <f>+table5!$C30</f>
        <v>50847291</v>
      </c>
      <c r="F31" s="2"/>
      <c r="G31" s="36">
        <f>+B31/(table11!$B30*1000)*100</f>
        <v>0.7600018602227953</v>
      </c>
      <c r="H31" s="36">
        <f>+C31/(table11!$B30*1000)*100</f>
        <v>0.6711270257133769</v>
      </c>
      <c r="I31" s="36">
        <f>+D31/(table11!$B30*1000)*100</f>
        <v>0.031473016462555736</v>
      </c>
      <c r="J31" s="36">
        <f>+E31/(table11!$B30*1000)*100</f>
        <v>0.057401818046862584</v>
      </c>
    </row>
    <row r="32" spans="1:10" ht="12.75">
      <c r="A32" s="3" t="s">
        <v>18</v>
      </c>
      <c r="B32" s="1">
        <f t="shared" si="0"/>
        <v>58725319.17</v>
      </c>
      <c r="C32" s="40">
        <f>'table 2a'!C31</f>
        <v>47176250</v>
      </c>
      <c r="D32" s="2">
        <f>+table4!$C31</f>
        <v>5487863.17</v>
      </c>
      <c r="E32" s="2">
        <f>+table5!$C31</f>
        <v>6061206</v>
      </c>
      <c r="F32" s="2"/>
      <c r="G32" s="36">
        <f>+B32/(table11!$B31*1000)*100</f>
        <v>0.6974277338751368</v>
      </c>
      <c r="H32" s="36">
        <f>+C32/(table11!$B31*1000)*100</f>
        <v>0.5602698392320534</v>
      </c>
      <c r="I32" s="36">
        <f>+D32/(table11!$B31*1000)*100</f>
        <v>0.0651744090720099</v>
      </c>
      <c r="J32" s="36">
        <f>+E32/(table11!$B31*1000)*100</f>
        <v>0.07198348557107352</v>
      </c>
    </row>
    <row r="33" spans="1:10" ht="12.75">
      <c r="A33" s="3" t="s">
        <v>19</v>
      </c>
      <c r="B33" s="1">
        <f t="shared" si="0"/>
        <v>98805538.92</v>
      </c>
      <c r="C33" s="40">
        <f>'table 2a'!C32</f>
        <v>80138192</v>
      </c>
      <c r="D33" s="2">
        <f>+table4!$C32</f>
        <v>12632809.92</v>
      </c>
      <c r="E33" s="2">
        <f>+table5!$C32</f>
        <v>6034537</v>
      </c>
      <c r="F33" s="2"/>
      <c r="G33" s="36">
        <f>+B33/(table11!$B32*1000)*100</f>
        <v>0.8516087601150882</v>
      </c>
      <c r="H33" s="36">
        <f>+C33/(table11!$B32*1000)*100</f>
        <v>0.6907141752674617</v>
      </c>
      <c r="I33" s="36">
        <f>+D33/(table11!$B32*1000)*100</f>
        <v>0.10888267712857072</v>
      </c>
      <c r="J33" s="36">
        <f>+E33/(table11!$B32*1000)*100</f>
        <v>0.05201190771905588</v>
      </c>
    </row>
    <row r="34" spans="1:10" ht="12.75">
      <c r="A34" s="3" t="s">
        <v>20</v>
      </c>
      <c r="B34" s="1">
        <f t="shared" si="0"/>
        <v>10475586</v>
      </c>
      <c r="C34" s="40">
        <f>'table 2a'!C33</f>
        <v>8994324</v>
      </c>
      <c r="D34" s="2">
        <f>+table4!$C33</f>
        <v>740631</v>
      </c>
      <c r="E34" s="2">
        <f>+table5!$C33</f>
        <v>740631</v>
      </c>
      <c r="F34" s="2"/>
      <c r="G34" s="36">
        <f>+B34/(table11!$B33*1000)*100</f>
        <v>0.6417224275414922</v>
      </c>
      <c r="H34" s="36">
        <f>+C34/(table11!$B33*1000)*100</f>
        <v>0.550982010111387</v>
      </c>
      <c r="I34" s="36">
        <f>+D34/(table11!$B33*1000)*100</f>
        <v>0.04537020871505259</v>
      </c>
      <c r="J34" s="36">
        <f>+E34/(table11!$B33*1000)*100</f>
        <v>0.04537020871505259</v>
      </c>
    </row>
    <row r="35" spans="1:10" ht="12.75">
      <c r="A35" s="3"/>
      <c r="B35" s="1"/>
      <c r="C35" s="2"/>
      <c r="D35" s="2"/>
      <c r="E35" s="2"/>
      <c r="F35" s="2"/>
      <c r="G35" s="36"/>
      <c r="H35" s="36"/>
      <c r="I35" s="36"/>
      <c r="J35" s="36"/>
    </row>
    <row r="36" spans="1:10" ht="12.75">
      <c r="A36" s="3" t="s">
        <v>21</v>
      </c>
      <c r="B36" s="1">
        <f t="shared" si="0"/>
        <v>46776832.230000004</v>
      </c>
      <c r="C36" s="40">
        <f>'table 2a'!C35</f>
        <v>34053966</v>
      </c>
      <c r="D36" s="2">
        <f>+table4!$C35</f>
        <v>8929569.23</v>
      </c>
      <c r="E36" s="2">
        <f>+table5!$C35</f>
        <v>3793297</v>
      </c>
      <c r="F36" s="2"/>
      <c r="G36" s="36">
        <f>+B36/(table11!$B35*1000)*100</f>
        <v>0.5109079598909</v>
      </c>
      <c r="H36" s="36">
        <f>+C36/(table11!$B35*1000)*100</f>
        <v>0.37194571470138366</v>
      </c>
      <c r="I36" s="36">
        <f>+D36/(table11!$B35*1000)*100</f>
        <v>0.09753093102952633</v>
      </c>
      <c r="J36" s="36">
        <f>+E36/(table11!$B35*1000)*100</f>
        <v>0.0414313141599899</v>
      </c>
    </row>
    <row r="37" spans="1:10" ht="12.75">
      <c r="A37" s="3" t="s">
        <v>22</v>
      </c>
      <c r="B37" s="1">
        <f t="shared" si="0"/>
        <v>100492776</v>
      </c>
      <c r="C37" s="40">
        <f>'table 2a'!C36</f>
        <v>87741185</v>
      </c>
      <c r="D37" s="2">
        <f>+table4!$C36</f>
        <v>7023305</v>
      </c>
      <c r="E37" s="2">
        <f>+table5!$C36</f>
        <v>5728286</v>
      </c>
      <c r="F37" s="2"/>
      <c r="G37" s="36">
        <f>+B37/(table11!$B36*1000)*100</f>
        <v>0.7298707229769361</v>
      </c>
      <c r="H37" s="36">
        <f>+C37/(table11!$B36*1000)*100</f>
        <v>0.6372569718922195</v>
      </c>
      <c r="I37" s="36">
        <f>+D37/(table11!$B36*1000)*100</f>
        <v>0.05100968350239952</v>
      </c>
      <c r="J37" s="36">
        <f>+E37/(table11!$B36*1000)*100</f>
        <v>0.04160406758231718</v>
      </c>
    </row>
    <row r="38" spans="1:10" ht="12.75">
      <c r="A38" s="3" t="s">
        <v>23</v>
      </c>
      <c r="B38" s="1">
        <f t="shared" si="0"/>
        <v>50204655</v>
      </c>
      <c r="C38" s="40">
        <f>'table 2a'!C37</f>
        <v>50204655</v>
      </c>
      <c r="D38" s="2">
        <f>+table4!$C37</f>
        <v>0</v>
      </c>
      <c r="E38" s="2">
        <f>+table5!$C37</f>
        <v>0</v>
      </c>
      <c r="F38" s="2"/>
      <c r="G38" s="36">
        <f>+B38/(table11!$B37*1000)*100</f>
        <v>0.6962064013432486</v>
      </c>
      <c r="H38" s="36">
        <f>+C38/(table11!$B37*1000)*100</f>
        <v>0.6962064013432486</v>
      </c>
      <c r="I38" s="36">
        <f>+D38/(table11!$B37*1000)*100</f>
        <v>0</v>
      </c>
      <c r="J38" s="36">
        <f>+E38/(table11!$B37*1000)*100</f>
        <v>0</v>
      </c>
    </row>
    <row r="39" spans="1:10" ht="12.75">
      <c r="A39" s="12" t="s">
        <v>24</v>
      </c>
      <c r="B39" s="14">
        <f t="shared" si="0"/>
        <v>104291084.51</v>
      </c>
      <c r="C39" s="41">
        <f>'table 2a'!C38</f>
        <v>72614611</v>
      </c>
      <c r="D39" s="13">
        <f>+table4!$C38</f>
        <v>23091186.51</v>
      </c>
      <c r="E39" s="13">
        <f>+table5!$C38</f>
        <v>8585287</v>
      </c>
      <c r="F39" s="13"/>
      <c r="G39" s="35">
        <f>+B39/(table11!$B38*1000)*100</f>
        <v>0.5108071619914837</v>
      </c>
      <c r="H39" s="35">
        <f>+C39/(table11!$B38*1000)*100</f>
        <v>0.3556590051613566</v>
      </c>
      <c r="I39" s="35">
        <f>+D39/(table11!$B38*1000)*100</f>
        <v>0.11309829122601701</v>
      </c>
      <c r="J39" s="35">
        <f>+E39/(table11!$B38*1000)*100</f>
        <v>0.042049865604110004</v>
      </c>
    </row>
    <row r="40" spans="1:10" ht="12.75">
      <c r="A40" s="58"/>
      <c r="B40" s="1"/>
      <c r="G40" s="36"/>
      <c r="H40" s="36"/>
      <c r="I40" s="36"/>
      <c r="J40" s="36"/>
    </row>
    <row r="41" ht="12.75">
      <c r="A41" s="67"/>
    </row>
  </sheetData>
  <sheetProtection password="CAF5" sheet="1"/>
  <mergeCells count="5">
    <mergeCell ref="G6:J6"/>
    <mergeCell ref="A1:J1"/>
    <mergeCell ref="A3:J3"/>
    <mergeCell ref="A4:J4"/>
    <mergeCell ref="B6:E6"/>
  </mergeCells>
  <printOptions horizontalCentered="1"/>
  <pageMargins left="0.61" right="0.69" top="0.83" bottom="1" header="0.67" footer="0.5"/>
  <pageSetup fitToHeight="1" fitToWidth="1" horizontalDpi="600" verticalDpi="600" orientation="landscape" scale="97" r:id="rId1"/>
  <headerFooter scaleWithDoc="0">
    <oddFooter>&amp;L&amp;"Arial,Italic"&amp;9MSDE-LFRO 09 / 2010&amp;C- 18 -&amp;R&amp;"Arial,Italic"&amp;9Selected Financial Data-Part 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D1">
      <selection activeCell="J7" sqref="J7"/>
    </sheetView>
  </sheetViews>
  <sheetFormatPr defaultColWidth="9.140625" defaultRowHeight="12.75"/>
  <cols>
    <col min="1" max="1" width="14.28125" style="0" bestFit="1" customWidth="1"/>
    <col min="2" max="3" width="15.00390625" style="0" bestFit="1" customWidth="1"/>
    <col min="4" max="5" width="13.421875" style="0" bestFit="1" customWidth="1"/>
    <col min="6" max="6" width="4.7109375" style="0" customWidth="1"/>
    <col min="7" max="7" width="11.7109375" style="0" customWidth="1"/>
    <col min="8" max="8" width="11.421875" style="0" customWidth="1"/>
    <col min="9" max="9" width="11.140625" style="0" customWidth="1"/>
    <col min="10" max="10" width="12.7109375" style="0" customWidth="1"/>
  </cols>
  <sheetData>
    <row r="1" spans="1:10" ht="12.75">
      <c r="A1" s="397" t="s">
        <v>249</v>
      </c>
      <c r="B1" s="397"/>
      <c r="C1" s="397"/>
      <c r="D1" s="397"/>
      <c r="E1" s="397"/>
      <c r="F1" s="397"/>
      <c r="G1" s="397"/>
      <c r="H1" s="397"/>
      <c r="I1" s="397"/>
      <c r="J1" s="397"/>
    </row>
    <row r="3" spans="1:10" ht="12.75">
      <c r="A3" s="397" t="s">
        <v>245</v>
      </c>
      <c r="B3" s="397"/>
      <c r="C3" s="397"/>
      <c r="D3" s="397"/>
      <c r="E3" s="397"/>
      <c r="F3" s="397"/>
      <c r="G3" s="397"/>
      <c r="H3" s="397"/>
      <c r="I3" s="397"/>
      <c r="J3" s="397"/>
    </row>
    <row r="4" spans="1:10" ht="12.75">
      <c r="A4" s="392" t="s">
        <v>279</v>
      </c>
      <c r="B4" s="397"/>
      <c r="C4" s="397"/>
      <c r="D4" s="397"/>
      <c r="E4" s="397"/>
      <c r="F4" s="397"/>
      <c r="G4" s="397"/>
      <c r="H4" s="397"/>
      <c r="I4" s="397"/>
      <c r="J4" s="397"/>
    </row>
    <row r="5" spans="1:10" ht="13.5" thickBo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3.5" thickTop="1">
      <c r="A6" s="3"/>
      <c r="B6" s="499" t="s">
        <v>186</v>
      </c>
      <c r="C6" s="499"/>
      <c r="D6" s="499"/>
      <c r="E6" s="499"/>
      <c r="F6" s="233"/>
      <c r="G6" s="498" t="s">
        <v>244</v>
      </c>
      <c r="H6" s="498"/>
      <c r="I6" s="498"/>
      <c r="J6" s="498"/>
    </row>
    <row r="7" spans="1:10" ht="12.75">
      <c r="A7" s="3" t="s">
        <v>81</v>
      </c>
      <c r="B7" s="4"/>
      <c r="C7" s="82" t="s">
        <v>113</v>
      </c>
      <c r="D7" s="4" t="s">
        <v>35</v>
      </c>
      <c r="E7" s="4"/>
      <c r="F7" s="4"/>
      <c r="G7" s="4"/>
      <c r="H7" s="4"/>
      <c r="I7" s="4" t="s">
        <v>35</v>
      </c>
      <c r="J7" s="4"/>
    </row>
    <row r="8" spans="1:10" ht="12.75">
      <c r="A8" s="3" t="s">
        <v>34</v>
      </c>
      <c r="B8" s="4" t="s">
        <v>112</v>
      </c>
      <c r="C8" s="81" t="s">
        <v>59</v>
      </c>
      <c r="D8" s="4" t="s">
        <v>40</v>
      </c>
      <c r="E8" s="4" t="s">
        <v>42</v>
      </c>
      <c r="F8" s="4"/>
      <c r="G8" s="4" t="s">
        <v>112</v>
      </c>
      <c r="H8" s="4" t="s">
        <v>113</v>
      </c>
      <c r="I8" s="4" t="s">
        <v>40</v>
      </c>
      <c r="J8" s="4" t="s">
        <v>42</v>
      </c>
    </row>
    <row r="9" spans="1:10" ht="13.5" thickBot="1">
      <c r="A9" s="7" t="s">
        <v>134</v>
      </c>
      <c r="B9" s="8" t="s">
        <v>46</v>
      </c>
      <c r="C9" s="228"/>
      <c r="D9" s="8" t="s">
        <v>41</v>
      </c>
      <c r="E9" s="8" t="s">
        <v>39</v>
      </c>
      <c r="F9" s="8"/>
      <c r="G9" s="8" t="s">
        <v>46</v>
      </c>
      <c r="H9" s="8" t="s">
        <v>122</v>
      </c>
      <c r="I9" s="8" t="s">
        <v>41</v>
      </c>
      <c r="J9" s="8" t="s">
        <v>39</v>
      </c>
    </row>
    <row r="10" spans="1:10" ht="12.75">
      <c r="A10" s="3" t="s">
        <v>0</v>
      </c>
      <c r="B10" s="10">
        <f>SUM(B12:B39)</f>
        <v>6286373907.07</v>
      </c>
      <c r="C10" s="10">
        <f>SUM(C12:C39)</f>
        <v>5359096509.66</v>
      </c>
      <c r="D10" s="10">
        <f>SUM(D12:D39)</f>
        <v>575828153.1</v>
      </c>
      <c r="E10" s="10">
        <f>SUM(E12:E39)</f>
        <v>351449244.31</v>
      </c>
      <c r="F10" s="10"/>
      <c r="G10" s="37">
        <f>+B10/table9!C10</f>
        <v>0.0167353426976202</v>
      </c>
      <c r="H10" s="37">
        <f>+C10/table9!C10</f>
        <v>0.014266780494541416</v>
      </c>
      <c r="I10" s="37">
        <f>+D10/table9!C10</f>
        <v>0.001532947549656293</v>
      </c>
      <c r="J10" s="37">
        <f>E10/table9!C10</f>
        <v>0.0009356146534224922</v>
      </c>
    </row>
    <row r="11" spans="1:6" ht="12.75">
      <c r="A11" s="3"/>
      <c r="C11" s="4"/>
      <c r="D11" s="4"/>
      <c r="E11" s="4"/>
      <c r="F11" s="4"/>
    </row>
    <row r="12" spans="1:10" ht="12.75">
      <c r="A12" s="3" t="s">
        <v>1</v>
      </c>
      <c r="B12" s="1">
        <f aca="true" t="shared" si="0" ref="B12:B39">SUM(C12:E12)</f>
        <v>30681786.13</v>
      </c>
      <c r="C12" s="40">
        <f>'table 2a'!C11</f>
        <v>28452250</v>
      </c>
      <c r="D12" s="2">
        <f>+table4!$C11</f>
        <v>109693.13</v>
      </c>
      <c r="E12" s="256">
        <f>+table5!$C11</f>
        <v>2119843</v>
      </c>
      <c r="F12" s="2"/>
      <c r="G12" s="36">
        <f>+B12/table9!C12*100</f>
        <v>1.4663524015121585</v>
      </c>
      <c r="H12" s="36">
        <f>(+C12/table9!C12)*100</f>
        <v>1.3597977946639286</v>
      </c>
      <c r="I12" s="36">
        <f>(+D12/table9!C12)*100</f>
        <v>0.005242484382211728</v>
      </c>
      <c r="J12" s="36">
        <f>(E12/table9!C12)*100</f>
        <v>0.1013121224660182</v>
      </c>
    </row>
    <row r="13" spans="1:10" ht="12.75">
      <c r="A13" s="3" t="s">
        <v>2</v>
      </c>
      <c r="B13" s="1">
        <f t="shared" si="0"/>
        <v>592373709</v>
      </c>
      <c r="C13" s="40">
        <f>'table 2a'!C12</f>
        <v>551340800</v>
      </c>
      <c r="D13" s="2">
        <f>+table4!$C12</f>
        <v>8088206</v>
      </c>
      <c r="E13" s="256">
        <f>+table5!$C12</f>
        <v>32944703</v>
      </c>
      <c r="F13" s="2"/>
      <c r="G13" s="36">
        <f>+B13/table9!C13*100</f>
        <v>1.4482382004651775</v>
      </c>
      <c r="H13" s="36">
        <f>(+C13/table9!C13)*100</f>
        <v>1.3479207397353132</v>
      </c>
      <c r="I13" s="36">
        <f>(+D13/table9!C13)*100</f>
        <v>0.01977408639928625</v>
      </c>
      <c r="J13" s="36">
        <f>(E13/table9!C13)*100</f>
        <v>0.08054337433057775</v>
      </c>
    </row>
    <row r="14" spans="1:10" ht="12.75">
      <c r="A14" s="3" t="s">
        <v>3</v>
      </c>
      <c r="B14" s="1">
        <f t="shared" si="0"/>
        <v>234937378.71</v>
      </c>
      <c r="C14" s="40">
        <f>'table 2a'!C13</f>
        <v>200769779</v>
      </c>
      <c r="D14" s="2">
        <f>+table4!$C13</f>
        <v>26623662.71</v>
      </c>
      <c r="E14" s="256">
        <f>+table5!$C13</f>
        <v>7543937</v>
      </c>
      <c r="F14" s="2"/>
      <c r="G14" s="36">
        <f>+B14/table9!C14*100</f>
        <v>1.2585041689564485</v>
      </c>
      <c r="H14" s="36">
        <f>(+C14/table9!C14)*100</f>
        <v>1.0754763897483208</v>
      </c>
      <c r="I14" s="36">
        <f>(+D14/table9!C14)*100</f>
        <v>0.14261668661411334</v>
      </c>
      <c r="J14" s="36">
        <f>(E14/table9!C14)*100</f>
        <v>0.04041109259401425</v>
      </c>
    </row>
    <row r="15" spans="1:10" ht="12.75">
      <c r="A15" s="3" t="s">
        <v>4</v>
      </c>
      <c r="B15" s="1">
        <f t="shared" si="0"/>
        <v>734408168</v>
      </c>
      <c r="C15" s="40">
        <f>'table 2a'!C14</f>
        <v>646292520</v>
      </c>
      <c r="D15" s="2">
        <f>+table4!$C14</f>
        <v>61738484</v>
      </c>
      <c r="E15" s="256">
        <f>+table5!$C14</f>
        <v>26377164</v>
      </c>
      <c r="F15" s="2"/>
      <c r="G15" s="36">
        <f>+B15/table9!C15*100</f>
        <v>1.6140042290363814</v>
      </c>
      <c r="H15" s="36">
        <f>(+C15/table9!C15)*100</f>
        <v>1.4203530215565088</v>
      </c>
      <c r="I15" s="36">
        <f>(+D15/table9!C15)*100</f>
        <v>0.13568227943550729</v>
      </c>
      <c r="J15" s="36">
        <f>(E15/table9!C15)*100</f>
        <v>0.05796892804436536</v>
      </c>
    </row>
    <row r="16" spans="1:10" ht="12.75">
      <c r="A16" s="3" t="s">
        <v>5</v>
      </c>
      <c r="B16" s="1">
        <f t="shared" si="0"/>
        <v>116448138.03</v>
      </c>
      <c r="C16" s="40">
        <f>'table 2a'!C15</f>
        <v>100658901.51</v>
      </c>
      <c r="D16" s="2">
        <f>+table4!$C15</f>
        <v>9506711.52</v>
      </c>
      <c r="E16" s="256">
        <f>+table5!$C15</f>
        <v>6282525</v>
      </c>
      <c r="F16" s="2"/>
      <c r="G16" s="36">
        <f>+B16/table9!C16*100</f>
        <v>1.7486532563519201</v>
      </c>
      <c r="H16" s="36">
        <f>(+C16/table9!C16)*100</f>
        <v>1.511552858500169</v>
      </c>
      <c r="I16" s="36">
        <f>(+D16/table9!C16)*100</f>
        <v>0.14275833291867288</v>
      </c>
      <c r="J16" s="36">
        <f>(E16/table9!C16)*100</f>
        <v>0.09434206493307849</v>
      </c>
    </row>
    <row r="17" spans="1:10" ht="12.75">
      <c r="A17" s="3"/>
      <c r="B17" s="1"/>
      <c r="C17" s="2"/>
      <c r="D17" s="2"/>
      <c r="E17" s="2"/>
      <c r="F17" s="2"/>
      <c r="G17" s="36"/>
      <c r="H17" s="36"/>
      <c r="I17" s="36"/>
      <c r="J17" s="36"/>
    </row>
    <row r="18" spans="1:10" ht="12.75">
      <c r="A18" s="3" t="s">
        <v>6</v>
      </c>
      <c r="B18" s="1">
        <f t="shared" si="0"/>
        <v>13103739.87</v>
      </c>
      <c r="C18" s="40">
        <f>'table 2a'!C17</f>
        <v>12367678</v>
      </c>
      <c r="D18" s="2">
        <f>+table4!$C17</f>
        <v>736061.87</v>
      </c>
      <c r="E18" s="256">
        <f>+table5!$C17</f>
        <v>0</v>
      </c>
      <c r="F18" s="2"/>
      <c r="G18" s="36">
        <f>+B18/table9!C18*100</f>
        <v>0.9342548349371147</v>
      </c>
      <c r="H18" s="36">
        <f>(+C18/table9!C18)*100</f>
        <v>0.881775972590746</v>
      </c>
      <c r="I18" s="36">
        <f>(+D18/table9!C18)*100</f>
        <v>0.05247886234636877</v>
      </c>
      <c r="J18" s="36">
        <f>(E18/table9!C18)*100</f>
        <v>0</v>
      </c>
    </row>
    <row r="19" spans="1:10" ht="12.75">
      <c r="A19" s="3" t="s">
        <v>7</v>
      </c>
      <c r="B19" s="1">
        <f t="shared" si="0"/>
        <v>222600627.5</v>
      </c>
      <c r="C19" s="40">
        <f>'table 2a'!C18</f>
        <v>164164876</v>
      </c>
      <c r="D19" s="2">
        <f>+table4!$C18</f>
        <v>47868929.19</v>
      </c>
      <c r="E19" s="256">
        <f>+table5!$C18</f>
        <v>10566822.31</v>
      </c>
      <c r="F19" s="2"/>
      <c r="G19" s="36">
        <f>+B19/table9!C19*100</f>
        <v>2.083526149828221</v>
      </c>
      <c r="H19" s="36">
        <f>(+C19/table9!C19)*100</f>
        <v>1.5365716434438503</v>
      </c>
      <c r="I19" s="36">
        <f>(+D19/table9!C19)*100</f>
        <v>0.44804979595864103</v>
      </c>
      <c r="J19" s="36">
        <f>(E19/table9!C19)*100</f>
        <v>0.09890471042572983</v>
      </c>
    </row>
    <row r="20" spans="1:10" ht="12.75">
      <c r="A20" s="3" t="s">
        <v>8</v>
      </c>
      <c r="B20" s="1">
        <f t="shared" si="0"/>
        <v>80676398.13</v>
      </c>
      <c r="C20" s="40">
        <f>'table 2a'!C19</f>
        <v>69915162</v>
      </c>
      <c r="D20" s="2">
        <f>+table4!$C19</f>
        <v>10761236.13</v>
      </c>
      <c r="E20" s="256">
        <f>+table5!$C19</f>
        <v>0</v>
      </c>
      <c r="F20" s="2"/>
      <c r="G20" s="36">
        <f>+B20/table9!C20*100</f>
        <v>1.5286586622531944</v>
      </c>
      <c r="H20" s="36">
        <f>(+C20/table9!C20)*100</f>
        <v>1.3247544572071412</v>
      </c>
      <c r="I20" s="36">
        <f>(+D20/table9!C20)*100</f>
        <v>0.2039042050460532</v>
      </c>
      <c r="J20" s="36">
        <f>(E20/table9!C20)*100</f>
        <v>0</v>
      </c>
    </row>
    <row r="21" spans="1:10" ht="12.75">
      <c r="A21" s="3" t="s">
        <v>219</v>
      </c>
      <c r="B21" s="1">
        <f t="shared" si="0"/>
        <v>143473677.01</v>
      </c>
      <c r="C21" s="40">
        <f>'table 2a'!C20</f>
        <v>138466100.01</v>
      </c>
      <c r="D21" s="2">
        <f>+table4!$C20</f>
        <v>0</v>
      </c>
      <c r="E21" s="256">
        <f>+table5!$C20</f>
        <v>5007577</v>
      </c>
      <c r="F21" s="2"/>
      <c r="G21" s="36">
        <f>+B21/table9!C21*100</f>
        <v>1.5937493580649416</v>
      </c>
      <c r="H21" s="36">
        <f>(+C21/table9!C21)*100</f>
        <v>1.5381236656345836</v>
      </c>
      <c r="I21" s="36">
        <f>(+D21/table9!C21)*100</f>
        <v>0</v>
      </c>
      <c r="J21" s="36">
        <f>(E21/table9!C21)*100</f>
        <v>0.055625692430357865</v>
      </c>
    </row>
    <row r="22" spans="1:10" ht="12.75">
      <c r="A22" s="3" t="s">
        <v>10</v>
      </c>
      <c r="B22" s="1">
        <f t="shared" si="0"/>
        <v>26216318</v>
      </c>
      <c r="C22" s="40">
        <f>'table 2a'!C21</f>
        <v>17473300</v>
      </c>
      <c r="D22" s="2">
        <f>+table4!$C21</f>
        <v>7606009</v>
      </c>
      <c r="E22" s="256">
        <f>+table5!$C21</f>
        <v>1137009</v>
      </c>
      <c r="F22" s="2"/>
      <c r="G22" s="36">
        <f>+B22/table9!C22*100</f>
        <v>1.695469381784028</v>
      </c>
      <c r="H22" s="36">
        <f>(+C22/table9!C22)*100</f>
        <v>1.1300383657509363</v>
      </c>
      <c r="I22" s="36">
        <f>(+D22/table9!C22)*100</f>
        <v>0.49189803759146317</v>
      </c>
      <c r="J22" s="36">
        <f>(E22/table9!C22)*100</f>
        <v>0.07353297844162845</v>
      </c>
    </row>
    <row r="23" spans="1:10" ht="12.75">
      <c r="A23" s="3"/>
      <c r="B23" s="1"/>
      <c r="C23" s="2"/>
      <c r="D23" s="2"/>
      <c r="E23" s="2"/>
      <c r="F23" s="2"/>
      <c r="G23" s="36"/>
      <c r="H23" s="36"/>
      <c r="I23" s="36"/>
      <c r="J23" s="36"/>
    </row>
    <row r="24" spans="1:10" ht="12.75">
      <c r="A24" s="3" t="s">
        <v>11</v>
      </c>
      <c r="B24" s="1">
        <f t="shared" si="0"/>
        <v>321543511.99</v>
      </c>
      <c r="C24" s="40">
        <f>'table 2a'!C23</f>
        <v>238250808.99</v>
      </c>
      <c r="D24" s="2">
        <f>+table4!$C23</f>
        <v>57657468</v>
      </c>
      <c r="E24" s="2">
        <f>+table5!$C23</f>
        <v>25635235</v>
      </c>
      <c r="F24" s="2"/>
      <c r="G24" s="36">
        <f>+B24/table9!C24*100</f>
        <v>2.0768082064559334</v>
      </c>
      <c r="H24" s="36">
        <f>(+C24/table9!C24)*100</f>
        <v>1.5388313458509013</v>
      </c>
      <c r="I24" s="36">
        <f>(+D24/table9!C24)*100</f>
        <v>0.37240217339417003</v>
      </c>
      <c r="J24" s="36">
        <f>(E24/table9!C24)*100</f>
        <v>0.16557468721086221</v>
      </c>
    </row>
    <row r="25" spans="1:10" ht="12.75">
      <c r="A25" s="3" t="s">
        <v>12</v>
      </c>
      <c r="B25" s="1">
        <f t="shared" si="0"/>
        <v>30933978.58</v>
      </c>
      <c r="C25" s="40">
        <f>'table 2a'!C24</f>
        <v>22773734.86</v>
      </c>
      <c r="D25" s="2">
        <f>+table4!$C24</f>
        <v>8160243.72</v>
      </c>
      <c r="E25" s="2">
        <f>+table5!$C24</f>
        <v>0</v>
      </c>
      <c r="F25" s="2"/>
      <c r="G25" s="36">
        <f>+B25/table9!C25*100</f>
        <v>1.5905101416064438</v>
      </c>
      <c r="H25" s="36">
        <f>(+C25/table9!C25)*100</f>
        <v>1.1709407557586216</v>
      </c>
      <c r="I25" s="36">
        <f>(+D25/table9!C25)*100</f>
        <v>0.41956938584782244</v>
      </c>
      <c r="J25" s="36">
        <f>(E25/table9!C25)*100</f>
        <v>0</v>
      </c>
    </row>
    <row r="26" spans="1:10" ht="12.75">
      <c r="A26" s="3" t="s">
        <v>13</v>
      </c>
      <c r="B26" s="1">
        <f t="shared" si="0"/>
        <v>312806749</v>
      </c>
      <c r="C26" s="40">
        <f>'table 2a'!C25</f>
        <v>206978734</v>
      </c>
      <c r="D26" s="2">
        <f>+table4!$C25</f>
        <v>92470793</v>
      </c>
      <c r="E26" s="2">
        <f>+table5!$C25</f>
        <v>13357222</v>
      </c>
      <c r="F26" s="2"/>
      <c r="G26" s="36">
        <f>+B26/table9!C26*100</f>
        <v>2.218055513627454</v>
      </c>
      <c r="H26" s="36">
        <f>(+C26/table9!C26)*100</f>
        <v>1.4676483919224206</v>
      </c>
      <c r="I26" s="36">
        <f>(+D26/table9!C26)*100</f>
        <v>0.6556935006001198</v>
      </c>
      <c r="J26" s="36">
        <f>(E26/table9!C26)*100</f>
        <v>0.09471362110491399</v>
      </c>
    </row>
    <row r="27" spans="1:10" ht="12.75">
      <c r="A27" s="3" t="s">
        <v>14</v>
      </c>
      <c r="B27" s="1">
        <f t="shared" si="0"/>
        <v>522466201</v>
      </c>
      <c r="C27" s="40">
        <f>'table 2a'!C26</f>
        <v>454794610</v>
      </c>
      <c r="D27" s="2">
        <f>+table4!$C26</f>
        <v>32418919</v>
      </c>
      <c r="E27" s="2">
        <f>+table5!$C26</f>
        <v>35252672</v>
      </c>
      <c r="F27" s="2"/>
      <c r="G27" s="36">
        <f>+B27/table9!C27*100</f>
        <v>2.114873277537264</v>
      </c>
      <c r="H27" s="36">
        <f>(+C27/table9!C27)*100</f>
        <v>1.8409477313863252</v>
      </c>
      <c r="I27" s="36">
        <f>(+D27/table9!C27)*100</f>
        <v>0.13122744657648214</v>
      </c>
      <c r="J27" s="36">
        <f>(E27/table9!C27)*100</f>
        <v>0.14269809957445675</v>
      </c>
    </row>
    <row r="28" spans="1:10" ht="12.75">
      <c r="A28" s="3" t="s">
        <v>15</v>
      </c>
      <c r="B28" s="1">
        <f t="shared" si="0"/>
        <v>18923876</v>
      </c>
      <c r="C28" s="40">
        <f>'table 2a'!C27</f>
        <v>17217000</v>
      </c>
      <c r="D28" s="2">
        <f>+table4!$C27</f>
        <v>1706876</v>
      </c>
      <c r="E28" s="2">
        <f>+table5!$C27</f>
        <v>0</v>
      </c>
      <c r="F28" s="2"/>
      <c r="G28" s="36">
        <f>+B28/table9!C28*100</f>
        <v>1.3825049943228855</v>
      </c>
      <c r="H28" s="36">
        <f>(+C28/table9!C28)*100</f>
        <v>1.2578072529780433</v>
      </c>
      <c r="I28" s="36">
        <f>(+D28/table9!C28)*100</f>
        <v>0.12469774134484234</v>
      </c>
      <c r="J28" s="36">
        <f>(E28/table9!C28)*100</f>
        <v>0</v>
      </c>
    </row>
    <row r="29" spans="1:10" ht="12.75">
      <c r="A29" s="3"/>
      <c r="B29" s="1"/>
      <c r="C29" s="2"/>
      <c r="D29" s="2"/>
      <c r="E29" s="2"/>
      <c r="F29" s="2"/>
      <c r="G29" s="36"/>
      <c r="H29" s="36"/>
      <c r="I29" s="36"/>
      <c r="J29" s="36"/>
    </row>
    <row r="30" spans="1:10" ht="12.75">
      <c r="A30" s="3" t="s">
        <v>16</v>
      </c>
      <c r="B30" s="1">
        <f t="shared" si="0"/>
        <v>1741788140.48</v>
      </c>
      <c r="C30" s="40">
        <f>'table 2a'!C29</f>
        <v>1513763860.48</v>
      </c>
      <c r="D30" s="2">
        <f>+table4!$C29</f>
        <v>124590280</v>
      </c>
      <c r="E30" s="2">
        <f>+table5!$C29</f>
        <v>103434000</v>
      </c>
      <c r="F30" s="2"/>
      <c r="G30" s="36">
        <f>+B30/table9!C30*100</f>
        <v>1.723427810167014</v>
      </c>
      <c r="H30" s="36">
        <f>(+C30/table9!C30)*100</f>
        <v>1.4978071526299772</v>
      </c>
      <c r="I30" s="36">
        <f>(+D30/table9!C30)*100</f>
        <v>0.12327696373528078</v>
      </c>
      <c r="J30" s="36">
        <f>(E30/table9!C30)*100</f>
        <v>0.1023436938017559</v>
      </c>
    </row>
    <row r="31" spans="1:10" ht="12.75">
      <c r="A31" s="3" t="s">
        <v>17</v>
      </c>
      <c r="B31" s="1">
        <f t="shared" si="0"/>
        <v>673219717.81</v>
      </c>
      <c r="C31" s="40">
        <f>'table 2a'!C30</f>
        <v>594493211.81</v>
      </c>
      <c r="D31" s="2">
        <f>+table4!$C30</f>
        <v>27879215</v>
      </c>
      <c r="E31" s="2">
        <f>+table5!$C30</f>
        <v>50847291</v>
      </c>
      <c r="F31" s="2"/>
      <c r="G31" s="36">
        <f>+B31/table9!C31*100</f>
        <v>1.6105460792103783</v>
      </c>
      <c r="H31" s="36">
        <f>(+C31/table9!C31)*100</f>
        <v>1.422208360908407</v>
      </c>
      <c r="I31" s="36">
        <f>(+D31/table9!C31)*100</f>
        <v>0.0666955515738256</v>
      </c>
      <c r="J31" s="36">
        <f>(E31/table9!C31)*100</f>
        <v>0.12164216672814562</v>
      </c>
    </row>
    <row r="32" spans="1:10" ht="12.75">
      <c r="A32" s="3" t="s">
        <v>18</v>
      </c>
      <c r="B32" s="1">
        <f t="shared" si="0"/>
        <v>58725319.17</v>
      </c>
      <c r="C32" s="40">
        <f>'table 2a'!C31</f>
        <v>47176250</v>
      </c>
      <c r="D32" s="2">
        <f>+table4!$C31</f>
        <v>5487863.17</v>
      </c>
      <c r="E32" s="2">
        <f>+table5!$C31</f>
        <v>6061206</v>
      </c>
      <c r="F32" s="2"/>
      <c r="G32" s="36">
        <f>+B32/table9!C32*100</f>
        <v>1.4876413711527623</v>
      </c>
      <c r="H32" s="36">
        <f>(+C32/table9!C32)*100</f>
        <v>1.1950780724185122</v>
      </c>
      <c r="I32" s="36">
        <f>(+D32/table9!C32)*100</f>
        <v>0.13901963252484345</v>
      </c>
      <c r="J32" s="36">
        <f>(E32/table9!C32)*100</f>
        <v>0.15354366620940665</v>
      </c>
    </row>
    <row r="33" spans="1:10" ht="12.75">
      <c r="A33" s="3" t="s">
        <v>19</v>
      </c>
      <c r="B33" s="1">
        <f t="shared" si="0"/>
        <v>98805538.92</v>
      </c>
      <c r="C33" s="40">
        <f>'table 2a'!C32</f>
        <v>80138192</v>
      </c>
      <c r="D33" s="2">
        <f>+table4!$C32</f>
        <v>12632809.92</v>
      </c>
      <c r="E33" s="2">
        <f>+table5!$C32</f>
        <v>6034537</v>
      </c>
      <c r="F33" s="2"/>
      <c r="G33" s="36">
        <f>+B33/table9!C33*100</f>
        <v>1.7262747966923249</v>
      </c>
      <c r="H33" s="36">
        <f>(+C33/table9!C33)*100</f>
        <v>1.400129411915873</v>
      </c>
      <c r="I33" s="36">
        <f>(+D33/table9!C33)*100</f>
        <v>0.2207133488129431</v>
      </c>
      <c r="J33" s="36">
        <f>(E33/table9!C33)*100</f>
        <v>0.10543203596350884</v>
      </c>
    </row>
    <row r="34" spans="1:10" ht="12.75">
      <c r="A34" s="3" t="s">
        <v>20</v>
      </c>
      <c r="B34" s="1">
        <f t="shared" si="0"/>
        <v>10475586</v>
      </c>
      <c r="C34" s="40">
        <f>'table 2a'!C33</f>
        <v>8994324</v>
      </c>
      <c r="D34" s="2">
        <f>+table4!$C33</f>
        <v>740631</v>
      </c>
      <c r="E34" s="2">
        <f>+table5!$C33</f>
        <v>740631</v>
      </c>
      <c r="F34" s="2"/>
      <c r="G34" s="36">
        <f>+B34/table9!C34*100</f>
        <v>1.3374195216755764</v>
      </c>
      <c r="H34" s="36">
        <f>(+C34/table9!C34)*100</f>
        <v>1.1483065961059513</v>
      </c>
      <c r="I34" s="36">
        <f>(+D34/table9!C34)*100</f>
        <v>0.09455646278481258</v>
      </c>
      <c r="J34" s="36">
        <f>(E34/table9!C34)*100</f>
        <v>0.09455646278481258</v>
      </c>
    </row>
    <row r="35" spans="1:10" ht="12.75">
      <c r="A35" s="3"/>
      <c r="B35" s="1"/>
      <c r="C35" s="2"/>
      <c r="D35" s="2"/>
      <c r="E35" s="2"/>
      <c r="F35" s="2"/>
      <c r="G35" s="36"/>
      <c r="H35" s="36"/>
      <c r="I35" s="36"/>
      <c r="J35" s="36"/>
    </row>
    <row r="36" spans="1:10" ht="12.75">
      <c r="A36" s="3" t="s">
        <v>21</v>
      </c>
      <c r="B36" s="1">
        <f t="shared" si="0"/>
        <v>46776832.230000004</v>
      </c>
      <c r="C36" s="40">
        <f>'table 2a'!C35</f>
        <v>34053966</v>
      </c>
      <c r="D36" s="2">
        <f>+table4!$C35</f>
        <v>8929569.23</v>
      </c>
      <c r="E36" s="2">
        <f>+table5!$C35</f>
        <v>3793297</v>
      </c>
      <c r="F36" s="2"/>
      <c r="G36" s="36">
        <f>+B36/table9!C36*100</f>
        <v>1.1499797113296006</v>
      </c>
      <c r="H36" s="36">
        <f>(+C36/table9!C36)*100</f>
        <v>0.8371958536600552</v>
      </c>
      <c r="I36" s="36">
        <f>(+D36/table9!C36)*100</f>
        <v>0.21952797904145477</v>
      </c>
      <c r="J36" s="36">
        <f>(E36/table9!C36)*100</f>
        <v>0.09325587862809068</v>
      </c>
    </row>
    <row r="37" spans="1:10" ht="12.75">
      <c r="A37" s="3" t="s">
        <v>22</v>
      </c>
      <c r="B37" s="1">
        <f t="shared" si="0"/>
        <v>100492776</v>
      </c>
      <c r="C37" s="40">
        <f>'table 2a'!C36</f>
        <v>87741185</v>
      </c>
      <c r="D37" s="2">
        <f>+table4!$C36</f>
        <v>7023305</v>
      </c>
      <c r="E37" s="2">
        <f>+table5!$C36</f>
        <v>5728286</v>
      </c>
      <c r="F37" s="2"/>
      <c r="G37" s="36">
        <f>+B37/table9!C37*100</f>
        <v>1.4205171463899897</v>
      </c>
      <c r="H37" s="36">
        <f>(+C37/table9!C37)*100</f>
        <v>1.2402668400470516</v>
      </c>
      <c r="I37" s="36">
        <f>(+D37/table9!C37)*100</f>
        <v>0.09927803344617077</v>
      </c>
      <c r="J37" s="36">
        <f>(E37/table9!C37)*100</f>
        <v>0.0809722728967675</v>
      </c>
    </row>
    <row r="38" spans="1:10" ht="12.75">
      <c r="A38" s="3" t="s">
        <v>23</v>
      </c>
      <c r="B38" s="1">
        <f t="shared" si="0"/>
        <v>50204655</v>
      </c>
      <c r="C38" s="40">
        <f>'table 2a'!C37</f>
        <v>50204655</v>
      </c>
      <c r="D38" s="2">
        <f>+table4!$C37</f>
        <v>0</v>
      </c>
      <c r="E38" s="2">
        <f>+table5!$C37</f>
        <v>0</v>
      </c>
      <c r="F38" s="2"/>
      <c r="G38" s="36">
        <f>+B38/table9!C38*100</f>
        <v>1.273778379435947</v>
      </c>
      <c r="H38" s="36">
        <f>(+C38/table9!C38)*100</f>
        <v>1.273778379435947</v>
      </c>
      <c r="I38" s="36">
        <f>(+D38/table9!C38)*100</f>
        <v>0</v>
      </c>
      <c r="J38" s="36">
        <f>(E38/table9!C38)*100</f>
        <v>0</v>
      </c>
    </row>
    <row r="39" spans="1:10" ht="12.75">
      <c r="A39" s="12" t="s">
        <v>24</v>
      </c>
      <c r="B39" s="14">
        <f t="shared" si="0"/>
        <v>104291084.51</v>
      </c>
      <c r="C39" s="41">
        <f>'table 2a'!C38</f>
        <v>72614611</v>
      </c>
      <c r="D39" s="13">
        <f>+table4!$C38</f>
        <v>23091186.51</v>
      </c>
      <c r="E39" s="13">
        <f>+table5!$C38</f>
        <v>8585287</v>
      </c>
      <c r="F39" s="13"/>
      <c r="G39" s="35">
        <f>+B39/table9!C39*100</f>
        <v>1.3218531573677674</v>
      </c>
      <c r="H39" s="35">
        <f>(+C39/table9!C39)*100</f>
        <v>0.9203648928607946</v>
      </c>
      <c r="I39" s="35">
        <f>(+D39/table9!C39)*100</f>
        <v>0.29267274320735226</v>
      </c>
      <c r="J39" s="35">
        <f>(E39/table9!C39)*100</f>
        <v>0.1088155212996207</v>
      </c>
    </row>
  </sheetData>
  <sheetProtection password="CAF5" sheet="1"/>
  <mergeCells count="5">
    <mergeCell ref="A1:J1"/>
    <mergeCell ref="A3:J3"/>
    <mergeCell ref="A4:J4"/>
    <mergeCell ref="B6:E6"/>
    <mergeCell ref="G6:J6"/>
  </mergeCells>
  <printOptions/>
  <pageMargins left="0.7" right="0.7" top="0.72" bottom="0.75" header="0.48" footer="0.3"/>
  <pageSetup horizontalDpi="600" verticalDpi="600" orientation="landscape" r:id="rId1"/>
  <headerFooter scaleWithDoc="0">
    <oddFooter>&amp;L&amp;"Arial,Italic"&amp;9MSDE - LFRO  09 / 2010&amp;C&amp;9- 19 -&amp;R&amp;"Arial,Italic"&amp;9Selected Financial Data Part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workbookViewId="0" topLeftCell="G22">
      <selection activeCell="D16" sqref="D16"/>
    </sheetView>
  </sheetViews>
  <sheetFormatPr defaultColWidth="9.140625" defaultRowHeight="12.75"/>
  <cols>
    <col min="1" max="1" width="14.140625" style="90" customWidth="1"/>
    <col min="2" max="2" width="16.7109375" style="90" customWidth="1"/>
    <col min="3" max="3" width="17.7109375" style="90" bestFit="1" customWidth="1"/>
    <col min="4" max="4" width="16.28125" style="90" customWidth="1"/>
    <col min="5" max="5" width="17.7109375" style="90" bestFit="1" customWidth="1"/>
    <col min="6" max="6" width="14.8515625" style="90" bestFit="1" customWidth="1"/>
    <col min="7" max="7" width="13.28125" style="90" customWidth="1"/>
    <col min="8" max="8" width="2.7109375" style="90" customWidth="1"/>
    <col min="9" max="12" width="9.140625" style="90" customWidth="1"/>
    <col min="14" max="14" width="16.00390625" style="55" bestFit="1" customWidth="1"/>
    <col min="15" max="15" width="15.00390625" style="56" bestFit="1" customWidth="1"/>
    <col min="16" max="16" width="14.00390625" style="56" bestFit="1" customWidth="1"/>
    <col min="17" max="17" width="16.00390625" style="56" bestFit="1" customWidth="1"/>
  </cols>
  <sheetData>
    <row r="1" spans="1:12" ht="12.75">
      <c r="A1" s="390" t="s">
        <v>90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spans="1:12" ht="12.75">
      <c r="A2" s="23"/>
      <c r="B2" s="23"/>
      <c r="C2" s="88"/>
      <c r="D2" s="89"/>
      <c r="E2" s="23"/>
      <c r="F2" s="23"/>
      <c r="G2" s="23"/>
      <c r="H2" s="23"/>
      <c r="I2" s="23"/>
      <c r="J2" s="23"/>
      <c r="K2" s="23"/>
      <c r="L2" s="23"/>
    </row>
    <row r="3" spans="1:17" s="34" customFormat="1" ht="12.75">
      <c r="A3" s="392" t="s">
        <v>274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N3" s="67"/>
      <c r="O3" s="87"/>
      <c r="P3" s="87"/>
      <c r="Q3" s="87"/>
    </row>
    <row r="4" spans="1:12" ht="12.75">
      <c r="A4" s="391" t="s">
        <v>147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</row>
    <row r="5" ht="13.5" thickBot="1">
      <c r="I5" s="91"/>
    </row>
    <row r="6" spans="1:59" ht="15" customHeight="1" thickTop="1">
      <c r="A6" s="92" t="s">
        <v>81</v>
      </c>
      <c r="B6" s="93" t="s">
        <v>44</v>
      </c>
      <c r="C6" s="394" t="s">
        <v>84</v>
      </c>
      <c r="D6" s="394"/>
      <c r="E6" s="395"/>
      <c r="F6" s="395"/>
      <c r="G6" s="92"/>
      <c r="H6" s="92"/>
      <c r="I6" s="394" t="s">
        <v>86</v>
      </c>
      <c r="J6" s="394"/>
      <c r="K6" s="394"/>
      <c r="L6" s="394"/>
      <c r="M6" s="19"/>
      <c r="N6" s="78"/>
      <c r="O6" s="69"/>
      <c r="P6" s="69"/>
      <c r="Q6" s="6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</row>
    <row r="7" spans="1:12" ht="12.75">
      <c r="A7" s="94" t="s">
        <v>34</v>
      </c>
      <c r="B7" s="95" t="s">
        <v>87</v>
      </c>
      <c r="C7" s="393" t="s">
        <v>81</v>
      </c>
      <c r="D7" s="393"/>
      <c r="E7" s="96"/>
      <c r="F7" s="96"/>
      <c r="G7" s="95" t="s">
        <v>83</v>
      </c>
      <c r="H7" s="95"/>
      <c r="I7" s="97"/>
      <c r="J7" s="97"/>
      <c r="K7" s="97"/>
      <c r="L7" s="97" t="s">
        <v>83</v>
      </c>
    </row>
    <row r="8" spans="1:12" ht="13.5" thickBot="1">
      <c r="A8" s="98" t="s">
        <v>134</v>
      </c>
      <c r="B8" s="99" t="s">
        <v>88</v>
      </c>
      <c r="C8" s="100" t="s">
        <v>215</v>
      </c>
      <c r="D8" s="100" t="s">
        <v>217</v>
      </c>
      <c r="E8" s="100" t="s">
        <v>45</v>
      </c>
      <c r="F8" s="100" t="s">
        <v>51</v>
      </c>
      <c r="G8" s="100" t="s">
        <v>85</v>
      </c>
      <c r="H8" s="100"/>
      <c r="I8" s="99" t="s">
        <v>81</v>
      </c>
      <c r="J8" s="99" t="s">
        <v>45</v>
      </c>
      <c r="K8" s="101" t="s">
        <v>51</v>
      </c>
      <c r="L8" s="100" t="s">
        <v>85</v>
      </c>
    </row>
    <row r="9" spans="1:17" ht="12.75">
      <c r="A9" s="102" t="s">
        <v>0</v>
      </c>
      <c r="B9" s="103">
        <f aca="true" t="shared" si="0" ref="B9:G9">SUM(B11:B38)</f>
        <v>11525769393.620003</v>
      </c>
      <c r="C9" s="104">
        <f t="shared" si="0"/>
        <v>5359096509.66</v>
      </c>
      <c r="D9" s="103">
        <f t="shared" si="0"/>
        <v>106697358.78999999</v>
      </c>
      <c r="E9" s="104">
        <f t="shared" si="0"/>
        <v>5340712543.87</v>
      </c>
      <c r="F9" s="104">
        <f t="shared" si="0"/>
        <v>681345051.0399998</v>
      </c>
      <c r="G9" s="103">
        <f t="shared" si="0"/>
        <v>37917930.260000005</v>
      </c>
      <c r="H9" s="103"/>
      <c r="I9" s="105">
        <f>IF(B9&lt;&gt;0,((+C9+D9)/B9),(IF(C9&lt;&gt;0,1,0)))</f>
        <v>0.47422377472479593</v>
      </c>
      <c r="J9" s="105">
        <f>IF($B9&lt;&gt;0,(E9/$B9),(IF(E9&lt;&gt;0,1,0)))</f>
        <v>0.46337145586361533</v>
      </c>
      <c r="K9" s="105">
        <f>IF($B9&lt;&gt;0,(F9/$B9),(IF(F9&lt;&gt;0,1,0)))</f>
        <v>0.05911493001214764</v>
      </c>
      <c r="L9" s="105">
        <f>IF($B9&lt;&gt;0,(G9/$B9),(IF(G9&lt;&gt;0,1,0)))</f>
        <v>0.0032898393994408017</v>
      </c>
      <c r="M9" s="56"/>
      <c r="N9" s="70"/>
      <c r="O9" s="70"/>
      <c r="P9" s="70"/>
      <c r="Q9" s="70"/>
    </row>
    <row r="10" spans="1:14" ht="12.75">
      <c r="A10" s="102"/>
      <c r="B10" s="106"/>
      <c r="C10" s="107"/>
      <c r="D10" s="108"/>
      <c r="E10" s="109"/>
      <c r="F10" s="109"/>
      <c r="G10" s="109"/>
      <c r="H10" s="109"/>
      <c r="I10" s="110"/>
      <c r="J10" s="110"/>
      <c r="K10" s="110"/>
      <c r="L10" s="110"/>
      <c r="M10" s="56"/>
      <c r="N10" s="68"/>
    </row>
    <row r="11" spans="1:17" ht="12.75">
      <c r="A11" s="111" t="s">
        <v>1</v>
      </c>
      <c r="B11" s="112">
        <f aca="true" t="shared" si="1" ref="B11:B38">SUM(C11:G11)</f>
        <v>134865604.26</v>
      </c>
      <c r="C11" s="169">
        <v>28452250</v>
      </c>
      <c r="D11" s="169">
        <v>741457.48</v>
      </c>
      <c r="E11" s="169">
        <f>state1!C12</f>
        <v>93726158.75999999</v>
      </c>
      <c r="F11" s="208">
        <f>fed1!B12-'table 6'!I12</f>
        <v>11724972.93</v>
      </c>
      <c r="G11" s="169">
        <v>220765.09</v>
      </c>
      <c r="H11" s="112"/>
      <c r="I11" s="114">
        <f>IF(B11&lt;&gt;0,((+C11+D11)/B11*100),(IF(C11&lt;&gt;0,1,0)))</f>
        <v>21.646518132020567</v>
      </c>
      <c r="J11" s="114">
        <f>IF($B11&lt;&gt;0,(E11/$B11*100),(IF(E11&lt;&gt;0,1,0)))</f>
        <v>69.49596917188053</v>
      </c>
      <c r="K11" s="114">
        <f aca="true" t="shared" si="2" ref="K11:L26">IF($B11&lt;&gt;0,(F11/$B11*100),(IF(F11&lt;&gt;0,1,0)))</f>
        <v>8.69382003983467</v>
      </c>
      <c r="L11" s="114">
        <f t="shared" si="2"/>
        <v>0.1636926562642311</v>
      </c>
      <c r="M11" s="72"/>
      <c r="N11" s="71"/>
      <c r="Q11" s="72"/>
    </row>
    <row r="12" spans="1:17" ht="12.75">
      <c r="A12" s="111" t="s">
        <v>2</v>
      </c>
      <c r="B12" s="112">
        <f t="shared" si="1"/>
        <v>929248320.4699999</v>
      </c>
      <c r="C12" s="169">
        <v>551340800</v>
      </c>
      <c r="D12" s="243">
        <v>3722125.07</v>
      </c>
      <c r="E12" s="169">
        <f>state1!C13</f>
        <v>328199484.21</v>
      </c>
      <c r="F12" s="208">
        <f>fed1!B13-'table 6'!I13</f>
        <v>45403290.18999999</v>
      </c>
      <c r="G12" s="169">
        <v>582621</v>
      </c>
      <c r="H12" s="115"/>
      <c r="I12" s="114">
        <f>IF(B12&lt;&gt;0,((+C12+D12)/B12*100),(IF(C12&lt;&gt;0,1,0)))</f>
        <v>59.73246470752377</v>
      </c>
      <c r="J12" s="114">
        <f>IF($B12&lt;&gt;0,(E12/$B12*100),(IF(E12&lt;&gt;0,1,0)))</f>
        <v>35.318813817602766</v>
      </c>
      <c r="K12" s="114">
        <f t="shared" si="2"/>
        <v>4.886023379308954</v>
      </c>
      <c r="L12" s="114">
        <f t="shared" si="2"/>
        <v>0.06269809556452241</v>
      </c>
      <c r="M12" s="56"/>
      <c r="N12" s="71"/>
      <c r="Q12" s="72"/>
    </row>
    <row r="13" spans="1:17" ht="12.75">
      <c r="A13" s="111" t="s">
        <v>3</v>
      </c>
      <c r="B13" s="112">
        <f t="shared" si="1"/>
        <v>1305760109.3600001</v>
      </c>
      <c r="C13" s="169">
        <f>208313716-7543937</f>
        <v>200769779</v>
      </c>
      <c r="D13" s="169">
        <v>25191926.64</v>
      </c>
      <c r="E13" s="169">
        <f>state1!C14</f>
        <v>906918573.01</v>
      </c>
      <c r="F13" s="208">
        <f>fed1!B14-'table 6'!I14</f>
        <v>151498894.82</v>
      </c>
      <c r="G13" s="169">
        <v>21380935.89</v>
      </c>
      <c r="H13" s="115"/>
      <c r="I13" s="114">
        <f>IF(B13&lt;&gt;0,((+C13+D13)/B13*100),(IF(C13&lt;&gt;0,1,0)))</f>
        <v>17.304993774909537</v>
      </c>
      <c r="J13" s="114">
        <f>IF($B13&lt;&gt;0,(E13/$B13*100),(IF(E13&lt;&gt;0,1,0)))</f>
        <v>69.45522125457741</v>
      </c>
      <c r="K13" s="114">
        <f t="shared" si="2"/>
        <v>11.602352816112221</v>
      </c>
      <c r="L13" s="114">
        <f t="shared" si="2"/>
        <v>1.6374321544008235</v>
      </c>
      <c r="M13" s="56"/>
      <c r="N13" s="71"/>
      <c r="Q13" s="72"/>
    </row>
    <row r="14" spans="1:17" ht="12.75">
      <c r="A14" s="111" t="s">
        <v>4</v>
      </c>
      <c r="B14" s="112">
        <f t="shared" si="1"/>
        <v>1327654119.0700002</v>
      </c>
      <c r="C14" s="169">
        <v>646292520</v>
      </c>
      <c r="D14" s="169">
        <v>4255072.93</v>
      </c>
      <c r="E14" s="169">
        <f>state1!C15</f>
        <v>595386354.2</v>
      </c>
      <c r="F14" s="208">
        <f>fed1!B15-'table 6'!I15</f>
        <v>73978956.93999998</v>
      </c>
      <c r="G14" s="169">
        <v>7741215</v>
      </c>
      <c r="H14" s="115"/>
      <c r="I14" s="114">
        <f>IF(B14&lt;&gt;0,((+C14+D14)/B14*100),(IF(C14&lt;&gt;0,1,0)))</f>
        <v>48.9997796553893</v>
      </c>
      <c r="J14" s="114">
        <f>IF($B14&lt;&gt;0,(E14/$B14*100),(IF(E14&lt;&gt;0,1,0)))</f>
        <v>44.84498979425894</v>
      </c>
      <c r="K14" s="114">
        <f t="shared" si="2"/>
        <v>5.572155870824325</v>
      </c>
      <c r="L14" s="114">
        <f t="shared" si="2"/>
        <v>0.5830746795274203</v>
      </c>
      <c r="M14" s="56"/>
      <c r="N14" s="71"/>
      <c r="Q14" s="72"/>
    </row>
    <row r="15" spans="1:17" ht="12.75">
      <c r="A15" s="111" t="s">
        <v>5</v>
      </c>
      <c r="B15" s="112">
        <f t="shared" si="1"/>
        <v>210880791.38</v>
      </c>
      <c r="C15" s="169">
        <v>100658901.51</v>
      </c>
      <c r="D15" s="169">
        <v>3172503.97</v>
      </c>
      <c r="E15" s="169">
        <f>state1!C16</f>
        <v>99231752.84</v>
      </c>
      <c r="F15" s="208">
        <f>fed1!B16-'table 6'!I16</f>
        <v>7817633.06</v>
      </c>
      <c r="G15" s="169">
        <v>0</v>
      </c>
      <c r="H15" s="115"/>
      <c r="I15" s="114">
        <f>IF(B15&lt;&gt;0,((+C15+D15)/B15*100),(IF(C15&lt;&gt;0,1,0)))</f>
        <v>49.2370143342735</v>
      </c>
      <c r="J15" s="114">
        <f>IF($B15&lt;&gt;0,(E15/$B15*100),(IF(E15&lt;&gt;0,1,0)))</f>
        <v>47.055851882302434</v>
      </c>
      <c r="K15" s="114">
        <f t="shared" si="2"/>
        <v>3.707133783424063</v>
      </c>
      <c r="L15" s="114">
        <f t="shared" si="2"/>
        <v>0</v>
      </c>
      <c r="M15" s="56"/>
      <c r="N15" s="71"/>
      <c r="Q15" s="72"/>
    </row>
    <row r="16" spans="1:14" ht="12.75">
      <c r="A16" s="111"/>
      <c r="B16" s="112"/>
      <c r="C16" s="169"/>
      <c r="D16" s="169"/>
      <c r="E16" s="209"/>
      <c r="F16" s="208"/>
      <c r="G16" s="169"/>
      <c r="H16" s="115"/>
      <c r="I16" s="114"/>
      <c r="J16" s="114"/>
      <c r="K16" s="114"/>
      <c r="L16" s="114"/>
      <c r="M16" s="56"/>
      <c r="N16" s="71"/>
    </row>
    <row r="17" spans="1:17" ht="12.75">
      <c r="A17" s="111" t="s">
        <v>6</v>
      </c>
      <c r="B17" s="112">
        <f t="shared" si="1"/>
        <v>64973201.050000004</v>
      </c>
      <c r="C17" s="243">
        <v>12367678</v>
      </c>
      <c r="D17" s="169">
        <v>766703.06</v>
      </c>
      <c r="E17" s="169">
        <f>state1!C18</f>
        <v>46566385.35</v>
      </c>
      <c r="F17" s="208">
        <f>fed1!B18-'table 6'!I18</f>
        <v>5272434.6400000015</v>
      </c>
      <c r="G17" s="169">
        <v>0</v>
      </c>
      <c r="H17" s="115"/>
      <c r="I17" s="114">
        <f>IF(B17&lt;&gt;0,((+C17+D17)/B17*100),(IF(C17&lt;&gt;0,1,0)))</f>
        <v>20.2150745965132</v>
      </c>
      <c r="J17" s="114">
        <f>IF($B17&lt;&gt;0,(E17/$B17*100),(IF(E17&lt;&gt;0,1,0)))</f>
        <v>71.67014183919449</v>
      </c>
      <c r="K17" s="114">
        <f t="shared" si="2"/>
        <v>8.114783564292313</v>
      </c>
      <c r="L17" s="114">
        <f t="shared" si="2"/>
        <v>0</v>
      </c>
      <c r="M17" s="56"/>
      <c r="N17" s="71"/>
      <c r="Q17" s="72"/>
    </row>
    <row r="18" spans="1:17" ht="12.75">
      <c r="A18" s="111" t="s">
        <v>7</v>
      </c>
      <c r="B18" s="112">
        <f t="shared" si="1"/>
        <v>344067568.98</v>
      </c>
      <c r="C18" s="243">
        <v>164164876</v>
      </c>
      <c r="D18" s="169">
        <v>2335055.82</v>
      </c>
      <c r="E18" s="169">
        <f>state1!C19</f>
        <v>163637257.04</v>
      </c>
      <c r="F18" s="208">
        <f>fed1!B19-'table 6'!I19</f>
        <v>12674674.97</v>
      </c>
      <c r="G18" s="169">
        <v>1255705.15</v>
      </c>
      <c r="H18" s="115"/>
      <c r="I18" s="114">
        <f>IF(B18&lt;&gt;0,((+C18+D18)/B18*100),(IF(C18&lt;&gt;0,1,0)))</f>
        <v>48.3916378150939</v>
      </c>
      <c r="J18" s="114">
        <f>IF($B18&lt;&gt;0,(E18/$B18*100),(IF(E18&lt;&gt;0,1,0)))</f>
        <v>47.55962833844183</v>
      </c>
      <c r="K18" s="114">
        <f t="shared" si="2"/>
        <v>3.683774965357678</v>
      </c>
      <c r="L18" s="114">
        <f t="shared" si="2"/>
        <v>0.36495888110657465</v>
      </c>
      <c r="M18" s="56"/>
      <c r="N18" s="71"/>
      <c r="Q18" s="72"/>
    </row>
    <row r="19" spans="1:17" ht="12.75">
      <c r="A19" s="111" t="s">
        <v>8</v>
      </c>
      <c r="B19" s="112">
        <f t="shared" si="1"/>
        <v>192764237.95000002</v>
      </c>
      <c r="C19" s="243">
        <v>69915162</v>
      </c>
      <c r="D19" s="169">
        <v>2131197</v>
      </c>
      <c r="E19" s="169">
        <f>state1!C20</f>
        <v>109769408.49</v>
      </c>
      <c r="F19" s="208">
        <f>fed1!B20-'table 6'!I20</f>
        <v>10948470.459999999</v>
      </c>
      <c r="G19" s="169">
        <v>0</v>
      </c>
      <c r="H19" s="115"/>
      <c r="I19" s="114">
        <f>IF(B19&lt;&gt;0,((+C19+D19)/B19*100),(IF(C19&lt;&gt;0,1,0)))</f>
        <v>37.37537614144366</v>
      </c>
      <c r="J19" s="114">
        <f>IF($B19&lt;&gt;0,(E19/$B19*100),(IF(E19&lt;&gt;0,1,0)))</f>
        <v>56.944903088545104</v>
      </c>
      <c r="K19" s="114">
        <f t="shared" si="2"/>
        <v>5.679720770011219</v>
      </c>
      <c r="L19" s="114">
        <f t="shared" si="2"/>
        <v>0</v>
      </c>
      <c r="M19" s="56"/>
      <c r="N19" s="71"/>
      <c r="Q19" s="72"/>
    </row>
    <row r="20" spans="1:17" ht="12.75">
      <c r="A20" s="111" t="s">
        <v>9</v>
      </c>
      <c r="B20" s="112">
        <f t="shared" si="1"/>
        <v>330173883.58</v>
      </c>
      <c r="C20" s="243">
        <v>138466100.01</v>
      </c>
      <c r="D20" s="169">
        <v>5580904.68</v>
      </c>
      <c r="E20" s="169">
        <f>state1!C21</f>
        <v>170065955.54999998</v>
      </c>
      <c r="F20" s="208">
        <f>fed1!B21-'table 6'!I21</f>
        <v>16060923.339999998</v>
      </c>
      <c r="G20" s="169">
        <v>0</v>
      </c>
      <c r="H20" s="115"/>
      <c r="I20" s="114">
        <f>IF(B20&lt;&gt;0,((+C20+D20)/B20*100),(IF(C20&lt;&gt;0,1,0)))</f>
        <v>43.62761921934323</v>
      </c>
      <c r="J20" s="114">
        <f>IF($B20&lt;&gt;0,(E20/$B20*100),(IF(E20&lt;&gt;0,1,0)))</f>
        <v>51.50799745455748</v>
      </c>
      <c r="K20" s="114">
        <f t="shared" si="2"/>
        <v>4.864383326099289</v>
      </c>
      <c r="L20" s="114">
        <f t="shared" si="2"/>
        <v>0</v>
      </c>
      <c r="M20" s="56"/>
      <c r="N20" s="71"/>
      <c r="Q20" s="72"/>
    </row>
    <row r="21" spans="1:17" ht="12.75">
      <c r="A21" s="111" t="s">
        <v>10</v>
      </c>
      <c r="B21" s="112">
        <f t="shared" si="1"/>
        <v>58106934.120000005</v>
      </c>
      <c r="C21" s="243">
        <v>17473300</v>
      </c>
      <c r="D21" s="169">
        <v>861851.6000000001</v>
      </c>
      <c r="E21" s="169">
        <f>state1!C22</f>
        <v>33865329.32</v>
      </c>
      <c r="F21" s="208">
        <f>fed1!B22-'table 6'!I22</f>
        <v>5906453.199999999</v>
      </c>
      <c r="G21" s="169">
        <v>0</v>
      </c>
      <c r="H21" s="115"/>
      <c r="I21" s="114">
        <f>IF(B21&lt;&gt;0,((+C21+D21)/B21*100),(IF(C21&lt;&gt;0,1,0)))</f>
        <v>31.554154211845038</v>
      </c>
      <c r="J21" s="114">
        <f>IF($B21&lt;&gt;0,(E21/$B21*100),(IF(E21&lt;&gt;0,1,0)))</f>
        <v>58.281046544398194</v>
      </c>
      <c r="K21" s="114">
        <f t="shared" si="2"/>
        <v>10.16479924375676</v>
      </c>
      <c r="L21" s="114">
        <f t="shared" si="2"/>
        <v>0</v>
      </c>
      <c r="M21" s="56"/>
      <c r="N21" s="71"/>
      <c r="Q21" s="72"/>
    </row>
    <row r="22" spans="1:14" ht="12.75">
      <c r="A22" s="111"/>
      <c r="B22" s="112"/>
      <c r="C22" s="169"/>
      <c r="D22" s="169"/>
      <c r="E22" s="209"/>
      <c r="F22" s="208"/>
      <c r="G22" s="169"/>
      <c r="H22" s="115"/>
      <c r="I22" s="114"/>
      <c r="J22" s="114"/>
      <c r="K22" s="114"/>
      <c r="L22" s="114"/>
      <c r="M22" s="56"/>
      <c r="N22" s="71"/>
    </row>
    <row r="23" spans="1:17" ht="12.75">
      <c r="A23" s="111" t="s">
        <v>11</v>
      </c>
      <c r="B23" s="112">
        <f t="shared" si="1"/>
        <v>493051123.65000004</v>
      </c>
      <c r="C23" s="169">
        <v>238250808.99</v>
      </c>
      <c r="D23" s="169">
        <v>3752534.8099999996</v>
      </c>
      <c r="E23" s="169">
        <f>state1!C24</f>
        <v>232550154.36</v>
      </c>
      <c r="F23" s="208">
        <f>fed1!B24-'table 6'!I24</f>
        <v>18497625.489999995</v>
      </c>
      <c r="G23" s="169">
        <v>0</v>
      </c>
      <c r="H23" s="115"/>
      <c r="I23" s="114">
        <f>IF(B23&lt;&gt;0,((+C23+D23)/B23*100),(IF(C23&lt;&gt;0,1,0)))</f>
        <v>49.08280950836851</v>
      </c>
      <c r="J23" s="114">
        <f aca="true" t="shared" si="3" ref="J23:L27">IF($B23&lt;&gt;0,(E23/$B23*100),(IF(E23&lt;&gt;0,1,0)))</f>
        <v>47.16552568392063</v>
      </c>
      <c r="K23" s="114">
        <f t="shared" si="2"/>
        <v>3.7516648077108568</v>
      </c>
      <c r="L23" s="114">
        <f t="shared" si="2"/>
        <v>0</v>
      </c>
      <c r="M23" s="56"/>
      <c r="N23" s="71"/>
      <c r="Q23" s="72"/>
    </row>
    <row r="24" spans="1:17" ht="12.75">
      <c r="A24" s="111" t="s">
        <v>12</v>
      </c>
      <c r="B24" s="112">
        <f t="shared" si="1"/>
        <v>56860487.599999994</v>
      </c>
      <c r="C24" s="169">
        <v>22773734.86</v>
      </c>
      <c r="D24" s="169">
        <v>286726.04999999993</v>
      </c>
      <c r="E24" s="169">
        <f>state1!C25</f>
        <v>28736909.84</v>
      </c>
      <c r="F24" s="208">
        <f>fed1!B25-'table 6'!I25</f>
        <v>5056069.189999999</v>
      </c>
      <c r="G24" s="169">
        <v>7047.66</v>
      </c>
      <c r="H24" s="115"/>
      <c r="I24" s="114">
        <f>IF(B24&lt;&gt;0,((+C24+D24)/B24*100),(IF(C24&lt;&gt;0,1,0)))</f>
        <v>40.55621378456136</v>
      </c>
      <c r="J24" s="114">
        <f t="shared" si="3"/>
        <v>50.539330654631954</v>
      </c>
      <c r="K24" s="114">
        <f t="shared" si="2"/>
        <v>8.892060908039063</v>
      </c>
      <c r="L24" s="114">
        <f t="shared" si="2"/>
        <v>0.012394652767627691</v>
      </c>
      <c r="M24" s="56"/>
      <c r="N24" s="71"/>
      <c r="Q24" s="72"/>
    </row>
    <row r="25" spans="1:17" ht="12.75">
      <c r="A25" s="111" t="s">
        <v>13</v>
      </c>
      <c r="B25" s="112">
        <f t="shared" si="1"/>
        <v>470711497.5300001</v>
      </c>
      <c r="C25" s="169">
        <v>206978734</v>
      </c>
      <c r="D25" s="169">
        <v>3174595.36</v>
      </c>
      <c r="E25" s="169">
        <f>state1!C26</f>
        <v>238176658.34</v>
      </c>
      <c r="F25" s="208">
        <f>fed1!B26-'table 6'!I26</f>
        <v>20835501.110000003</v>
      </c>
      <c r="G25" s="169">
        <v>1546008.72</v>
      </c>
      <c r="H25" s="115"/>
      <c r="I25" s="114">
        <f>IF(B25&lt;&gt;0,((+C25+D25)/B25*100),(IF(C25&lt;&gt;0,1,0)))</f>
        <v>44.64588829097089</v>
      </c>
      <c r="J25" s="114">
        <f t="shared" si="3"/>
        <v>50.59928631227457</v>
      </c>
      <c r="K25" s="114">
        <f t="shared" si="2"/>
        <v>4.426384572998896</v>
      </c>
      <c r="L25" s="114">
        <f t="shared" si="2"/>
        <v>0.3284408237556312</v>
      </c>
      <c r="M25" s="56"/>
      <c r="N25" s="71"/>
      <c r="Q25" s="72"/>
    </row>
    <row r="26" spans="1:17" ht="12.75">
      <c r="A26" s="111" t="s">
        <v>14</v>
      </c>
      <c r="B26" s="112">
        <f t="shared" si="1"/>
        <v>725264488.38</v>
      </c>
      <c r="C26" s="169">
        <v>454794610</v>
      </c>
      <c r="D26" s="169">
        <v>11462648</v>
      </c>
      <c r="E26" s="169">
        <f>state1!C27</f>
        <v>237877057.88000003</v>
      </c>
      <c r="F26" s="208">
        <f>fed1!B27-'table 6'!I27</f>
        <v>20159172.5</v>
      </c>
      <c r="G26" s="169">
        <v>971000</v>
      </c>
      <c r="H26" s="115"/>
      <c r="I26" s="114">
        <f>IF(B26&lt;&gt;0,((+C26+D26)/B26*100),(IF(C26&lt;&gt;0,1,0)))</f>
        <v>64.28789296460162</v>
      </c>
      <c r="J26" s="114">
        <f t="shared" si="3"/>
        <v>32.79866334160913</v>
      </c>
      <c r="K26" s="114">
        <f t="shared" si="2"/>
        <v>2.779561501077889</v>
      </c>
      <c r="L26" s="114">
        <f t="shared" si="2"/>
        <v>0.13388219271136403</v>
      </c>
      <c r="M26" s="56"/>
      <c r="N26" s="71"/>
      <c r="Q26" s="72"/>
    </row>
    <row r="27" spans="1:17" ht="12.75">
      <c r="A27" s="111" t="s">
        <v>15</v>
      </c>
      <c r="B27" s="112">
        <f t="shared" si="1"/>
        <v>32878573.150000002</v>
      </c>
      <c r="C27" s="169">
        <v>17217000</v>
      </c>
      <c r="D27" s="169">
        <v>338042</v>
      </c>
      <c r="E27" s="169">
        <f>state1!C28</f>
        <v>12172886.370000001</v>
      </c>
      <c r="F27" s="208">
        <f>fed1!B28-'table 6'!I28</f>
        <v>3150644.7800000007</v>
      </c>
      <c r="G27" s="169">
        <v>0</v>
      </c>
      <c r="H27" s="115"/>
      <c r="I27" s="114">
        <f>IF(B27&lt;&gt;0,((+C27+D27)/B27*100),(IF(C27&lt;&gt;0,1,0)))</f>
        <v>53.393564008722805</v>
      </c>
      <c r="J27" s="114">
        <f t="shared" si="3"/>
        <v>37.023767164299834</v>
      </c>
      <c r="K27" s="114">
        <f t="shared" si="3"/>
        <v>9.582668826977367</v>
      </c>
      <c r="L27" s="114">
        <f t="shared" si="3"/>
        <v>0</v>
      </c>
      <c r="M27" s="56"/>
      <c r="N27" s="71"/>
      <c r="Q27" s="72"/>
    </row>
    <row r="28" spans="1:14" ht="12.75">
      <c r="A28" s="111"/>
      <c r="B28" s="112"/>
      <c r="C28" s="169"/>
      <c r="D28" s="169"/>
      <c r="E28" s="209"/>
      <c r="F28" s="208"/>
      <c r="G28" s="169"/>
      <c r="H28" s="115"/>
      <c r="I28" s="114"/>
      <c r="J28" s="114"/>
      <c r="K28" s="114"/>
      <c r="L28" s="114"/>
      <c r="M28" s="56"/>
      <c r="N28" s="71"/>
    </row>
    <row r="29" spans="1:17" ht="12.75">
      <c r="A29" s="111" t="s">
        <v>16</v>
      </c>
      <c r="B29" s="112">
        <f t="shared" si="1"/>
        <v>2170942004.79</v>
      </c>
      <c r="C29" s="169">
        <v>1513763860.48</v>
      </c>
      <c r="D29" s="169">
        <v>13217243.290000001</v>
      </c>
      <c r="E29" s="169">
        <f>state1!C30</f>
        <v>554411332.73</v>
      </c>
      <c r="F29" s="208">
        <f>fed1!B30-'table 6'!I30</f>
        <v>89432063.59</v>
      </c>
      <c r="G29" s="169">
        <v>117504.7</v>
      </c>
      <c r="H29" s="115"/>
      <c r="I29" s="114">
        <f>IF(B29&lt;&gt;0,((+C29+D29)/B29*100),(IF(C29&lt;&gt;0,1,0)))</f>
        <v>70.33725914376548</v>
      </c>
      <c r="J29" s="114">
        <f aca="true" t="shared" si="4" ref="J29:L33">IF($B29&lt;&gt;0,(E29/$B29*100),(IF(E29&lt;&gt;0,1,0)))</f>
        <v>25.537823281632505</v>
      </c>
      <c r="K29" s="114">
        <f t="shared" si="4"/>
        <v>4.119504961103323</v>
      </c>
      <c r="L29" s="114">
        <f t="shared" si="4"/>
        <v>0.005412613498690238</v>
      </c>
      <c r="M29" s="56"/>
      <c r="N29" s="71"/>
      <c r="Q29" s="72"/>
    </row>
    <row r="30" spans="1:17" ht="12.75">
      <c r="A30" s="111" t="s">
        <v>17</v>
      </c>
      <c r="B30" s="112">
        <f t="shared" si="1"/>
        <v>1738524641.59</v>
      </c>
      <c r="C30" s="169">
        <f>594493211.81</f>
        <v>594493211.81</v>
      </c>
      <c r="D30" s="169">
        <v>17950483.38</v>
      </c>
      <c r="E30" s="169">
        <f>state1!C31</f>
        <v>1010764944.04</v>
      </c>
      <c r="F30" s="208">
        <f>fed1!B31-'table 6'!I31</f>
        <v>115316002.35999995</v>
      </c>
      <c r="G30" s="169">
        <v>0</v>
      </c>
      <c r="H30" s="115"/>
      <c r="I30" s="114">
        <f>IF(B30&lt;&gt;0,((+C30+D30)/B30*100),(IF(C30&lt;&gt;0,1,0)))</f>
        <v>35.227783405467186</v>
      </c>
      <c r="J30" s="114">
        <f t="shared" si="4"/>
        <v>58.13923598549551</v>
      </c>
      <c r="K30" s="114">
        <f t="shared" si="4"/>
        <v>6.632980609037302</v>
      </c>
      <c r="L30" s="114">
        <f t="shared" si="4"/>
        <v>0</v>
      </c>
      <c r="M30" s="56"/>
      <c r="N30" s="71"/>
      <c r="Q30" s="72"/>
    </row>
    <row r="31" spans="1:17" ht="12.75">
      <c r="A31" s="111" t="s">
        <v>18</v>
      </c>
      <c r="B31" s="112">
        <f t="shared" si="1"/>
        <v>89160788.03999999</v>
      </c>
      <c r="C31" s="169">
        <v>47176250</v>
      </c>
      <c r="D31" s="243">
        <v>691701.79</v>
      </c>
      <c r="E31" s="169">
        <f>state1!C32</f>
        <v>35863684.76</v>
      </c>
      <c r="F31" s="208">
        <f>fed1!B32-'table 6'!I32</f>
        <v>5429151.49</v>
      </c>
      <c r="G31" s="169">
        <v>0</v>
      </c>
      <c r="H31" s="115"/>
      <c r="I31" s="114">
        <f>IF(B31&lt;&gt;0,((+C31+D31)/B31*100),(IF(C31&lt;&gt;0,1,0)))</f>
        <v>53.68722376985397</v>
      </c>
      <c r="J31" s="114">
        <f t="shared" si="4"/>
        <v>40.223606754025724</v>
      </c>
      <c r="K31" s="114">
        <f t="shared" si="4"/>
        <v>6.089169476120302</v>
      </c>
      <c r="L31" s="114">
        <f t="shared" si="4"/>
        <v>0</v>
      </c>
      <c r="M31" s="56"/>
      <c r="N31" s="71"/>
      <c r="Q31" s="72"/>
    </row>
    <row r="32" spans="1:17" ht="12.75">
      <c r="A32" s="111" t="s">
        <v>19</v>
      </c>
      <c r="B32" s="112">
        <f t="shared" si="1"/>
        <v>201718387.89999998</v>
      </c>
      <c r="C32" s="169">
        <v>80138192</v>
      </c>
      <c r="D32" s="243">
        <v>1206316.46</v>
      </c>
      <c r="E32" s="169">
        <f>state1!C33</f>
        <v>105657905.88</v>
      </c>
      <c r="F32" s="208">
        <f>fed1!B33-'table 6'!I33</f>
        <v>13275137.790000001</v>
      </c>
      <c r="G32" s="169">
        <v>1440835.77</v>
      </c>
      <c r="H32" s="115"/>
      <c r="I32" s="114">
        <f>IF(B32&lt;&gt;0,((+C32+D32)/B32*100),(IF(C32&lt;&gt;0,1,0)))</f>
        <v>40.32577758866771</v>
      </c>
      <c r="J32" s="114">
        <f t="shared" si="4"/>
        <v>52.3789164587112</v>
      </c>
      <c r="K32" s="114">
        <f t="shared" si="4"/>
        <v>6.581025125275652</v>
      </c>
      <c r="L32" s="114">
        <f t="shared" si="4"/>
        <v>0.7142808273454381</v>
      </c>
      <c r="M32" s="56"/>
      <c r="N32" s="71"/>
      <c r="Q32" s="72"/>
    </row>
    <row r="33" spans="1:17" ht="12.75">
      <c r="A33" s="111" t="s">
        <v>20</v>
      </c>
      <c r="B33" s="112">
        <f t="shared" si="1"/>
        <v>41441236.1</v>
      </c>
      <c r="C33" s="169">
        <v>8994324</v>
      </c>
      <c r="D33" s="169">
        <v>358429.52</v>
      </c>
      <c r="E33" s="169">
        <f>state1!C34</f>
        <v>25985273.900000002</v>
      </c>
      <c r="F33" s="208">
        <f>fed1!B34-'table 6'!I34</f>
        <v>6103208.68</v>
      </c>
      <c r="G33" s="169">
        <v>0</v>
      </c>
      <c r="H33" s="115"/>
      <c r="I33" s="114">
        <f>IF(B33&lt;&gt;0,((+C33+D33)/B33*100),(IF(C33&lt;&gt;0,1,0)))</f>
        <v>22.568712712698257</v>
      </c>
      <c r="J33" s="114">
        <f t="shared" si="4"/>
        <v>62.70390641171054</v>
      </c>
      <c r="K33" s="114">
        <f t="shared" si="4"/>
        <v>14.727380875591207</v>
      </c>
      <c r="L33" s="114">
        <f t="shared" si="4"/>
        <v>0</v>
      </c>
      <c r="M33" s="56"/>
      <c r="N33" s="71"/>
      <c r="Q33" s="72"/>
    </row>
    <row r="34" spans="1:14" ht="12.75">
      <c r="A34" s="111"/>
      <c r="B34" s="112"/>
      <c r="C34" s="87"/>
      <c r="D34" s="169"/>
      <c r="E34" s="169"/>
      <c r="F34" s="208"/>
      <c r="G34" s="169"/>
      <c r="H34" s="115"/>
      <c r="I34" s="114"/>
      <c r="J34" s="114"/>
      <c r="K34" s="114"/>
      <c r="L34" s="114"/>
      <c r="M34" s="56"/>
      <c r="N34" s="71"/>
    </row>
    <row r="35" spans="1:17" ht="12.75">
      <c r="A35" s="111" t="s">
        <v>21</v>
      </c>
      <c r="B35" s="112">
        <f t="shared" si="1"/>
        <v>50941556.1</v>
      </c>
      <c r="C35" s="169">
        <v>34053966</v>
      </c>
      <c r="D35" s="169">
        <v>445449.18999999994</v>
      </c>
      <c r="E35" s="169">
        <f>state1!C36</f>
        <v>13259184.620000001</v>
      </c>
      <c r="F35" s="208">
        <f>fed1!B36-'table 6'!I36</f>
        <v>3100354.29</v>
      </c>
      <c r="G35" s="169">
        <v>82602</v>
      </c>
      <c r="H35" s="115"/>
      <c r="I35" s="114">
        <f>IF(B35&lt;&gt;0,((+C35+D35)/B35*100),(IF(C35&lt;&gt;0,1,0)))</f>
        <v>67.72352050313593</v>
      </c>
      <c r="J35" s="114">
        <f aca="true" t="shared" si="5" ref="J35:L38">IF($B35&lt;&gt;0,(E35/$B35*100),(IF(E35&lt;&gt;0,1,0)))</f>
        <v>26.028228493789573</v>
      </c>
      <c r="K35" s="114">
        <f t="shared" si="5"/>
        <v>6.086100479368748</v>
      </c>
      <c r="L35" s="114">
        <f t="shared" si="5"/>
        <v>0.16215052370573343</v>
      </c>
      <c r="M35" s="56"/>
      <c r="N35" s="71"/>
      <c r="Q35" s="72"/>
    </row>
    <row r="36" spans="1:17" ht="12.75">
      <c r="A36" s="111" t="s">
        <v>22</v>
      </c>
      <c r="B36" s="112">
        <f t="shared" si="1"/>
        <v>261555795.76999998</v>
      </c>
      <c r="C36" s="169">
        <v>87741185</v>
      </c>
      <c r="D36" s="169">
        <v>1406692.25</v>
      </c>
      <c r="E36" s="169">
        <f>state1!C37</f>
        <v>155061287.19</v>
      </c>
      <c r="F36" s="208">
        <f>fed1!B37-'table 6'!I37</f>
        <v>16964993.950000003</v>
      </c>
      <c r="G36" s="169">
        <v>381637.38</v>
      </c>
      <c r="H36" s="115"/>
      <c r="I36" s="114">
        <f>IF(B36&lt;&gt;0,((+C36+D36)/B36*100),(IF(C36&lt;&gt;0,1,0)))</f>
        <v>34.083694069005645</v>
      </c>
      <c r="J36" s="114">
        <f t="shared" si="5"/>
        <v>59.28420998414949</v>
      </c>
      <c r="K36" s="114">
        <f t="shared" si="5"/>
        <v>6.486185442787217</v>
      </c>
      <c r="L36" s="114">
        <f t="shared" si="5"/>
        <v>0.14591050405764824</v>
      </c>
      <c r="M36" s="56"/>
      <c r="N36" s="71"/>
      <c r="Q36" s="72"/>
    </row>
    <row r="37" spans="1:17" ht="12.75">
      <c r="A37" s="111" t="s">
        <v>23</v>
      </c>
      <c r="B37" s="112">
        <f t="shared" si="1"/>
        <v>189917676.70000002</v>
      </c>
      <c r="C37" s="169">
        <v>50204655</v>
      </c>
      <c r="D37" s="169">
        <v>2819971.9199999995</v>
      </c>
      <c r="E37" s="169">
        <f>state1!C38</f>
        <v>119759718.89</v>
      </c>
      <c r="F37" s="208">
        <f>fed1!B38-'table 6'!I38</f>
        <v>14943278.989999998</v>
      </c>
      <c r="G37" s="169">
        <v>2190051.9</v>
      </c>
      <c r="H37" s="115"/>
      <c r="I37" s="114">
        <f>IF(B37&lt;&gt;0,((+C37+D37)/B37*100),(IF(C37&lt;&gt;0,1,0)))</f>
        <v>27.91979548262871</v>
      </c>
      <c r="J37" s="114">
        <f t="shared" si="5"/>
        <v>63.05875312447943</v>
      </c>
      <c r="K37" s="114">
        <f t="shared" si="5"/>
        <v>7.8682928570176625</v>
      </c>
      <c r="L37" s="114">
        <f t="shared" si="5"/>
        <v>1.153158535874191</v>
      </c>
      <c r="M37" s="56"/>
      <c r="N37" s="71"/>
      <c r="Q37" s="72"/>
    </row>
    <row r="38" spans="1:17" ht="12.75">
      <c r="A38" s="117" t="s">
        <v>24</v>
      </c>
      <c r="B38" s="118">
        <f t="shared" si="1"/>
        <v>104306366.1</v>
      </c>
      <c r="C38" s="171">
        <v>72614611</v>
      </c>
      <c r="D38" s="171">
        <v>827726.5199999999</v>
      </c>
      <c r="E38" s="171">
        <f>state1!C39</f>
        <v>23068886.299999997</v>
      </c>
      <c r="F38" s="171">
        <f>fed1!B39-'table 6'!I39</f>
        <v>7795142.28</v>
      </c>
      <c r="G38" s="171">
        <v>0</v>
      </c>
      <c r="H38" s="118"/>
      <c r="I38" s="120">
        <f>IF(B38&lt;&gt;0,((+C38+D38)/B38*100),(IF(C38&lt;&gt;0,1,0)))</f>
        <v>70.41021585354606</v>
      </c>
      <c r="J38" s="120">
        <f t="shared" si="5"/>
        <v>22.116470127895674</v>
      </c>
      <c r="K38" s="120">
        <f t="shared" si="5"/>
        <v>7.473314018558259</v>
      </c>
      <c r="L38" s="120">
        <f t="shared" si="5"/>
        <v>0</v>
      </c>
      <c r="M38" s="56"/>
      <c r="N38" s="71"/>
      <c r="Q38" s="72"/>
    </row>
    <row r="39" spans="1:17" ht="12.75">
      <c r="A39" s="102"/>
      <c r="B39" s="112"/>
      <c r="C39" s="169"/>
      <c r="D39" s="169"/>
      <c r="E39" s="113"/>
      <c r="F39" s="113"/>
      <c r="G39" s="169"/>
      <c r="H39" s="112"/>
      <c r="I39" s="114"/>
      <c r="J39" s="114"/>
      <c r="K39" s="114"/>
      <c r="L39" s="114"/>
      <c r="M39" s="56"/>
      <c r="N39" s="71"/>
      <c r="Q39" s="72"/>
    </row>
    <row r="40" spans="1:12" ht="12.75">
      <c r="A40" s="164" t="s">
        <v>250</v>
      </c>
      <c r="C40" s="111"/>
      <c r="D40" s="115"/>
      <c r="E40" s="111"/>
      <c r="F40" s="111"/>
      <c r="G40" s="111"/>
      <c r="H40" s="111"/>
      <c r="I40" s="172"/>
      <c r="J40" s="172"/>
      <c r="K40" s="172"/>
      <c r="L40" s="111"/>
    </row>
    <row r="41" spans="1:256" ht="12.75">
      <c r="A41" s="54" t="s">
        <v>281</v>
      </c>
      <c r="B41" s="54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  <c r="IU41" s="54"/>
      <c r="IV41" s="54"/>
    </row>
    <row r="42" spans="1:12" ht="12.75">
      <c r="A42" s="53" t="s">
        <v>216</v>
      </c>
      <c r="C42" s="111"/>
      <c r="D42" s="115"/>
      <c r="E42" s="111"/>
      <c r="F42" s="111"/>
      <c r="G42" s="111"/>
      <c r="H42" s="111"/>
      <c r="I42" s="111"/>
      <c r="J42" s="111"/>
      <c r="K42" s="111"/>
      <c r="L42" s="111"/>
    </row>
    <row r="43" spans="1:12" ht="12.75">
      <c r="A43" s="122"/>
      <c r="C43" s="111"/>
      <c r="D43" s="115"/>
      <c r="E43" s="111"/>
      <c r="F43" s="111"/>
      <c r="G43" s="111"/>
      <c r="H43" s="111"/>
      <c r="I43" s="111"/>
      <c r="J43" s="111"/>
      <c r="K43" s="111"/>
      <c r="L43" s="111"/>
    </row>
    <row r="44" spans="1:12" ht="12.75">
      <c r="A44" s="122"/>
      <c r="C44" s="62"/>
      <c r="D44" s="115"/>
      <c r="E44" s="111"/>
      <c r="F44" s="111"/>
      <c r="G44" s="111"/>
      <c r="H44" s="111"/>
      <c r="I44" s="111"/>
      <c r="J44" s="111"/>
      <c r="K44" s="111"/>
      <c r="L44" s="111"/>
    </row>
    <row r="45" spans="3:12" ht="12.75">
      <c r="C45" s="238"/>
      <c r="D45" s="115"/>
      <c r="E45" s="111"/>
      <c r="F45" s="111"/>
      <c r="G45" s="111"/>
      <c r="H45" s="111"/>
      <c r="I45" s="111"/>
      <c r="J45" s="111"/>
      <c r="K45" s="111"/>
      <c r="L45" s="111"/>
    </row>
    <row r="46" spans="3:12" ht="12.75">
      <c r="C46" s="111"/>
      <c r="D46" s="115"/>
      <c r="E46" s="111"/>
      <c r="F46" s="111"/>
      <c r="G46" s="111"/>
      <c r="H46" s="111"/>
      <c r="I46" s="111"/>
      <c r="J46" s="111"/>
      <c r="K46" s="111"/>
      <c r="L46" s="111"/>
    </row>
    <row r="47" spans="3:12" ht="12.75">
      <c r="C47" s="111"/>
      <c r="D47" s="115"/>
      <c r="E47" s="111"/>
      <c r="F47" s="111"/>
      <c r="G47" s="111"/>
      <c r="H47" s="111"/>
      <c r="I47" s="111"/>
      <c r="J47" s="111"/>
      <c r="K47" s="111"/>
      <c r="L47" s="111"/>
    </row>
  </sheetData>
  <sheetProtection password="CAF5" sheet="1"/>
  <mergeCells count="6">
    <mergeCell ref="C7:D7"/>
    <mergeCell ref="C6:F6"/>
    <mergeCell ref="I6:L6"/>
    <mergeCell ref="A1:L1"/>
    <mergeCell ref="A3:L3"/>
    <mergeCell ref="A4:L4"/>
  </mergeCells>
  <printOptions/>
  <pageMargins left="0.69" right="0.24" top="1" bottom="1" header="0.5" footer="0.5"/>
  <pageSetup fitToHeight="1" fitToWidth="1" horizontalDpi="600" verticalDpi="600" orientation="landscape" scale="87" r:id="rId1"/>
  <headerFooter scaleWithDoc="0">
    <oddFooter>&amp;L&amp;"Arial,Italic"&amp;9MSDE-LFRO  09 / 2010&amp;C- 2 -&amp;R&amp;"Arial,Italic"&amp;9Selected Financial Data-Part 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workbookViewId="0" topLeftCell="G25">
      <selection activeCell="A40" sqref="A40"/>
    </sheetView>
  </sheetViews>
  <sheetFormatPr defaultColWidth="9.140625" defaultRowHeight="12.75"/>
  <cols>
    <col min="1" max="1" width="14.140625" style="90" customWidth="1"/>
    <col min="2" max="3" width="17.7109375" style="90" bestFit="1" customWidth="1"/>
    <col min="4" max="4" width="15.00390625" style="90" bestFit="1" customWidth="1"/>
    <col min="5" max="5" width="17.7109375" style="90" bestFit="1" customWidth="1"/>
    <col min="6" max="7" width="16.00390625" style="90" bestFit="1" customWidth="1"/>
    <col min="8" max="8" width="2.7109375" style="90" customWidth="1"/>
    <col min="9" max="12" width="9.140625" style="90" customWidth="1"/>
    <col min="15" max="15" width="15.00390625" style="0" bestFit="1" customWidth="1"/>
  </cols>
  <sheetData>
    <row r="1" spans="1:12" ht="12.75">
      <c r="A1" s="390" t="s">
        <v>115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3" spans="1:12" ht="12.75">
      <c r="A3" s="392" t="s">
        <v>274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</row>
    <row r="4" spans="1:12" ht="12.75">
      <c r="A4" s="390" t="s">
        <v>135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</row>
    <row r="5" spans="1:12" ht="13.5" thickBot="1">
      <c r="A5" s="23"/>
      <c r="B5" s="23"/>
      <c r="C5" s="23"/>
      <c r="D5" s="23"/>
      <c r="E5" s="23"/>
      <c r="F5" s="23"/>
      <c r="G5" s="23"/>
      <c r="H5" s="23"/>
      <c r="I5" s="47"/>
      <c r="J5" s="23"/>
      <c r="K5" s="23"/>
      <c r="L5" s="23"/>
    </row>
    <row r="6" spans="1:57" ht="15" customHeight="1" thickTop="1">
      <c r="A6" s="124" t="s">
        <v>81</v>
      </c>
      <c r="B6" s="125" t="s">
        <v>44</v>
      </c>
      <c r="C6" s="388" t="s">
        <v>84</v>
      </c>
      <c r="D6" s="388"/>
      <c r="E6" s="389"/>
      <c r="F6" s="389"/>
      <c r="G6" s="124"/>
      <c r="H6" s="124"/>
      <c r="I6" s="388" t="s">
        <v>86</v>
      </c>
      <c r="J6" s="388"/>
      <c r="K6" s="388"/>
      <c r="L6" s="388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</row>
    <row r="7" spans="1:12" ht="12.75">
      <c r="A7" s="32" t="s">
        <v>34</v>
      </c>
      <c r="B7" s="126" t="s">
        <v>87</v>
      </c>
      <c r="C7" s="387" t="s">
        <v>81</v>
      </c>
      <c r="D7" s="387"/>
      <c r="E7" s="127"/>
      <c r="F7" s="127"/>
      <c r="G7" s="126" t="s">
        <v>83</v>
      </c>
      <c r="H7" s="126"/>
      <c r="I7" s="128"/>
      <c r="J7" s="128"/>
      <c r="K7" s="128"/>
      <c r="L7" s="128" t="s">
        <v>83</v>
      </c>
    </row>
    <row r="8" spans="1:15" ht="13.5" thickBot="1">
      <c r="A8" s="52" t="s">
        <v>134</v>
      </c>
      <c r="B8" s="129" t="s">
        <v>88</v>
      </c>
      <c r="C8" s="49" t="s">
        <v>215</v>
      </c>
      <c r="D8" s="49" t="s">
        <v>222</v>
      </c>
      <c r="E8" s="49" t="s">
        <v>45</v>
      </c>
      <c r="F8" s="49" t="s">
        <v>51</v>
      </c>
      <c r="G8" s="49" t="s">
        <v>85</v>
      </c>
      <c r="H8" s="49"/>
      <c r="I8" s="129" t="s">
        <v>81</v>
      </c>
      <c r="J8" s="129" t="s">
        <v>45</v>
      </c>
      <c r="K8" s="130" t="s">
        <v>51</v>
      </c>
      <c r="L8" s="49" t="s">
        <v>85</v>
      </c>
      <c r="O8" s="3"/>
    </row>
    <row r="9" spans="1:15" ht="12.75">
      <c r="A9" s="32" t="s">
        <v>0</v>
      </c>
      <c r="B9" s="143">
        <f aca="true" t="shared" si="0" ref="B9:G9">SUM(B11:B38)</f>
        <v>10903999973.620003</v>
      </c>
      <c r="C9" s="143">
        <f t="shared" si="0"/>
        <v>5359096509.66</v>
      </c>
      <c r="D9" s="143">
        <f t="shared" si="0"/>
        <v>106697358.78999999</v>
      </c>
      <c r="E9" s="143">
        <f t="shared" si="0"/>
        <v>4718943123.87</v>
      </c>
      <c r="F9" s="143">
        <f t="shared" si="0"/>
        <v>681345051.0399998</v>
      </c>
      <c r="G9" s="143">
        <f t="shared" si="0"/>
        <v>37917930.260000005</v>
      </c>
      <c r="H9" s="131"/>
      <c r="I9" s="132">
        <f>IF(B9&lt;&gt;0,((+C9+D9)/B9),(IF(C9&lt;&gt;0,1,0)))</f>
        <v>0.5012650295004925</v>
      </c>
      <c r="J9" s="132">
        <f>IF($B9&lt;&gt;0,(E9/$B9),(IF(E9&lt;&gt;0,1,0)))</f>
        <v>0.4327717475501208</v>
      </c>
      <c r="K9" s="132">
        <f>IF($B9&lt;&gt;0,(F9/$B9),(IF(F9&lt;&gt;0,1,0)))</f>
        <v>0.06248578986503804</v>
      </c>
      <c r="L9" s="132">
        <f>IF($B9&lt;&gt;0,(G9/$B9),(IF(G9&lt;&gt;0,1,0)))</f>
        <v>0.003477433084348375</v>
      </c>
      <c r="O9" s="20"/>
    </row>
    <row r="10" spans="1:15" ht="12.75">
      <c r="A10" s="32"/>
      <c r="B10" s="133"/>
      <c r="C10" s="134"/>
      <c r="D10" s="50"/>
      <c r="E10" s="128"/>
      <c r="F10" s="128"/>
      <c r="G10" s="128"/>
      <c r="H10" s="128"/>
      <c r="I10" s="135"/>
      <c r="J10" s="135"/>
      <c r="K10" s="135"/>
      <c r="L10" s="135"/>
      <c r="O10" s="3"/>
    </row>
    <row r="11" spans="1:15" ht="12.75">
      <c r="A11" s="23" t="s">
        <v>1</v>
      </c>
      <c r="B11" s="144">
        <f aca="true" t="shared" si="1" ref="B11:B38">SUM(C11:G11)</f>
        <v>128109544.25999999</v>
      </c>
      <c r="C11" s="169">
        <f>'table 2a'!C11</f>
        <v>28452250</v>
      </c>
      <c r="D11" s="169">
        <f>'table 2a'!D11</f>
        <v>741457.48</v>
      </c>
      <c r="E11" s="169">
        <f>state1!C12-state1!I12</f>
        <v>86970098.75999999</v>
      </c>
      <c r="F11" s="208">
        <f>fed1!B12-'table 6'!I12</f>
        <v>11724972.93</v>
      </c>
      <c r="G11" s="169">
        <f>'table 2a'!G11</f>
        <v>220765.09</v>
      </c>
      <c r="H11" s="112"/>
      <c r="I11" s="114">
        <f aca="true" t="shared" si="2" ref="I11:I38">IF(B11&lt;&gt;0,((+C11+D11)/B11*100),(IF(C11&lt;&gt;0,1,0)))</f>
        <v>22.78808159737965</v>
      </c>
      <c r="J11" s="114">
        <f>IF($B11&lt;&gt;0,(E11/$B11*100),(IF(E11&lt;&gt;0,1,0)))</f>
        <v>67.88729072635918</v>
      </c>
      <c r="K11" s="114">
        <f aca="true" t="shared" si="3" ref="K11:L15">IF($B11&lt;&gt;0,(F11/$B11*100),(IF(F11&lt;&gt;0,1,0)))</f>
        <v>9.152302428150096</v>
      </c>
      <c r="L11" s="114">
        <f t="shared" si="3"/>
        <v>0.1723252481110653</v>
      </c>
      <c r="M11" s="18"/>
      <c r="O11" s="20"/>
    </row>
    <row r="12" spans="1:15" ht="12.75">
      <c r="A12" s="90" t="s">
        <v>2</v>
      </c>
      <c r="B12" s="116">
        <f t="shared" si="1"/>
        <v>878689058.4699999</v>
      </c>
      <c r="C12" s="169">
        <f>'table 2a'!C12</f>
        <v>551340800</v>
      </c>
      <c r="D12" s="169">
        <f>'table 2a'!D12</f>
        <v>3722125.07</v>
      </c>
      <c r="E12" s="169">
        <f>state1!C13-state1!I13</f>
        <v>277640222.21</v>
      </c>
      <c r="F12" s="208">
        <f>fed1!B13-'table 6'!I13</f>
        <v>45403290.18999999</v>
      </c>
      <c r="G12" s="169">
        <f>'table 2a'!G12</f>
        <v>582621</v>
      </c>
      <c r="H12" s="115"/>
      <c r="I12" s="114">
        <f t="shared" si="2"/>
        <v>63.16943630053758</v>
      </c>
      <c r="J12" s="114">
        <f>IF($B12&lt;&gt;0,(E12/$B12*100),(IF(E12&lt;&gt;0,1,0)))</f>
        <v>31.597095643074873</v>
      </c>
      <c r="K12" s="114">
        <f t="shared" si="3"/>
        <v>5.167162348539719</v>
      </c>
      <c r="L12" s="114">
        <f t="shared" si="3"/>
        <v>0.06630570784783384</v>
      </c>
      <c r="O12" s="20"/>
    </row>
    <row r="13" spans="1:15" ht="12.75">
      <c r="A13" s="90" t="s">
        <v>3</v>
      </c>
      <c r="B13" s="116">
        <f t="shared" si="1"/>
        <v>1244954621.3600001</v>
      </c>
      <c r="C13" s="169">
        <f>'table 2a'!C13</f>
        <v>200769779</v>
      </c>
      <c r="D13" s="169">
        <f>'table 2a'!D13</f>
        <v>25191926.64</v>
      </c>
      <c r="E13" s="169">
        <f>state1!C14-state1!I14</f>
        <v>846113085.01</v>
      </c>
      <c r="F13" s="208">
        <f>fed1!B14-'table 6'!I14</f>
        <v>151498894.82</v>
      </c>
      <c r="G13" s="169">
        <f>'table 2a'!G13</f>
        <v>21380935.89</v>
      </c>
      <c r="H13" s="115"/>
      <c r="I13" s="114">
        <f>IF(B13&lt;&gt;0,((+C13+D13)/B13*100),(IF(C13&lt;&gt;0,1,0)))</f>
        <v>18.15019614073622</v>
      </c>
      <c r="J13" s="114">
        <f>IF($B13&lt;&gt;0,(E13/$B13*100),(IF(E13&lt;&gt;0,1,0)))</f>
        <v>67.96336753910742</v>
      </c>
      <c r="K13" s="114">
        <f t="shared" si="3"/>
        <v>12.169029474704963</v>
      </c>
      <c r="L13" s="114">
        <f t="shared" si="3"/>
        <v>1.717406845451384</v>
      </c>
      <c r="O13" s="20"/>
    </row>
    <row r="14" spans="1:15" ht="12.75">
      <c r="A14" s="90" t="s">
        <v>4</v>
      </c>
      <c r="B14" s="116">
        <f t="shared" si="1"/>
        <v>1254673177.0700002</v>
      </c>
      <c r="C14" s="169">
        <f>'table 2a'!C14</f>
        <v>646292520</v>
      </c>
      <c r="D14" s="169">
        <f>'table 2a'!D14</f>
        <v>4255072.93</v>
      </c>
      <c r="E14" s="169">
        <f>state1!C15-state1!I15</f>
        <v>522405412.20000005</v>
      </c>
      <c r="F14" s="208">
        <f>fed1!B15-'table 6'!I15</f>
        <v>73978956.93999998</v>
      </c>
      <c r="G14" s="169">
        <f>'table 2a'!G14</f>
        <v>7741215</v>
      </c>
      <c r="H14" s="115"/>
      <c r="I14" s="114">
        <f t="shared" si="2"/>
        <v>51.849964183438104</v>
      </c>
      <c r="J14" s="114">
        <f>IF($B14&lt;&gt;0,(E14/$B14*100),(IF(E14&lt;&gt;0,1,0)))</f>
        <v>41.636772168825466</v>
      </c>
      <c r="K14" s="114">
        <f t="shared" si="3"/>
        <v>5.896273092628055</v>
      </c>
      <c r="L14" s="114">
        <f t="shared" si="3"/>
        <v>0.6169905551083688</v>
      </c>
      <c r="O14" s="20"/>
    </row>
    <row r="15" spans="1:15" ht="12.75">
      <c r="A15" s="90" t="s">
        <v>5</v>
      </c>
      <c r="B15" s="116">
        <f t="shared" si="1"/>
        <v>198494870.38</v>
      </c>
      <c r="C15" s="169">
        <f>'table 2a'!C15</f>
        <v>100658901.51</v>
      </c>
      <c r="D15" s="169">
        <f>'table 2a'!D15</f>
        <v>3172503.97</v>
      </c>
      <c r="E15" s="169">
        <f>state1!C16-state1!I16</f>
        <v>86845831.84</v>
      </c>
      <c r="F15" s="208">
        <f>fed1!B16-'table 6'!I16</f>
        <v>7817633.06</v>
      </c>
      <c r="G15" s="169">
        <f>'table 2a'!G15</f>
        <v>0</v>
      </c>
      <c r="H15" s="115"/>
      <c r="I15" s="114">
        <f t="shared" si="2"/>
        <v>52.30936461039241</v>
      </c>
      <c r="J15" s="114">
        <f>IF($B15&lt;&gt;0,(E15/$B15*100),(IF(E15&lt;&gt;0,1,0)))</f>
        <v>43.752179425967896</v>
      </c>
      <c r="K15" s="114">
        <f t="shared" si="3"/>
        <v>3.9384559636396985</v>
      </c>
      <c r="L15" s="114">
        <f t="shared" si="3"/>
        <v>0</v>
      </c>
      <c r="O15" s="20"/>
    </row>
    <row r="16" spans="2:15" ht="12.75">
      <c r="B16" s="116"/>
      <c r="C16" s="169"/>
      <c r="D16" s="169"/>
      <c r="E16" s="169"/>
      <c r="F16" s="208"/>
      <c r="G16" s="169"/>
      <c r="H16" s="115"/>
      <c r="I16" s="114"/>
      <c r="J16" s="114"/>
      <c r="K16" s="114"/>
      <c r="L16" s="114"/>
      <c r="O16" s="3"/>
    </row>
    <row r="17" spans="1:15" ht="12.75">
      <c r="A17" s="90" t="s">
        <v>6</v>
      </c>
      <c r="B17" s="116">
        <f t="shared" si="1"/>
        <v>61276668.050000004</v>
      </c>
      <c r="C17" s="169">
        <f>'table 2a'!C17</f>
        <v>12367678</v>
      </c>
      <c r="D17" s="169">
        <f>'table 2a'!D17</f>
        <v>766703.06</v>
      </c>
      <c r="E17" s="169">
        <f>state1!C18-state1!I18</f>
        <v>42869852.35</v>
      </c>
      <c r="F17" s="208">
        <f>fed1!B18-'table 6'!I18</f>
        <v>5272434.6400000015</v>
      </c>
      <c r="G17" s="169">
        <f>'table 2a'!G17</f>
        <v>0</v>
      </c>
      <c r="H17" s="115"/>
      <c r="I17" s="114">
        <f t="shared" si="2"/>
        <v>21.434554909680667</v>
      </c>
      <c r="J17" s="114">
        <f>IF($B17&lt;&gt;0,(E17/$B17*100),(IF(E17&lt;&gt;0,1,0)))</f>
        <v>69.96113482381162</v>
      </c>
      <c r="K17" s="114">
        <f aca="true" t="shared" si="4" ref="K17:L21">IF($B17&lt;&gt;0,(F17/$B17*100),(IF(F17&lt;&gt;0,1,0)))</f>
        <v>8.604310266507714</v>
      </c>
      <c r="L17" s="114">
        <f t="shared" si="4"/>
        <v>0</v>
      </c>
      <c r="O17" s="20"/>
    </row>
    <row r="18" spans="1:15" ht="12.75">
      <c r="A18" s="90" t="s">
        <v>7</v>
      </c>
      <c r="B18" s="116">
        <f t="shared" si="1"/>
        <v>325248588.98</v>
      </c>
      <c r="C18" s="169">
        <f>'table 2a'!C18</f>
        <v>164164876</v>
      </c>
      <c r="D18" s="169">
        <f>'table 2a'!D18</f>
        <v>2335055.82</v>
      </c>
      <c r="E18" s="169">
        <f>state1!C19-state1!I19</f>
        <v>144818277.04</v>
      </c>
      <c r="F18" s="208">
        <f>fed1!B19-'table 6'!I19</f>
        <v>12674674.97</v>
      </c>
      <c r="G18" s="169">
        <f>'table 2a'!G18</f>
        <v>1255705.15</v>
      </c>
      <c r="H18" s="115"/>
      <c r="I18" s="114">
        <f t="shared" si="2"/>
        <v>51.191592357757564</v>
      </c>
      <c r="J18" s="114">
        <f>IF($B18&lt;&gt;0,(E18/$B18*100),(IF(E18&lt;&gt;0,1,0)))</f>
        <v>44.525412852415194</v>
      </c>
      <c r="K18" s="114">
        <f t="shared" si="4"/>
        <v>3.896919279419037</v>
      </c>
      <c r="L18" s="114">
        <f t="shared" si="4"/>
        <v>0.3860755104081989</v>
      </c>
      <c r="O18" s="20"/>
    </row>
    <row r="19" spans="1:15" ht="12.75">
      <c r="A19" s="90" t="s">
        <v>8</v>
      </c>
      <c r="B19" s="116">
        <f t="shared" si="1"/>
        <v>181687344.95000002</v>
      </c>
      <c r="C19" s="169">
        <f>'table 2a'!C19</f>
        <v>69915162</v>
      </c>
      <c r="D19" s="169">
        <f>'table 2a'!D19</f>
        <v>2131197</v>
      </c>
      <c r="E19" s="169">
        <f>state1!C20-state1!I20</f>
        <v>98692515.49</v>
      </c>
      <c r="F19" s="208">
        <f>fed1!B20-'table 6'!I20</f>
        <v>10948470.459999999</v>
      </c>
      <c r="G19" s="169">
        <f>'table 2a'!G19</f>
        <v>0</v>
      </c>
      <c r="H19" s="115"/>
      <c r="I19" s="114">
        <f>IF(B19&lt;&gt;0,((+C19+D19)/B19*100),(IF(C19&lt;&gt;0,1,0)))</f>
        <v>39.65403260190026</v>
      </c>
      <c r="J19" s="114">
        <f>IF($B19&lt;&gt;0,(E19/$B19*100),(IF(E19&lt;&gt;0,1,0)))</f>
        <v>54.31997232232105</v>
      </c>
      <c r="K19" s="114">
        <f t="shared" si="4"/>
        <v>6.025995075778665</v>
      </c>
      <c r="L19" s="114">
        <f t="shared" si="4"/>
        <v>0</v>
      </c>
      <c r="O19" s="20"/>
    </row>
    <row r="20" spans="1:15" ht="12.75">
      <c r="A20" s="90" t="s">
        <v>9</v>
      </c>
      <c r="B20" s="116">
        <f t="shared" si="1"/>
        <v>313105705.58</v>
      </c>
      <c r="C20" s="169">
        <f>'table 2a'!C20</f>
        <v>138466100.01</v>
      </c>
      <c r="D20" s="169">
        <f>'table 2a'!D20</f>
        <v>5580904.68</v>
      </c>
      <c r="E20" s="169">
        <f>state1!C21-state1!I21</f>
        <v>152997777.54999998</v>
      </c>
      <c r="F20" s="208">
        <f>fed1!B21-'table 6'!I21</f>
        <v>16060923.339999998</v>
      </c>
      <c r="G20" s="169">
        <f>'table 2a'!G20</f>
        <v>0</v>
      </c>
      <c r="H20" s="115"/>
      <c r="I20" s="114">
        <f t="shared" si="2"/>
        <v>46.00587026134384</v>
      </c>
      <c r="J20" s="114">
        <f>IF($B20&lt;&gt;0,(E20/$B20*100),(IF(E20&lt;&gt;0,1,0)))</f>
        <v>48.86457666639624</v>
      </c>
      <c r="K20" s="114">
        <f t="shared" si="4"/>
        <v>5.129553072259923</v>
      </c>
      <c r="L20" s="114">
        <f t="shared" si="4"/>
        <v>0</v>
      </c>
      <c r="O20" s="20"/>
    </row>
    <row r="21" spans="1:15" ht="12.75">
      <c r="A21" s="90" t="s">
        <v>10</v>
      </c>
      <c r="B21" s="116">
        <f t="shared" si="1"/>
        <v>54960836.120000005</v>
      </c>
      <c r="C21" s="169">
        <f>'table 2a'!C21</f>
        <v>17473300</v>
      </c>
      <c r="D21" s="169">
        <f>'table 2a'!D21</f>
        <v>861851.6000000001</v>
      </c>
      <c r="E21" s="169">
        <f>state1!C22-state1!I22</f>
        <v>30719231.32</v>
      </c>
      <c r="F21" s="208">
        <f>fed1!B22-'table 6'!I22</f>
        <v>5906453.199999999</v>
      </c>
      <c r="G21" s="169">
        <f>'table 2a'!G21</f>
        <v>0</v>
      </c>
      <c r="H21" s="115"/>
      <c r="I21" s="114">
        <f t="shared" si="2"/>
        <v>33.36039422684095</v>
      </c>
      <c r="J21" s="114">
        <f>IF($B21&lt;&gt;0,(E21/$B21*100),(IF(E21&lt;&gt;0,1,0)))</f>
        <v>55.8929475762131</v>
      </c>
      <c r="K21" s="114">
        <f t="shared" si="4"/>
        <v>10.746658196945928</v>
      </c>
      <c r="L21" s="114">
        <f t="shared" si="4"/>
        <v>0</v>
      </c>
      <c r="O21" s="20"/>
    </row>
    <row r="22" spans="2:15" ht="12.75">
      <c r="B22" s="116"/>
      <c r="C22" s="169"/>
      <c r="D22" s="169"/>
      <c r="E22" s="169"/>
      <c r="F22" s="208"/>
      <c r="G22" s="169"/>
      <c r="H22" s="115"/>
      <c r="I22" s="114"/>
      <c r="J22" s="114"/>
      <c r="K22" s="114"/>
      <c r="L22" s="114"/>
      <c r="O22" s="3"/>
    </row>
    <row r="23" spans="1:15" ht="12.75">
      <c r="A23" s="90" t="s">
        <v>11</v>
      </c>
      <c r="B23" s="116">
        <f t="shared" si="1"/>
        <v>466731543.65000004</v>
      </c>
      <c r="C23" s="169">
        <f>'table 2a'!C23</f>
        <v>238250808.99</v>
      </c>
      <c r="D23" s="169">
        <f>'table 2a'!D23</f>
        <v>3752534.8099999996</v>
      </c>
      <c r="E23" s="169">
        <f>state1!C24-state1!I24</f>
        <v>206230574.36</v>
      </c>
      <c r="F23" s="208">
        <f>fed1!B24-'table 6'!I24</f>
        <v>18497625.489999995</v>
      </c>
      <c r="G23" s="169">
        <f>'table 2a'!G23</f>
        <v>0</v>
      </c>
      <c r="H23" s="115"/>
      <c r="I23" s="114">
        <f t="shared" si="2"/>
        <v>51.850650998955686</v>
      </c>
      <c r="J23" s="114">
        <f>IF($B23&lt;&gt;0,(E23/$B23*100),(IF(E23&lt;&gt;0,1,0)))</f>
        <v>44.18612308634778</v>
      </c>
      <c r="K23" s="114">
        <f aca="true" t="shared" si="5" ref="K23:L27">IF($B23&lt;&gt;0,(F23/$B23*100),(IF(F23&lt;&gt;0,1,0)))</f>
        <v>3.9632259146965403</v>
      </c>
      <c r="L23" s="114">
        <f t="shared" si="5"/>
        <v>0</v>
      </c>
      <c r="O23" s="20"/>
    </row>
    <row r="24" spans="1:15" ht="12.75">
      <c r="A24" s="90" t="s">
        <v>12</v>
      </c>
      <c r="B24" s="116">
        <f t="shared" si="1"/>
        <v>53600119.599999994</v>
      </c>
      <c r="C24" s="169">
        <f>'table 2a'!C24</f>
        <v>22773734.86</v>
      </c>
      <c r="D24" s="169">
        <f>'table 2a'!D24</f>
        <v>286726.04999999993</v>
      </c>
      <c r="E24" s="169">
        <f>state1!C25-state1!I25</f>
        <v>25476541.84</v>
      </c>
      <c r="F24" s="208">
        <f>fed1!B25-'table 6'!I25</f>
        <v>5056069.189999999</v>
      </c>
      <c r="G24" s="169">
        <f>'table 2a'!G24</f>
        <v>7047.66</v>
      </c>
      <c r="H24" s="115"/>
      <c r="I24" s="114">
        <f t="shared" si="2"/>
        <v>43.023151966996735</v>
      </c>
      <c r="J24" s="114">
        <f>IF($B24&lt;&gt;0,(E24/$B24*100),(IF(E24&lt;&gt;0,1,0)))</f>
        <v>47.530755584358815</v>
      </c>
      <c r="K24" s="114">
        <f t="shared" si="5"/>
        <v>9.432943858580494</v>
      </c>
      <c r="L24" s="114">
        <f t="shared" si="5"/>
        <v>0.013148590063966948</v>
      </c>
      <c r="O24" s="20"/>
    </row>
    <row r="25" spans="1:15" ht="12.75">
      <c r="A25" s="90" t="s">
        <v>13</v>
      </c>
      <c r="B25" s="116">
        <f t="shared" si="1"/>
        <v>444291880.5300001</v>
      </c>
      <c r="C25" s="169">
        <f>'table 2a'!C25</f>
        <v>206978734</v>
      </c>
      <c r="D25" s="169">
        <f>'table 2a'!D25</f>
        <v>3174595.36</v>
      </c>
      <c r="E25" s="169">
        <f>state1!C26-state1!I26</f>
        <v>211757041.34</v>
      </c>
      <c r="F25" s="208">
        <f>fed1!B26-'table 6'!I26</f>
        <v>20835501.110000003</v>
      </c>
      <c r="G25" s="169">
        <f>'table 2a'!G25</f>
        <v>1546008.72</v>
      </c>
      <c r="H25" s="115"/>
      <c r="I25" s="114">
        <f>IF(B25&lt;&gt;0,((+C25+D25)/B25*100),(IF(C25&lt;&gt;0,1,0)))</f>
        <v>47.3007359732314</v>
      </c>
      <c r="J25" s="114">
        <f>IF($B25&lt;&gt;0,(E25/$B25*100),(IF(E25&lt;&gt;0,1,0)))</f>
        <v>47.661695074731725</v>
      </c>
      <c r="K25" s="114">
        <f t="shared" si="5"/>
        <v>4.689597542306003</v>
      </c>
      <c r="L25" s="114">
        <f t="shared" si="5"/>
        <v>0.3479714097308623</v>
      </c>
      <c r="O25" s="20"/>
    </row>
    <row r="26" spans="1:15" ht="12.75">
      <c r="A26" s="90" t="s">
        <v>14</v>
      </c>
      <c r="B26" s="116">
        <f t="shared" si="1"/>
        <v>683840520.38</v>
      </c>
      <c r="C26" s="169">
        <f>'table 2a'!C26</f>
        <v>454794610</v>
      </c>
      <c r="D26" s="169">
        <f>'table 2a'!D26</f>
        <v>11462648</v>
      </c>
      <c r="E26" s="169">
        <f>state1!C27-state1!I27</f>
        <v>196453089.88000003</v>
      </c>
      <c r="F26" s="208">
        <f>fed1!B27-'table 6'!I27</f>
        <v>20159172.5</v>
      </c>
      <c r="G26" s="169">
        <f>'table 2a'!G26</f>
        <v>971000</v>
      </c>
      <c r="H26" s="115"/>
      <c r="I26" s="114">
        <f t="shared" si="2"/>
        <v>68.18216296116934</v>
      </c>
      <c r="J26" s="114">
        <f>IF($B26&lt;&gt;0,(E26/$B26*100),(IF(E26&lt;&gt;0,1,0)))</f>
        <v>28.727910093837956</v>
      </c>
      <c r="K26" s="114">
        <f t="shared" si="5"/>
        <v>2.9479347741484885</v>
      </c>
      <c r="L26" s="114">
        <f t="shared" si="5"/>
        <v>0.141992170844224</v>
      </c>
      <c r="O26" s="20"/>
    </row>
    <row r="27" spans="1:15" ht="12.75">
      <c r="A27" s="90" t="s">
        <v>15</v>
      </c>
      <c r="B27" s="116">
        <f t="shared" si="1"/>
        <v>31090227.150000002</v>
      </c>
      <c r="C27" s="169">
        <f>'table 2a'!C27</f>
        <v>17217000</v>
      </c>
      <c r="D27" s="169">
        <f>'table 2a'!D27</f>
        <v>338042</v>
      </c>
      <c r="E27" s="169">
        <f>state1!C28-state1!I28</f>
        <v>10384540.370000001</v>
      </c>
      <c r="F27" s="208">
        <f>fed1!B28-'table 6'!I28</f>
        <v>3150644.7800000007</v>
      </c>
      <c r="G27" s="169">
        <f>'table 2a'!G27</f>
        <v>0</v>
      </c>
      <c r="H27" s="115"/>
      <c r="I27" s="114">
        <f t="shared" si="2"/>
        <v>56.46482386668571</v>
      </c>
      <c r="J27" s="114">
        <f>IF($B27&lt;&gt;0,(E27/$B27*100),(IF(E27&lt;&gt;0,1,0)))</f>
        <v>33.40130105804003</v>
      </c>
      <c r="K27" s="114">
        <f t="shared" si="5"/>
        <v>10.133875075274258</v>
      </c>
      <c r="L27" s="114">
        <f t="shared" si="5"/>
        <v>0</v>
      </c>
      <c r="O27" s="20"/>
    </row>
    <row r="28" spans="2:15" ht="12.75">
      <c r="B28" s="116"/>
      <c r="C28" s="169"/>
      <c r="D28" s="169"/>
      <c r="E28" s="169"/>
      <c r="F28" s="208"/>
      <c r="G28" s="169"/>
      <c r="H28" s="115"/>
      <c r="I28" s="114"/>
      <c r="J28" s="114"/>
      <c r="K28" s="114"/>
      <c r="L28" s="114"/>
      <c r="O28" s="3"/>
    </row>
    <row r="29" spans="1:15" ht="12.75">
      <c r="A29" s="90" t="s">
        <v>16</v>
      </c>
      <c r="B29" s="116">
        <f t="shared" si="1"/>
        <v>2046044617.79</v>
      </c>
      <c r="C29" s="169">
        <f>'table 2a'!C29</f>
        <v>1513763860.48</v>
      </c>
      <c r="D29" s="169">
        <f>'table 2a'!D29</f>
        <v>13217243.290000001</v>
      </c>
      <c r="E29" s="169">
        <f>state1!C30-state1!I30</f>
        <v>429513945.73</v>
      </c>
      <c r="F29" s="208">
        <f>fed1!B30-'table 6'!I30</f>
        <v>89432063.59</v>
      </c>
      <c r="G29" s="169">
        <f>'table 2a'!G29</f>
        <v>117504.7</v>
      </c>
      <c r="H29" s="115"/>
      <c r="I29" s="114">
        <f t="shared" si="2"/>
        <v>74.63088001567348</v>
      </c>
      <c r="J29" s="114">
        <f>IF($B29&lt;&gt;0,(E29/$B29*100),(IF(E29&lt;&gt;0,1,0)))</f>
        <v>20.992403684428552</v>
      </c>
      <c r="K29" s="114">
        <f aca="true" t="shared" si="6" ref="K29:L33">IF($B29&lt;&gt;0,(F29/$B29*100),(IF(F29&lt;&gt;0,1,0)))</f>
        <v>4.370973282420327</v>
      </c>
      <c r="L29" s="114">
        <f t="shared" si="6"/>
        <v>0.00574301747764038</v>
      </c>
      <c r="O29" s="20"/>
    </row>
    <row r="30" spans="1:15" ht="12.75">
      <c r="A30" s="90" t="s">
        <v>17</v>
      </c>
      <c r="B30" s="116">
        <f t="shared" si="1"/>
        <v>1648381610.59</v>
      </c>
      <c r="C30" s="169">
        <f>'table 2a'!C30</f>
        <v>594493211.81</v>
      </c>
      <c r="D30" s="169">
        <f>'table 2a'!D30</f>
        <v>17950483.38</v>
      </c>
      <c r="E30" s="169">
        <f>state1!C31-state1!I31</f>
        <v>920621913.04</v>
      </c>
      <c r="F30" s="208">
        <f>fed1!B31-'table 6'!I31</f>
        <v>115316002.35999995</v>
      </c>
      <c r="G30" s="169">
        <f>'table 2a'!G30</f>
        <v>0</v>
      </c>
      <c r="H30" s="115"/>
      <c r="I30" s="114">
        <f t="shared" si="2"/>
        <v>37.154242152142785</v>
      </c>
      <c r="J30" s="114">
        <f>IF($B30&lt;&gt;0,(E30/$B30*100),(IF(E30&lt;&gt;0,1,0)))</f>
        <v>55.85004753301541</v>
      </c>
      <c r="K30" s="114">
        <f t="shared" si="6"/>
        <v>6.995710314841796</v>
      </c>
      <c r="L30" s="114">
        <f t="shared" si="6"/>
        <v>0</v>
      </c>
      <c r="O30" s="20"/>
    </row>
    <row r="31" spans="1:15" ht="12.75">
      <c r="A31" s="90" t="s">
        <v>18</v>
      </c>
      <c r="B31" s="116">
        <f t="shared" si="1"/>
        <v>84444571.03999999</v>
      </c>
      <c r="C31" s="169">
        <f>'table 2a'!C31</f>
        <v>47176250</v>
      </c>
      <c r="D31" s="169">
        <f>'table 2a'!D31</f>
        <v>691701.79</v>
      </c>
      <c r="E31" s="169">
        <f>state1!C32-state1!I32</f>
        <v>31147467.759999998</v>
      </c>
      <c r="F31" s="208">
        <f>fed1!B32-'table 6'!I32</f>
        <v>5429151.49</v>
      </c>
      <c r="G31" s="169">
        <f>'table 2a'!G31</f>
        <v>0</v>
      </c>
      <c r="H31" s="115"/>
      <c r="I31" s="114">
        <f>IF(B31&lt;&gt;0,((+C31+D31)/B31*100),(IF(C31&lt;&gt;0,1,0)))</f>
        <v>56.68564740215892</v>
      </c>
      <c r="J31" s="114">
        <f>IF($B31&lt;&gt;0,(E31/$B31*100),(IF(E31&lt;&gt;0,1,0)))</f>
        <v>36.88510389287899</v>
      </c>
      <c r="K31" s="114">
        <f t="shared" si="6"/>
        <v>6.4292487049621</v>
      </c>
      <c r="L31" s="114">
        <f t="shared" si="6"/>
        <v>0</v>
      </c>
      <c r="O31" s="20"/>
    </row>
    <row r="32" spans="1:15" ht="12.75">
      <c r="A32" s="90" t="s">
        <v>19</v>
      </c>
      <c r="B32" s="116">
        <f t="shared" si="1"/>
        <v>190882290.89999998</v>
      </c>
      <c r="C32" s="169">
        <f>'table 2a'!C32</f>
        <v>80138192</v>
      </c>
      <c r="D32" s="169">
        <f>'table 2a'!D32</f>
        <v>1206316.46</v>
      </c>
      <c r="E32" s="169">
        <f>state1!C33-state1!I33</f>
        <v>94821808.88</v>
      </c>
      <c r="F32" s="208">
        <f>fed1!B33-'table 6'!I33</f>
        <v>13275137.790000001</v>
      </c>
      <c r="G32" s="169">
        <f>'table 2a'!G32</f>
        <v>1440835.77</v>
      </c>
      <c r="H32" s="115"/>
      <c r="I32" s="114">
        <f t="shared" si="2"/>
        <v>42.61501057875244</v>
      </c>
      <c r="J32" s="114">
        <f>IF($B32&lt;&gt;0,(E32/$B32*100),(IF(E32&lt;&gt;0,1,0)))</f>
        <v>49.67554005817939</v>
      </c>
      <c r="K32" s="114">
        <f t="shared" si="6"/>
        <v>6.954619900782006</v>
      </c>
      <c r="L32" s="114">
        <f t="shared" si="6"/>
        <v>0.7548294622861739</v>
      </c>
      <c r="O32" s="20"/>
    </row>
    <row r="33" spans="1:15" ht="12.75">
      <c r="A33" s="90" t="s">
        <v>20</v>
      </c>
      <c r="B33" s="116">
        <f t="shared" si="1"/>
        <v>39266936.1</v>
      </c>
      <c r="C33" s="169">
        <f>'table 2a'!C33</f>
        <v>8994324</v>
      </c>
      <c r="D33" s="169">
        <f>'table 2a'!D33</f>
        <v>358429.52</v>
      </c>
      <c r="E33" s="169">
        <f>state1!C34-state1!I34</f>
        <v>23810973.900000002</v>
      </c>
      <c r="F33" s="208">
        <f>fed1!B34-'table 6'!I34</f>
        <v>6103208.68</v>
      </c>
      <c r="G33" s="169">
        <f>'table 2a'!G33</f>
        <v>0</v>
      </c>
      <c r="H33" s="115"/>
      <c r="I33" s="114">
        <f t="shared" si="2"/>
        <v>23.81839391843969</v>
      </c>
      <c r="J33" s="114">
        <f>IF($B33&lt;&gt;0,(E33/$B33*100),(IF(E33&lt;&gt;0,1,0)))</f>
        <v>60.63873646612321</v>
      </c>
      <c r="K33" s="114">
        <f t="shared" si="6"/>
        <v>15.542869615437095</v>
      </c>
      <c r="L33" s="114">
        <f t="shared" si="6"/>
        <v>0</v>
      </c>
      <c r="O33" s="20"/>
    </row>
    <row r="34" spans="2:15" ht="12.75">
      <c r="B34" s="116"/>
      <c r="C34" s="67"/>
      <c r="D34" s="169"/>
      <c r="E34" s="208"/>
      <c r="F34" s="208"/>
      <c r="G34" s="169"/>
      <c r="H34" s="115"/>
      <c r="I34" s="114"/>
      <c r="J34" s="114"/>
      <c r="K34" s="114"/>
      <c r="L34" s="114"/>
      <c r="O34" s="3"/>
    </row>
    <row r="35" spans="1:15" ht="12.75">
      <c r="A35" s="90" t="s">
        <v>21</v>
      </c>
      <c r="B35" s="116">
        <f t="shared" si="1"/>
        <v>48054467.1</v>
      </c>
      <c r="C35" s="169">
        <f>'table 2a'!C35</f>
        <v>34053966</v>
      </c>
      <c r="D35" s="169">
        <f>'table 2a'!D35</f>
        <v>445449.18999999994</v>
      </c>
      <c r="E35" s="169">
        <f>state1!C36-state1!I36</f>
        <v>10372095.620000001</v>
      </c>
      <c r="F35" s="208">
        <f>fed1!B36-'table 6'!I36</f>
        <v>3100354.29</v>
      </c>
      <c r="G35" s="169">
        <f>'table 2a'!G35</f>
        <v>82602</v>
      </c>
      <c r="H35" s="115"/>
      <c r="I35" s="114">
        <f t="shared" si="2"/>
        <v>71.79231666060863</v>
      </c>
      <c r="J35" s="114">
        <f>IF($B35&lt;&gt;0,(E35/$B35*100),(IF(E35&lt;&gt;0,1,0)))</f>
        <v>21.584040456459462</v>
      </c>
      <c r="K35" s="114">
        <f aca="true" t="shared" si="7" ref="K35:L38">IF($B35&lt;&gt;0,(F35/$B35*100),(IF(F35&lt;&gt;0,1,0)))</f>
        <v>6.451750434664586</v>
      </c>
      <c r="L35" s="114">
        <f t="shared" si="7"/>
        <v>0.17189244826731206</v>
      </c>
      <c r="O35" s="20"/>
    </row>
    <row r="36" spans="1:15" ht="12.75">
      <c r="A36" s="90" t="s">
        <v>22</v>
      </c>
      <c r="B36" s="116">
        <f t="shared" si="1"/>
        <v>248114747.76999998</v>
      </c>
      <c r="C36" s="169">
        <f>'table 2a'!C36</f>
        <v>87741185</v>
      </c>
      <c r="D36" s="169">
        <f>'table 2a'!D36</f>
        <v>1406692.25</v>
      </c>
      <c r="E36" s="169">
        <f>state1!C37-state1!I37</f>
        <v>141620239.19</v>
      </c>
      <c r="F36" s="208">
        <f>fed1!B37-'table 6'!I37</f>
        <v>16964993.950000003</v>
      </c>
      <c r="G36" s="169">
        <f>'table 2a'!G36</f>
        <v>381637.38</v>
      </c>
      <c r="H36" s="115"/>
      <c r="I36" s="114">
        <f t="shared" si="2"/>
        <v>35.93010010539125</v>
      </c>
      <c r="J36" s="114">
        <f>IF($B36&lt;&gt;0,(E36/$B36*100),(IF(E36&lt;&gt;0,1,0)))</f>
        <v>57.07852534476533</v>
      </c>
      <c r="K36" s="114">
        <f t="shared" si="7"/>
        <v>6.837559678526804</v>
      </c>
      <c r="L36" s="114">
        <f t="shared" si="7"/>
        <v>0.15381487131662736</v>
      </c>
      <c r="O36" s="20"/>
    </row>
    <row r="37" spans="1:15" ht="12.75">
      <c r="A37" s="90" t="s">
        <v>23</v>
      </c>
      <c r="B37" s="116">
        <f t="shared" si="1"/>
        <v>179527223.70000002</v>
      </c>
      <c r="C37" s="169">
        <f>'table 2a'!C37</f>
        <v>50204655</v>
      </c>
      <c r="D37" s="169">
        <f>'table 2a'!D37</f>
        <v>2819971.9199999995</v>
      </c>
      <c r="E37" s="169">
        <f>state1!C38-state1!I38</f>
        <v>109369265.89</v>
      </c>
      <c r="F37" s="208">
        <f>fed1!B38-'table 6'!I38</f>
        <v>14943278.989999998</v>
      </c>
      <c r="G37" s="169">
        <f>'table 2a'!G37</f>
        <v>2190051.9</v>
      </c>
      <c r="H37" s="115"/>
      <c r="I37" s="114">
        <f t="shared" si="2"/>
        <v>29.535702623356503</v>
      </c>
      <c r="J37" s="114">
        <f>IF($B37&lt;&gt;0,(E37/$B37*100),(IF(E37&lt;&gt;0,1,0)))</f>
        <v>60.92071365887223</v>
      </c>
      <c r="K37" s="114">
        <f t="shared" si="7"/>
        <v>8.323684108751689</v>
      </c>
      <c r="L37" s="114">
        <f t="shared" si="7"/>
        <v>1.2198996090195762</v>
      </c>
      <c r="O37" s="20"/>
    </row>
    <row r="38" spans="1:15" ht="12.75">
      <c r="A38" s="146" t="s">
        <v>24</v>
      </c>
      <c r="B38" s="119">
        <f t="shared" si="1"/>
        <v>98528802.1</v>
      </c>
      <c r="C38" s="171">
        <f>'table 2a'!C38</f>
        <v>72614611</v>
      </c>
      <c r="D38" s="171">
        <f>'table 2a'!D38</f>
        <v>827726.5199999999</v>
      </c>
      <c r="E38" s="171">
        <f>state1!C39-state1!I39</f>
        <v>17291322.299999997</v>
      </c>
      <c r="F38" s="171">
        <f>fed1!B39-'table 6'!I39</f>
        <v>7795142.28</v>
      </c>
      <c r="G38" s="171">
        <f>'table 2a'!G38</f>
        <v>0</v>
      </c>
      <c r="H38" s="118"/>
      <c r="I38" s="120">
        <f t="shared" si="2"/>
        <v>74.53895303168412</v>
      </c>
      <c r="J38" s="120">
        <f>IF($B38&lt;&gt;0,(E38/$B38*100),(IF(E38&lt;&gt;0,1,0)))</f>
        <v>17.549510327396945</v>
      </c>
      <c r="K38" s="120">
        <f t="shared" si="7"/>
        <v>7.91153664091893</v>
      </c>
      <c r="L38" s="120">
        <f t="shared" si="7"/>
        <v>0</v>
      </c>
      <c r="O38" s="20"/>
    </row>
    <row r="39" spans="1:15" ht="12.75">
      <c r="A39" s="94"/>
      <c r="B39" s="116"/>
      <c r="C39" s="113"/>
      <c r="D39" s="113"/>
      <c r="E39" s="113"/>
      <c r="F39" s="113"/>
      <c r="G39" s="113"/>
      <c r="H39" s="112"/>
      <c r="I39" s="114"/>
      <c r="J39" s="114"/>
      <c r="K39" s="114"/>
      <c r="L39" s="114"/>
      <c r="O39" s="20"/>
    </row>
    <row r="40" spans="1:12" ht="12.75">
      <c r="A40" s="164" t="s">
        <v>250</v>
      </c>
      <c r="C40" s="111"/>
      <c r="D40" s="115"/>
      <c r="E40" s="111"/>
      <c r="F40" s="111"/>
      <c r="G40" s="111"/>
      <c r="H40" s="111"/>
      <c r="I40" s="172"/>
      <c r="J40" s="172"/>
      <c r="K40" s="172"/>
      <c r="L40" s="111"/>
    </row>
    <row r="41" spans="1:256" ht="12.75">
      <c r="A41" s="54" t="s">
        <v>234</v>
      </c>
      <c r="B41" s="54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  <c r="IU41" s="54"/>
      <c r="IV41" s="54"/>
    </row>
    <row r="42" spans="1:12" ht="12.75">
      <c r="A42" s="54" t="s">
        <v>221</v>
      </c>
      <c r="C42" s="111"/>
      <c r="D42" s="115"/>
      <c r="E42" s="111"/>
      <c r="F42" s="111"/>
      <c r="G42" s="111"/>
      <c r="H42" s="111"/>
      <c r="I42" s="111"/>
      <c r="J42" s="111"/>
      <c r="K42" s="111"/>
      <c r="L42" s="111"/>
    </row>
    <row r="43" spans="1:12" ht="12.75">
      <c r="A43" s="122"/>
      <c r="C43" s="111"/>
      <c r="D43" s="115"/>
      <c r="E43" s="111"/>
      <c r="F43" s="111"/>
      <c r="G43" s="111"/>
      <c r="H43" s="111"/>
      <c r="I43" s="111"/>
      <c r="J43" s="111"/>
      <c r="K43" s="111"/>
      <c r="L43" s="111"/>
    </row>
    <row r="44" spans="3:12" ht="12.75">
      <c r="C44" s="111"/>
      <c r="D44" s="115"/>
      <c r="E44" s="111"/>
      <c r="F44" s="111"/>
      <c r="G44" s="111"/>
      <c r="H44" s="111"/>
      <c r="I44" s="111"/>
      <c r="J44" s="111"/>
      <c r="K44" s="111"/>
      <c r="L44" s="111"/>
    </row>
    <row r="45" ht="12.75">
      <c r="D45" s="121"/>
    </row>
    <row r="46" ht="12.75">
      <c r="D46" s="121"/>
    </row>
  </sheetData>
  <sheetProtection password="CAF5" sheet="1"/>
  <mergeCells count="6">
    <mergeCell ref="A1:L1"/>
    <mergeCell ref="C7:D7"/>
    <mergeCell ref="C6:F6"/>
    <mergeCell ref="I6:L6"/>
    <mergeCell ref="A3:L3"/>
    <mergeCell ref="A4:L4"/>
  </mergeCells>
  <printOptions horizontalCentered="1"/>
  <pageMargins left="0.7" right="0.72" top="0.83" bottom="1" header="0.67" footer="0.5"/>
  <pageSetup fitToHeight="1" fitToWidth="1" horizontalDpi="600" verticalDpi="600" orientation="landscape" scale="81" r:id="rId1"/>
  <headerFooter scaleWithDoc="0">
    <oddFooter>&amp;L&amp;"Arial,Italic"&amp;9MSDE-LFRO  09 / 2010&amp;C- 3 -&amp;R&amp;"Arial,Italic"&amp;9Selected Financial Data-Part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5"/>
  <sheetViews>
    <sheetView workbookViewId="0" topLeftCell="D7">
      <selection activeCell="O45" sqref="O45"/>
    </sheetView>
  </sheetViews>
  <sheetFormatPr defaultColWidth="9.140625" defaultRowHeight="12.75"/>
  <cols>
    <col min="1" max="1" width="14.140625" style="0" customWidth="1"/>
    <col min="2" max="2" width="14.8515625" style="0" customWidth="1"/>
    <col min="3" max="3" width="14.8515625" style="56" customWidth="1"/>
    <col min="4" max="4" width="13.28125" style="56" customWidth="1"/>
    <col min="5" max="5" width="18.140625" style="56" customWidth="1"/>
    <col min="6" max="7" width="13.28125" style="56" customWidth="1"/>
    <col min="8" max="11" width="9.140625" style="56" customWidth="1"/>
  </cols>
  <sheetData>
    <row r="1" spans="1:11" ht="12.75">
      <c r="A1" s="397" t="s">
        <v>91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</row>
    <row r="3" spans="1:11" ht="12.75">
      <c r="A3" s="392" t="s">
        <v>276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</row>
    <row r="4" spans="1:10" ht="12.75">
      <c r="A4" s="397"/>
      <c r="B4" s="397"/>
      <c r="C4" s="397"/>
      <c r="D4" s="397"/>
      <c r="E4" s="397"/>
      <c r="F4" s="397"/>
      <c r="G4" s="397"/>
      <c r="H4" s="397"/>
      <c r="I4" s="397"/>
      <c r="J4" s="397"/>
    </row>
    <row r="5" spans="2:11" ht="13.5" thickBot="1">
      <c r="B5" s="11"/>
      <c r="C5" s="229"/>
      <c r="D5" s="229"/>
      <c r="E5" s="229"/>
      <c r="F5" s="229"/>
      <c r="G5" s="229"/>
      <c r="H5" s="229"/>
      <c r="I5" s="229"/>
      <c r="J5" s="229"/>
      <c r="K5" s="229"/>
    </row>
    <row r="6" spans="1:58" ht="15" customHeight="1" thickTop="1">
      <c r="A6" s="6" t="s">
        <v>81</v>
      </c>
      <c r="B6" s="17" t="s">
        <v>44</v>
      </c>
      <c r="C6" s="399" t="s">
        <v>84</v>
      </c>
      <c r="D6" s="399"/>
      <c r="E6" s="399"/>
      <c r="F6" s="399"/>
      <c r="G6" s="232"/>
      <c r="H6" s="399" t="s">
        <v>86</v>
      </c>
      <c r="I6" s="399"/>
      <c r="J6" s="399"/>
      <c r="K6" s="39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</row>
    <row r="7" spans="1:11" ht="12.75">
      <c r="A7" s="3" t="s">
        <v>34</v>
      </c>
      <c r="B7" s="9" t="s">
        <v>87</v>
      </c>
      <c r="C7" s="398" t="s">
        <v>81</v>
      </c>
      <c r="D7" s="398"/>
      <c r="E7" s="400" t="s">
        <v>45</v>
      </c>
      <c r="F7" s="400" t="s">
        <v>51</v>
      </c>
      <c r="G7" s="126" t="s">
        <v>83</v>
      </c>
      <c r="H7" s="68"/>
      <c r="I7" s="68"/>
      <c r="J7" s="68"/>
      <c r="K7" s="68" t="s">
        <v>83</v>
      </c>
    </row>
    <row r="8" spans="1:11" ht="13.5" thickBot="1">
      <c r="A8" s="7" t="s">
        <v>134</v>
      </c>
      <c r="B8" s="242" t="s">
        <v>88</v>
      </c>
      <c r="C8" s="86" t="s">
        <v>82</v>
      </c>
      <c r="D8" s="86" t="s">
        <v>117</v>
      </c>
      <c r="E8" s="401"/>
      <c r="F8" s="401"/>
      <c r="G8" s="49" t="s">
        <v>85</v>
      </c>
      <c r="H8" s="230" t="s">
        <v>81</v>
      </c>
      <c r="I8" s="230" t="s">
        <v>45</v>
      </c>
      <c r="J8" s="231" t="s">
        <v>51</v>
      </c>
      <c r="K8" s="86" t="s">
        <v>85</v>
      </c>
    </row>
    <row r="9" spans="1:11" ht="12.75">
      <c r="A9" s="3" t="s">
        <v>0</v>
      </c>
      <c r="B9" s="63">
        <f aca="true" t="shared" si="0" ref="B9:G9">SUM(B11:B38)</f>
        <v>1060283999.04</v>
      </c>
      <c r="C9" s="173">
        <f t="shared" si="0"/>
        <v>575828153.1</v>
      </c>
      <c r="D9" s="173">
        <f t="shared" si="0"/>
        <v>3535854.77</v>
      </c>
      <c r="E9" s="173">
        <f t="shared" si="0"/>
        <v>349391237.64000005</v>
      </c>
      <c r="F9" s="200">
        <f t="shared" si="0"/>
        <v>0</v>
      </c>
      <c r="G9" s="173">
        <f t="shared" si="0"/>
        <v>131528753.53</v>
      </c>
      <c r="H9" s="174">
        <f>IF(B9&lt;&gt;0,((+C9+D9)/B9),(IF(C9&lt;&gt;0,1,0)))</f>
        <v>0.5464234190033675</v>
      </c>
      <c r="I9" s="174">
        <f>IF($B9&lt;&gt;0,(E9/$B9),(IF(E9&lt;&gt;0,1,0)))</f>
        <v>0.32952608730900884</v>
      </c>
      <c r="J9" s="174">
        <f>IF($B9&lt;&gt;0,(F9/$B9),(IF(F9&lt;&gt;0,1,0)))</f>
        <v>0</v>
      </c>
      <c r="K9" s="174">
        <f>IF($B9&lt;&gt;0,(G9/$B9),(IF(G9&lt;&gt;0,1,0)))</f>
        <v>0.12405049368762378</v>
      </c>
    </row>
    <row r="10" spans="1:11" ht="12.75">
      <c r="A10" s="3"/>
      <c r="B10" s="64"/>
      <c r="C10" s="175"/>
      <c r="D10" s="80"/>
      <c r="E10" s="79"/>
      <c r="F10" s="75"/>
      <c r="G10" s="75"/>
      <c r="H10" s="176"/>
      <c r="I10" s="176"/>
      <c r="J10" s="176"/>
      <c r="K10" s="176"/>
    </row>
    <row r="11" spans="1:11" ht="12.75">
      <c r="A11" t="s">
        <v>1</v>
      </c>
      <c r="B11" s="59">
        <f aca="true" t="shared" si="1" ref="B11:B38">SUM(C11:G11)</f>
        <v>6893441.97</v>
      </c>
      <c r="C11" s="169">
        <v>109693.13</v>
      </c>
      <c r="D11" s="169">
        <v>0</v>
      </c>
      <c r="E11" s="79">
        <v>367752</v>
      </c>
      <c r="F11" s="169">
        <v>0</v>
      </c>
      <c r="G11" s="169">
        <v>6415996.84</v>
      </c>
      <c r="H11" s="177">
        <f aca="true" t="shared" si="2" ref="H11:H38">IF(B11&lt;&gt;0,((+C11+D11)/B11*100),(IF(C11&lt;&gt;0,1,0)))</f>
        <v>1.591267910535555</v>
      </c>
      <c r="I11" s="177">
        <f>IF($B11&lt;&gt;0,(E11/$B11*100),(IF(E11&lt;&gt;0,1,0)))</f>
        <v>5.3348095421770845</v>
      </c>
      <c r="J11" s="177">
        <f aca="true" t="shared" si="3" ref="J11:K15">IF($B11&lt;&gt;0,(F11/$B11*100),(IF(F11&lt;&gt;0,1,0)))</f>
        <v>0</v>
      </c>
      <c r="K11" s="177">
        <f t="shared" si="3"/>
        <v>93.07392254728735</v>
      </c>
    </row>
    <row r="12" spans="1:11" ht="12.75">
      <c r="A12" t="s">
        <v>2</v>
      </c>
      <c r="B12" s="59">
        <f t="shared" si="1"/>
        <v>120212244</v>
      </c>
      <c r="C12" s="169">
        <v>8088206</v>
      </c>
      <c r="D12" s="169">
        <v>140672</v>
      </c>
      <c r="E12" s="79">
        <v>33043205</v>
      </c>
      <c r="F12" s="169">
        <v>0</v>
      </c>
      <c r="G12" s="169">
        <v>78940161</v>
      </c>
      <c r="H12" s="177">
        <f t="shared" si="2"/>
        <v>6.845291067023089</v>
      </c>
      <c r="I12" s="177">
        <f>IF($B12&lt;&gt;0,(E12/$B12*100),(IF(E12&lt;&gt;0,1,0)))</f>
        <v>27.48738722488202</v>
      </c>
      <c r="J12" s="177">
        <f t="shared" si="3"/>
        <v>0</v>
      </c>
      <c r="K12" s="177">
        <f t="shared" si="3"/>
        <v>65.66732170809489</v>
      </c>
    </row>
    <row r="13" spans="1:11" ht="12.75">
      <c r="A13" t="s">
        <v>3</v>
      </c>
      <c r="B13" s="59">
        <f t="shared" si="1"/>
        <v>81890953.98</v>
      </c>
      <c r="C13" s="169">
        <v>26623662.71</v>
      </c>
      <c r="D13" s="169">
        <v>633818.41</v>
      </c>
      <c r="E13" s="79">
        <v>36633472.86</v>
      </c>
      <c r="F13" s="169">
        <v>0</v>
      </c>
      <c r="G13" s="169">
        <v>18000000</v>
      </c>
      <c r="H13" s="177">
        <f>IF(B13&lt;&gt;0,((+C13+D13)/B13*100),(IF(C13&lt;&gt;0,1,0)))</f>
        <v>33.28509413464278</v>
      </c>
      <c r="I13" s="177">
        <f>IF($B13&lt;&gt;0,(E13/$B13*100),(IF(E13&lt;&gt;0,1,0)))</f>
        <v>44.73445610237596</v>
      </c>
      <c r="J13" s="177">
        <f t="shared" si="3"/>
        <v>0</v>
      </c>
      <c r="K13" s="177">
        <f t="shared" si="3"/>
        <v>21.980449762981255</v>
      </c>
    </row>
    <row r="14" spans="1:11" ht="12.75">
      <c r="A14" t="s">
        <v>4</v>
      </c>
      <c r="B14" s="59">
        <f t="shared" si="1"/>
        <v>94467863</v>
      </c>
      <c r="C14" s="169">
        <v>61738484</v>
      </c>
      <c r="D14" s="169">
        <v>0</v>
      </c>
      <c r="E14" s="79">
        <v>32729379</v>
      </c>
      <c r="F14" s="169">
        <v>0</v>
      </c>
      <c r="G14" s="169">
        <v>0</v>
      </c>
      <c r="H14" s="177">
        <f t="shared" si="2"/>
        <v>65.35395428602</v>
      </c>
      <c r="I14" s="177">
        <f>IF($B14&lt;&gt;0,(E14/$B14*100),(IF(E14&lt;&gt;0,1,0)))</f>
        <v>34.64604571398</v>
      </c>
      <c r="J14" s="177">
        <f t="shared" si="3"/>
        <v>0</v>
      </c>
      <c r="K14" s="177">
        <f t="shared" si="3"/>
        <v>0</v>
      </c>
    </row>
    <row r="15" spans="1:11" ht="12.75">
      <c r="A15" t="s">
        <v>5</v>
      </c>
      <c r="B15" s="59">
        <f t="shared" si="1"/>
        <v>17274846.97</v>
      </c>
      <c r="C15" s="169">
        <v>9506711.52</v>
      </c>
      <c r="D15" s="169">
        <v>983.45</v>
      </c>
      <c r="E15" s="79">
        <v>7767152</v>
      </c>
      <c r="F15" s="169">
        <v>0</v>
      </c>
      <c r="G15" s="169">
        <v>0</v>
      </c>
      <c r="H15" s="177">
        <f t="shared" si="2"/>
        <v>55.037795625694045</v>
      </c>
      <c r="I15" s="177">
        <f>IF($B15&lt;&gt;0,(E15/$B15*100),(IF(E15&lt;&gt;0,1,0)))</f>
        <v>44.962204374305955</v>
      </c>
      <c r="J15" s="177">
        <f t="shared" si="3"/>
        <v>0</v>
      </c>
      <c r="K15" s="177">
        <f t="shared" si="3"/>
        <v>0</v>
      </c>
    </row>
    <row r="16" spans="2:11" ht="12.75">
      <c r="B16" s="59"/>
      <c r="C16" s="169"/>
      <c r="D16" s="169"/>
      <c r="E16" s="79"/>
      <c r="F16" s="169"/>
      <c r="G16" s="169"/>
      <c r="H16" s="177"/>
      <c r="I16" s="177"/>
      <c r="J16" s="177"/>
      <c r="K16" s="177"/>
    </row>
    <row r="17" spans="1:11" ht="12.75">
      <c r="A17" t="s">
        <v>6</v>
      </c>
      <c r="B17" s="59">
        <f t="shared" si="1"/>
        <v>5010221.27</v>
      </c>
      <c r="C17" s="169">
        <v>736061.87</v>
      </c>
      <c r="D17" s="169">
        <v>121725.54</v>
      </c>
      <c r="E17" s="79">
        <v>4152433.86</v>
      </c>
      <c r="F17" s="169">
        <v>0</v>
      </c>
      <c r="G17" s="169">
        <v>0</v>
      </c>
      <c r="H17" s="177">
        <f t="shared" si="2"/>
        <v>17.12074904029139</v>
      </c>
      <c r="I17" s="177">
        <f>IF($B17&lt;&gt;0,(E17/$B17*100),(IF(E17&lt;&gt;0,1,0)))</f>
        <v>82.87925095970861</v>
      </c>
      <c r="J17" s="177">
        <f aca="true" t="shared" si="4" ref="J17:K21">IF($B17&lt;&gt;0,(F17/$B17*100),(IF(F17&lt;&gt;0,1,0)))</f>
        <v>0</v>
      </c>
      <c r="K17" s="177">
        <f t="shared" si="4"/>
        <v>0</v>
      </c>
    </row>
    <row r="18" spans="1:11" ht="12.75">
      <c r="A18" t="s">
        <v>7</v>
      </c>
      <c r="B18" s="59">
        <f t="shared" si="1"/>
        <v>60763742.129999995</v>
      </c>
      <c r="C18" s="169">
        <v>47868929.19</v>
      </c>
      <c r="D18" s="169">
        <v>0</v>
      </c>
      <c r="E18" s="79">
        <v>12894812.94</v>
      </c>
      <c r="F18" s="169">
        <v>0</v>
      </c>
      <c r="G18" s="169">
        <v>0</v>
      </c>
      <c r="H18" s="177">
        <f t="shared" si="2"/>
        <v>78.77877087883692</v>
      </c>
      <c r="I18" s="177">
        <f>IF($B18&lt;&gt;0,(E18/$B18*100),(IF(E18&lt;&gt;0,1,0)))</f>
        <v>21.22122912116308</v>
      </c>
      <c r="J18" s="177">
        <f t="shared" si="4"/>
        <v>0</v>
      </c>
      <c r="K18" s="177">
        <f t="shared" si="4"/>
        <v>0</v>
      </c>
    </row>
    <row r="19" spans="1:11" ht="12.75">
      <c r="A19" t="s">
        <v>8</v>
      </c>
      <c r="B19" s="59">
        <f t="shared" si="1"/>
        <v>14518460.740000002</v>
      </c>
      <c r="C19" s="169">
        <v>10761236.13</v>
      </c>
      <c r="D19" s="169">
        <v>63882.48</v>
      </c>
      <c r="E19" s="79">
        <v>3693342.13</v>
      </c>
      <c r="F19" s="169">
        <v>0</v>
      </c>
      <c r="G19" s="169">
        <v>0</v>
      </c>
      <c r="H19" s="177">
        <f>IF(B19&lt;&gt;0,((+C19+D19)/B19*100),(IF(C19&lt;&gt;0,1,0)))</f>
        <v>74.56106266262493</v>
      </c>
      <c r="I19" s="177">
        <f>IF($B19&lt;&gt;0,(E19/$B19*100),(IF(E19&lt;&gt;0,1,0)))</f>
        <v>25.438937337375062</v>
      </c>
      <c r="J19" s="177">
        <f t="shared" si="4"/>
        <v>0</v>
      </c>
      <c r="K19" s="177">
        <f t="shared" si="4"/>
        <v>0</v>
      </c>
    </row>
    <row r="20" spans="1:11" ht="12.75">
      <c r="A20" t="s">
        <v>9</v>
      </c>
      <c r="B20" s="59">
        <f t="shared" si="1"/>
        <v>12479496.930000002</v>
      </c>
      <c r="C20" s="169">
        <v>0</v>
      </c>
      <c r="D20" s="169">
        <v>292.22</v>
      </c>
      <c r="E20" s="79">
        <v>12479204.71</v>
      </c>
      <c r="F20" s="169">
        <v>0</v>
      </c>
      <c r="G20" s="169">
        <v>0</v>
      </c>
      <c r="H20" s="177">
        <f t="shared" si="2"/>
        <v>0.002341600800409829</v>
      </c>
      <c r="I20" s="177">
        <f>IF($B20&lt;&gt;0,(E20/$B20*100),(IF(E20&lt;&gt;0,1,0)))</f>
        <v>99.99765839919958</v>
      </c>
      <c r="J20" s="177">
        <f t="shared" si="4"/>
        <v>0</v>
      </c>
      <c r="K20" s="177">
        <f t="shared" si="4"/>
        <v>0</v>
      </c>
    </row>
    <row r="21" spans="1:11" ht="12.75">
      <c r="A21" t="s">
        <v>10</v>
      </c>
      <c r="B21" s="59">
        <f t="shared" si="1"/>
        <v>17451254</v>
      </c>
      <c r="C21" s="169">
        <v>7606009</v>
      </c>
      <c r="D21" s="169">
        <v>9500</v>
      </c>
      <c r="E21" s="79">
        <v>9835745</v>
      </c>
      <c r="F21" s="169">
        <v>0</v>
      </c>
      <c r="G21" s="169">
        <v>0</v>
      </c>
      <c r="H21" s="177">
        <f t="shared" si="2"/>
        <v>43.63874939875381</v>
      </c>
      <c r="I21" s="177">
        <f>IF($B21&lt;&gt;0,(E21/$B21*100),(IF(E21&lt;&gt;0,1,0)))</f>
        <v>56.36125060124619</v>
      </c>
      <c r="J21" s="177">
        <f t="shared" si="4"/>
        <v>0</v>
      </c>
      <c r="K21" s="177">
        <f t="shared" si="4"/>
        <v>0</v>
      </c>
    </row>
    <row r="22" spans="2:11" ht="12.75">
      <c r="B22" s="59"/>
      <c r="C22" s="169"/>
      <c r="D22" s="169"/>
      <c r="E22" s="79"/>
      <c r="F22" s="169"/>
      <c r="G22" s="169"/>
      <c r="H22" s="177"/>
      <c r="I22" s="177"/>
      <c r="J22" s="177"/>
      <c r="K22" s="177"/>
    </row>
    <row r="23" spans="1:11" ht="12.75">
      <c r="A23" t="s">
        <v>11</v>
      </c>
      <c r="B23" s="59">
        <f t="shared" si="1"/>
        <v>74813791</v>
      </c>
      <c r="C23" s="169">
        <v>57657468</v>
      </c>
      <c r="D23" s="169">
        <v>467358</v>
      </c>
      <c r="E23" s="79">
        <v>15859481</v>
      </c>
      <c r="F23" s="169">
        <v>0</v>
      </c>
      <c r="G23" s="169">
        <v>829484</v>
      </c>
      <c r="H23" s="177">
        <f t="shared" si="2"/>
        <v>77.69266230607134</v>
      </c>
      <c r="I23" s="177">
        <f>IF($B23&lt;&gt;0,(E23/$B23*100),(IF(E23&lt;&gt;0,1,0)))</f>
        <v>21.198606283699753</v>
      </c>
      <c r="J23" s="177">
        <f aca="true" t="shared" si="5" ref="J23:K27">IF($B23&lt;&gt;0,(F23/$B23*100),(IF(F23&lt;&gt;0,1,0)))</f>
        <v>0</v>
      </c>
      <c r="K23" s="177">
        <f t="shared" si="5"/>
        <v>1.1087314102288974</v>
      </c>
    </row>
    <row r="24" spans="1:11" ht="12.75">
      <c r="A24" t="s">
        <v>12</v>
      </c>
      <c r="B24" s="59">
        <f t="shared" si="1"/>
        <v>9859667.489999998</v>
      </c>
      <c r="C24" s="169">
        <v>8160243.72</v>
      </c>
      <c r="D24" s="169">
        <v>1066985.9</v>
      </c>
      <c r="E24" s="79">
        <v>632437.87</v>
      </c>
      <c r="F24" s="169">
        <v>0</v>
      </c>
      <c r="G24" s="169">
        <v>0</v>
      </c>
      <c r="H24" s="177">
        <f t="shared" si="2"/>
        <v>93.58560650608716</v>
      </c>
      <c r="I24" s="177">
        <f>IF($B24&lt;&gt;0,(E24/$B24*100),(IF(E24&lt;&gt;0,1,0)))</f>
        <v>6.414393493912847</v>
      </c>
      <c r="J24" s="177">
        <f t="shared" si="5"/>
        <v>0</v>
      </c>
      <c r="K24" s="177">
        <f t="shared" si="5"/>
        <v>0</v>
      </c>
    </row>
    <row r="25" spans="1:11" ht="12.75">
      <c r="A25" t="s">
        <v>13</v>
      </c>
      <c r="B25" s="59">
        <f t="shared" si="1"/>
        <v>109254845</v>
      </c>
      <c r="C25" s="169">
        <v>92470793</v>
      </c>
      <c r="D25" s="169">
        <v>569871</v>
      </c>
      <c r="E25" s="79">
        <v>11830181</v>
      </c>
      <c r="F25" s="169">
        <v>0</v>
      </c>
      <c r="G25" s="169">
        <v>4384000</v>
      </c>
      <c r="H25" s="177">
        <f>IF(B25&lt;&gt;0,((+C25+D25)/B25*100),(IF(C25&lt;&gt;0,1,0)))</f>
        <v>85.15930254626237</v>
      </c>
      <c r="I25" s="177">
        <f>IF($B25&lt;&gt;0,(E25/$B25*100),(IF(E25&lt;&gt;0,1,0)))</f>
        <v>10.828060760142948</v>
      </c>
      <c r="J25" s="177">
        <f t="shared" si="5"/>
        <v>0</v>
      </c>
      <c r="K25" s="177">
        <f t="shared" si="5"/>
        <v>4.012636693594686</v>
      </c>
    </row>
    <row r="26" spans="1:11" ht="12.75">
      <c r="A26" t="s">
        <v>14</v>
      </c>
      <c r="B26" s="59">
        <f t="shared" si="1"/>
        <v>53207217</v>
      </c>
      <c r="C26" s="169">
        <v>32418919</v>
      </c>
      <c r="D26" s="169">
        <v>43084</v>
      </c>
      <c r="E26" s="79">
        <v>20745214</v>
      </c>
      <c r="F26" s="169">
        <v>0</v>
      </c>
      <c r="G26" s="169">
        <v>0</v>
      </c>
      <c r="H26" s="177">
        <f>IF(B26&lt;&gt;0,((+C27+D26)/B26*100),(IF(C27&lt;&gt;0,1,0)))</f>
        <v>3.2889523238924525</v>
      </c>
      <c r="I26" s="177">
        <f>IF($B26&lt;&gt;0,(E26/$B26*100),(IF(E26&lt;&gt;0,1,0)))</f>
        <v>38.98947392794477</v>
      </c>
      <c r="J26" s="177">
        <f t="shared" si="5"/>
        <v>0</v>
      </c>
      <c r="K26" s="177">
        <f t="shared" si="5"/>
        <v>0</v>
      </c>
    </row>
    <row r="27" spans="1:11" ht="12.75">
      <c r="A27" t="s">
        <v>15</v>
      </c>
      <c r="B27" s="59">
        <f>SUM(C27:G27)</f>
        <v>2315171</v>
      </c>
      <c r="C27" s="169">
        <v>1706876</v>
      </c>
      <c r="D27" s="169">
        <v>56331</v>
      </c>
      <c r="E27" s="79">
        <v>551964</v>
      </c>
      <c r="F27" s="169">
        <v>0</v>
      </c>
      <c r="G27" s="169">
        <v>0</v>
      </c>
      <c r="H27" s="177">
        <f>IF(B27&lt;&gt;0,((+C28+D27)/B27*100),(IF(C28&lt;&gt;0,1,0)))</f>
        <v>2.433124810219202</v>
      </c>
      <c r="I27" s="177">
        <f>IF($B27&lt;&gt;0,(E27/$B27*100),(IF(E27&lt;&gt;0,1,0)))</f>
        <v>23.841176310518748</v>
      </c>
      <c r="J27" s="177">
        <f t="shared" si="5"/>
        <v>0</v>
      </c>
      <c r="K27" s="177">
        <f t="shared" si="5"/>
        <v>0</v>
      </c>
    </row>
    <row r="28" spans="2:11" ht="12.75">
      <c r="B28" s="59"/>
      <c r="C28" s="87"/>
      <c r="D28" s="87"/>
      <c r="E28" s="79"/>
      <c r="F28" s="169"/>
      <c r="G28" s="169"/>
      <c r="H28" s="177"/>
      <c r="I28" s="177"/>
      <c r="J28" s="177"/>
      <c r="K28" s="177"/>
    </row>
    <row r="29" spans="1:11" ht="12.75">
      <c r="A29" t="s">
        <v>16</v>
      </c>
      <c r="B29" s="59">
        <f t="shared" si="1"/>
        <v>171843977</v>
      </c>
      <c r="C29" s="169">
        <v>124590280</v>
      </c>
      <c r="D29" s="169">
        <v>0</v>
      </c>
      <c r="E29" s="79">
        <v>46953697</v>
      </c>
      <c r="F29" s="169">
        <v>0</v>
      </c>
      <c r="G29" s="169">
        <v>300000</v>
      </c>
      <c r="H29" s="177">
        <f>IF(B29&lt;&gt;0,((+C30+D30)/B29*100),(IF(C30&lt;&gt;0,1,0)))</f>
        <v>16.403309264659303</v>
      </c>
      <c r="I29" s="177">
        <f>IF($B29&lt;&gt;0,(E29/$B29*100),(IF(E29&lt;&gt;0,1,0)))</f>
        <v>27.32344643071197</v>
      </c>
      <c r="J29" s="177">
        <f aca="true" t="shared" si="6" ref="J29:K33">IF($B29&lt;&gt;0,(F29/$B29*100),(IF(F29&lt;&gt;0,1,0)))</f>
        <v>0</v>
      </c>
      <c r="K29" s="177">
        <f t="shared" si="6"/>
        <v>0.17457696524330324</v>
      </c>
    </row>
    <row r="30" spans="1:11" ht="12.75">
      <c r="A30" t="s">
        <v>17</v>
      </c>
      <c r="B30" s="59">
        <f t="shared" si="1"/>
        <v>78561659</v>
      </c>
      <c r="C30" s="169">
        <v>27879215</v>
      </c>
      <c r="D30" s="169">
        <v>308884</v>
      </c>
      <c r="E30" s="79">
        <v>50373560</v>
      </c>
      <c r="F30" s="169">
        <v>0</v>
      </c>
      <c r="G30" s="169">
        <v>0</v>
      </c>
      <c r="H30" s="177">
        <f>IF(B30&lt;&gt;0,((+C31+D31)/B30*100),(IF(C31&lt;&gt;0,1,0)))</f>
        <v>7.022049330704689</v>
      </c>
      <c r="I30" s="177">
        <f>IF($B30&lt;&gt;0,(E30/$B30*100),(IF(E30&lt;&gt;0,1,0)))</f>
        <v>64.11977628934746</v>
      </c>
      <c r="J30" s="177">
        <f t="shared" si="6"/>
        <v>0</v>
      </c>
      <c r="K30" s="177">
        <f t="shared" si="6"/>
        <v>0</v>
      </c>
    </row>
    <row r="31" spans="1:11" ht="12.75">
      <c r="A31" t="s">
        <v>18</v>
      </c>
      <c r="B31" s="59">
        <f t="shared" si="1"/>
        <v>10457779.43</v>
      </c>
      <c r="C31" s="169">
        <v>5487863.17</v>
      </c>
      <c r="D31" s="169">
        <v>28775.28</v>
      </c>
      <c r="E31" s="79">
        <v>4941140.98</v>
      </c>
      <c r="F31" s="169">
        <v>0</v>
      </c>
      <c r="G31" s="169">
        <v>0</v>
      </c>
      <c r="H31" s="177">
        <f>IF(B31&lt;&gt;0,((+C32+D32)/B31*100),(IF(C32&lt;&gt;0,1,0)))</f>
        <v>120.80121305446198</v>
      </c>
      <c r="I31" s="177">
        <f>IF($B31&lt;&gt;0,(E31/$B31*100),(IF(E31&lt;&gt;0,1,0)))</f>
        <v>47.24847194448813</v>
      </c>
      <c r="J31" s="177">
        <f t="shared" si="6"/>
        <v>0</v>
      </c>
      <c r="K31" s="177">
        <f t="shared" si="6"/>
        <v>0</v>
      </c>
    </row>
    <row r="32" spans="1:11" ht="12.75">
      <c r="A32" t="s">
        <v>19</v>
      </c>
      <c r="B32" s="59">
        <f t="shared" si="1"/>
        <v>20663316.02</v>
      </c>
      <c r="C32" s="169">
        <v>12632809.92</v>
      </c>
      <c r="D32" s="169">
        <v>314.49</v>
      </c>
      <c r="E32" s="79">
        <v>8030191.61</v>
      </c>
      <c r="F32" s="169">
        <v>0</v>
      </c>
      <c r="G32" s="169">
        <v>0</v>
      </c>
      <c r="H32" s="177">
        <f>IF(B32&lt;&gt;0,((+C32+D32)/B32*100),(IF(C32&lt;&gt;0,1,0)))</f>
        <v>61.13793351353875</v>
      </c>
      <c r="I32" s="177">
        <f>IF($B32&lt;&gt;0,(E32/$B32*100),(IF(E32&lt;&gt;0,1,0)))</f>
        <v>38.86206648646126</v>
      </c>
      <c r="J32" s="177">
        <f t="shared" si="6"/>
        <v>0</v>
      </c>
      <c r="K32" s="177">
        <f t="shared" si="6"/>
        <v>0</v>
      </c>
    </row>
    <row r="33" spans="1:11" ht="12.75">
      <c r="A33" t="s">
        <v>20</v>
      </c>
      <c r="B33" s="59">
        <f t="shared" si="1"/>
        <v>2062231</v>
      </c>
      <c r="C33" s="169">
        <v>740631</v>
      </c>
      <c r="D33" s="169">
        <v>0</v>
      </c>
      <c r="E33" s="79">
        <v>1321600</v>
      </c>
      <c r="F33" s="169">
        <v>0</v>
      </c>
      <c r="G33" s="169">
        <v>0</v>
      </c>
      <c r="H33" s="177">
        <f t="shared" si="2"/>
        <v>35.91406588301698</v>
      </c>
      <c r="I33" s="177">
        <f>IF($B33&lt;&gt;0,(E33/$B33*100),(IF(E33&lt;&gt;0,1,0)))</f>
        <v>64.08593411698301</v>
      </c>
      <c r="J33" s="177">
        <f t="shared" si="6"/>
        <v>0</v>
      </c>
      <c r="K33" s="177">
        <f t="shared" si="6"/>
        <v>0</v>
      </c>
    </row>
    <row r="34" spans="2:11" ht="12.75">
      <c r="B34" s="59"/>
      <c r="C34" s="169"/>
      <c r="D34" s="169"/>
      <c r="E34" s="79"/>
      <c r="F34" s="169"/>
      <c r="G34" s="169"/>
      <c r="H34" s="177"/>
      <c r="I34" s="177"/>
      <c r="J34" s="177"/>
      <c r="K34" s="177"/>
    </row>
    <row r="35" spans="1:11" ht="12.75">
      <c r="A35" t="s">
        <v>21</v>
      </c>
      <c r="B35" s="59">
        <f t="shared" si="1"/>
        <v>9476260.91</v>
      </c>
      <c r="C35" s="169">
        <v>8929569.23</v>
      </c>
      <c r="D35" s="169">
        <v>0</v>
      </c>
      <c r="E35" s="79">
        <v>546691.68</v>
      </c>
      <c r="F35" s="169">
        <v>0</v>
      </c>
      <c r="G35" s="169">
        <v>0</v>
      </c>
      <c r="H35" s="177">
        <f t="shared" si="2"/>
        <v>94.23093469890543</v>
      </c>
      <c r="I35" s="177">
        <f>IF($B35&lt;&gt;0,(E35/$B35*100),(IF(E35&lt;&gt;0,1,0)))</f>
        <v>5.769065301094586</v>
      </c>
      <c r="J35" s="177">
        <f aca="true" t="shared" si="7" ref="J35:K38">IF($B35&lt;&gt;0,(F35/$B35*100),(IF(F35&lt;&gt;0,1,0)))</f>
        <v>0</v>
      </c>
      <c r="K35" s="177">
        <f t="shared" si="7"/>
        <v>0</v>
      </c>
    </row>
    <row r="36" spans="1:11" ht="12.75">
      <c r="A36" t="s">
        <v>22</v>
      </c>
      <c r="B36" s="59">
        <f t="shared" si="1"/>
        <v>16441424</v>
      </c>
      <c r="C36" s="169">
        <v>7023305</v>
      </c>
      <c r="D36" s="169">
        <v>23215</v>
      </c>
      <c r="E36" s="79">
        <v>9394904</v>
      </c>
      <c r="F36" s="169">
        <v>0</v>
      </c>
      <c r="G36" s="169">
        <v>0</v>
      </c>
      <c r="H36" s="177">
        <f t="shared" si="2"/>
        <v>42.85833149245467</v>
      </c>
      <c r="I36" s="177">
        <f>IF($B36&lt;&gt;0,(E36/$B36*100),(IF(E36&lt;&gt;0,1,0)))</f>
        <v>57.141668507545326</v>
      </c>
      <c r="J36" s="177">
        <f t="shared" si="7"/>
        <v>0</v>
      </c>
      <c r="K36" s="177">
        <f t="shared" si="7"/>
        <v>0</v>
      </c>
    </row>
    <row r="37" spans="1:11" ht="12.75">
      <c r="A37" t="s">
        <v>23</v>
      </c>
      <c r="B37" s="59">
        <f t="shared" si="1"/>
        <v>43503686.69</v>
      </c>
      <c r="C37" s="169">
        <v>0</v>
      </c>
      <c r="D37" s="169">
        <v>0</v>
      </c>
      <c r="E37" s="79">
        <v>20844575</v>
      </c>
      <c r="F37" s="169">
        <v>0</v>
      </c>
      <c r="G37" s="169">
        <v>22659111.69</v>
      </c>
      <c r="H37" s="177">
        <f t="shared" si="2"/>
        <v>0</v>
      </c>
      <c r="I37" s="177">
        <f>IF($B37&lt;&gt;0,(E37/$B37*100),(IF(E37&lt;&gt;0,1,0)))</f>
        <v>47.91450239271664</v>
      </c>
      <c r="J37" s="177">
        <f t="shared" si="7"/>
        <v>0</v>
      </c>
      <c r="K37" s="177">
        <f t="shared" si="7"/>
        <v>52.08549760728337</v>
      </c>
    </row>
    <row r="38" spans="1:11" ht="12.75">
      <c r="A38" s="12" t="s">
        <v>24</v>
      </c>
      <c r="B38" s="244">
        <f t="shared" si="1"/>
        <v>26860448.51</v>
      </c>
      <c r="C38" s="171">
        <v>23091186.51</v>
      </c>
      <c r="D38" s="171">
        <v>162</v>
      </c>
      <c r="E38" s="245">
        <v>3769100</v>
      </c>
      <c r="F38" s="171">
        <v>0</v>
      </c>
      <c r="G38" s="171">
        <v>0</v>
      </c>
      <c r="H38" s="178">
        <f t="shared" si="2"/>
        <v>85.96784413857876</v>
      </c>
      <c r="I38" s="178">
        <f>IF($B38&lt;&gt;0,(E38/$B38*100),(IF(E38&lt;&gt;0,1,0)))</f>
        <v>14.032155861421241</v>
      </c>
      <c r="J38" s="178">
        <f t="shared" si="7"/>
        <v>0</v>
      </c>
      <c r="K38" s="178">
        <f t="shared" si="7"/>
        <v>0</v>
      </c>
    </row>
    <row r="39" spans="1:10" ht="12.75">
      <c r="A39" s="21" t="s">
        <v>227</v>
      </c>
      <c r="B39" s="3"/>
      <c r="C39" s="62"/>
      <c r="D39" s="62"/>
      <c r="E39" s="62"/>
      <c r="F39" s="62"/>
      <c r="G39" s="62"/>
      <c r="H39" s="71"/>
      <c r="I39" s="71"/>
      <c r="J39" s="71"/>
    </row>
    <row r="40" spans="1:4" ht="12.75">
      <c r="A40" s="21"/>
      <c r="D40" s="179"/>
    </row>
    <row r="41" ht="12.75">
      <c r="D41" s="179"/>
    </row>
    <row r="42" ht="12.75">
      <c r="D42" s="179"/>
    </row>
    <row r="43" ht="12.75">
      <c r="D43" s="179"/>
    </row>
    <row r="44" ht="12.75">
      <c r="D44" s="179"/>
    </row>
    <row r="45" ht="12.75">
      <c r="D45" s="179"/>
    </row>
  </sheetData>
  <sheetProtection password="CAF5" sheet="1"/>
  <mergeCells count="8">
    <mergeCell ref="A1:K1"/>
    <mergeCell ref="A3:K3"/>
    <mergeCell ref="C7:D7"/>
    <mergeCell ref="A4:J4"/>
    <mergeCell ref="C6:F6"/>
    <mergeCell ref="H6:K6"/>
    <mergeCell ref="E7:E8"/>
    <mergeCell ref="F7:F8"/>
  </mergeCells>
  <printOptions horizontalCentered="1"/>
  <pageMargins left="0.5" right="0.52" top="0.83" bottom="1" header="0.67" footer="0.5"/>
  <pageSetup fitToHeight="1" fitToWidth="1" horizontalDpi="600" verticalDpi="600" orientation="landscape" scale="93" r:id="rId1"/>
  <headerFooter scaleWithDoc="0">
    <oddFooter>&amp;L&amp;"Arial,Italic"&amp;9MSDE-LFRO  09 / 2010&amp;C- 4 -&amp;R&amp;"Arial,Italic"&amp;9Selected Financial Data-Part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3"/>
  <sheetViews>
    <sheetView workbookViewId="0" topLeftCell="E7">
      <selection activeCell="N8" sqref="N8"/>
    </sheetView>
  </sheetViews>
  <sheetFormatPr defaultColWidth="9.140625" defaultRowHeight="12.75"/>
  <cols>
    <col min="1" max="1" width="15.7109375" style="111" customWidth="1"/>
    <col min="2" max="3" width="14.8515625" style="111" customWidth="1"/>
    <col min="4" max="4" width="13.28125" style="111" customWidth="1"/>
    <col min="5" max="5" width="14.8515625" style="111" customWidth="1"/>
    <col min="6" max="7" width="13.28125" style="111" customWidth="1"/>
    <col min="8" max="8" width="2.7109375" style="111" customWidth="1"/>
    <col min="9" max="11" width="9.140625" style="111" customWidth="1"/>
    <col min="12" max="12" width="11.57421875" style="111" customWidth="1"/>
    <col min="13" max="13" width="9.140625" style="111" customWidth="1"/>
  </cols>
  <sheetData>
    <row r="1" spans="1:13" ht="12.75">
      <c r="A1" s="402" t="s">
        <v>92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83"/>
    </row>
    <row r="2" spans="1:13" ht="12.75">
      <c r="A2" s="180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2.75">
      <c r="A3" s="403" t="s">
        <v>277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83"/>
    </row>
    <row r="4" spans="1:13" ht="12.75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83"/>
      <c r="M4" s="83"/>
    </row>
    <row r="5" spans="1:13" ht="13.5" thickBot="1">
      <c r="A5" s="83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83"/>
    </row>
    <row r="6" spans="1:56" ht="15" customHeight="1" thickTop="1">
      <c r="A6" s="148" t="s">
        <v>81</v>
      </c>
      <c r="B6" s="150" t="s">
        <v>44</v>
      </c>
      <c r="C6" s="405" t="s">
        <v>84</v>
      </c>
      <c r="D6" s="405"/>
      <c r="E6" s="405"/>
      <c r="F6" s="405"/>
      <c r="G6" s="182"/>
      <c r="H6" s="182"/>
      <c r="I6" s="405" t="s">
        <v>86</v>
      </c>
      <c r="J6" s="405"/>
      <c r="K6" s="405"/>
      <c r="L6" s="405"/>
      <c r="M6" s="183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</row>
    <row r="7" spans="1:13" ht="12.75">
      <c r="A7" s="182" t="s">
        <v>34</v>
      </c>
      <c r="B7" s="151" t="s">
        <v>87</v>
      </c>
      <c r="C7" s="404" t="s">
        <v>81</v>
      </c>
      <c r="D7" s="404"/>
      <c r="E7" s="166"/>
      <c r="F7" s="166"/>
      <c r="G7" s="151" t="s">
        <v>83</v>
      </c>
      <c r="H7" s="151"/>
      <c r="I7" s="150"/>
      <c r="J7" s="150"/>
      <c r="K7" s="150"/>
      <c r="L7" s="150" t="s">
        <v>83</v>
      </c>
      <c r="M7" s="83"/>
    </row>
    <row r="8" spans="1:13" ht="13.5" thickBot="1">
      <c r="A8" s="184" t="s">
        <v>134</v>
      </c>
      <c r="B8" s="152" t="s">
        <v>88</v>
      </c>
      <c r="C8" s="185" t="s">
        <v>82</v>
      </c>
      <c r="D8" s="185" t="s">
        <v>225</v>
      </c>
      <c r="E8" s="185" t="s">
        <v>45</v>
      </c>
      <c r="F8" s="185" t="s">
        <v>51</v>
      </c>
      <c r="G8" s="185" t="s">
        <v>85</v>
      </c>
      <c r="H8" s="185"/>
      <c r="I8" s="152" t="s">
        <v>81</v>
      </c>
      <c r="J8" s="152" t="s">
        <v>45</v>
      </c>
      <c r="K8" s="186" t="s">
        <v>51</v>
      </c>
      <c r="L8" s="185" t="s">
        <v>85</v>
      </c>
      <c r="M8" s="83"/>
    </row>
    <row r="9" spans="1:13" ht="12.75">
      <c r="A9" s="182" t="s">
        <v>0</v>
      </c>
      <c r="B9" s="89">
        <f aca="true" t="shared" si="0" ref="B9:G9">SUM(B11:B38)</f>
        <v>376928669.3</v>
      </c>
      <c r="C9" s="89">
        <f>SUM(C12:C38)</f>
        <v>349329401.31</v>
      </c>
      <c r="D9" s="89">
        <f>SUM(D11:D38)</f>
        <v>18640219.990000002</v>
      </c>
      <c r="E9" s="89">
        <f t="shared" si="0"/>
        <v>1321600</v>
      </c>
      <c r="F9" s="89">
        <f t="shared" si="0"/>
        <v>0</v>
      </c>
      <c r="G9" s="89">
        <f t="shared" si="0"/>
        <v>5517605</v>
      </c>
      <c r="H9" s="89"/>
      <c r="I9" s="187">
        <f>IF(B9&lt;&gt;0,((+C9+D9)/B9),(IF(C9&lt;&gt;0,1,0)))</f>
        <v>0.9762314497948963</v>
      </c>
      <c r="J9" s="187">
        <f>IF($B9&lt;&gt;0,(E9/$B9),(IF(E9&lt;&gt;0,1,0)))</f>
        <v>0.0035062336925826406</v>
      </c>
      <c r="K9" s="187">
        <f>IF($B9&lt;&gt;0,(F9/$B9),(IF(F9&lt;&gt;0,1,0)))</f>
        <v>0</v>
      </c>
      <c r="L9" s="187">
        <f>IF($B9&lt;&gt;0,(G9/$B9),(IF(G9&lt;&gt;0,1,0)))</f>
        <v>0.014638326689892888</v>
      </c>
      <c r="M9" s="83"/>
    </row>
    <row r="10" spans="1:13" ht="12.75">
      <c r="A10" s="182"/>
      <c r="B10" s="166"/>
      <c r="C10" s="166"/>
      <c r="D10" s="160"/>
      <c r="E10" s="150"/>
      <c r="F10" s="150"/>
      <c r="G10" s="150"/>
      <c r="H10" s="150"/>
      <c r="I10" s="188"/>
      <c r="J10" s="188"/>
      <c r="K10" s="167"/>
      <c r="L10" s="167"/>
      <c r="M10" s="83"/>
    </row>
    <row r="11" spans="1:12" ht="12.75">
      <c r="A11" s="83" t="s">
        <v>1</v>
      </c>
      <c r="B11" s="149">
        <f aca="true" t="shared" si="1" ref="B11:B33">SUM(C11:G11)</f>
        <v>2119843</v>
      </c>
      <c r="C11" s="160">
        <v>2119843</v>
      </c>
      <c r="D11" s="160">
        <v>0</v>
      </c>
      <c r="E11" s="160">
        <v>0</v>
      </c>
      <c r="F11" s="160">
        <v>0</v>
      </c>
      <c r="G11" s="160">
        <v>0</v>
      </c>
      <c r="H11" s="112"/>
      <c r="I11" s="114">
        <f aca="true" t="shared" si="2" ref="I11:I38">IF(B11&lt;&gt;0,((+C11+D11)/B11*100),(IF(C11&lt;&gt;0,1,0)))</f>
        <v>100</v>
      </c>
      <c r="J11" s="114">
        <f>IF($B11&lt;&gt;0,(E11/$B11*100),(IF(E11&lt;&gt;0,1,0)))</f>
        <v>0</v>
      </c>
      <c r="K11" s="114">
        <f aca="true" t="shared" si="3" ref="K11:L15">IF($B11&lt;&gt;0,(F11/$B11*100),(IF(F11&lt;&gt;0,1,0)))</f>
        <v>0</v>
      </c>
      <c r="L11" s="114">
        <f t="shared" si="3"/>
        <v>0</v>
      </c>
    </row>
    <row r="12" spans="1:12" ht="12.75">
      <c r="A12" s="111" t="s">
        <v>2</v>
      </c>
      <c r="B12" s="112">
        <f t="shared" si="1"/>
        <v>32944703</v>
      </c>
      <c r="C12" s="159">
        <v>32944703</v>
      </c>
      <c r="D12" s="160">
        <v>0</v>
      </c>
      <c r="E12" s="160">
        <v>0</v>
      </c>
      <c r="F12" s="160">
        <v>0</v>
      </c>
      <c r="G12" s="160">
        <v>0</v>
      </c>
      <c r="H12" s="115"/>
      <c r="I12" s="114">
        <f t="shared" si="2"/>
        <v>100</v>
      </c>
      <c r="J12" s="114">
        <f>IF($B12&lt;&gt;0,(E12/$B12*100),(IF(E12&lt;&gt;0,1,0)))</f>
        <v>0</v>
      </c>
      <c r="K12" s="114">
        <f t="shared" si="3"/>
        <v>0</v>
      </c>
      <c r="L12" s="114">
        <f t="shared" si="3"/>
        <v>0</v>
      </c>
    </row>
    <row r="13" spans="1:12" ht="12.75">
      <c r="A13" s="111" t="s">
        <v>226</v>
      </c>
      <c r="B13" s="112">
        <f t="shared" si="1"/>
        <v>7543937</v>
      </c>
      <c r="C13" s="160">
        <v>7543937</v>
      </c>
      <c r="D13" s="160">
        <v>0</v>
      </c>
      <c r="E13" s="160">
        <v>0</v>
      </c>
      <c r="F13" s="160">
        <v>0</v>
      </c>
      <c r="G13" s="253">
        <v>0</v>
      </c>
      <c r="H13" s="115"/>
      <c r="I13" s="114">
        <f t="shared" si="2"/>
        <v>100</v>
      </c>
      <c r="J13" s="114">
        <f>IF($B13&lt;&gt;0,(E13/$B13*100),(IF(E13&lt;&gt;0,1,0)))</f>
        <v>0</v>
      </c>
      <c r="K13" s="114">
        <f t="shared" si="3"/>
        <v>0</v>
      </c>
      <c r="L13" s="114">
        <f t="shared" si="3"/>
        <v>0</v>
      </c>
    </row>
    <row r="14" spans="1:12" ht="12.75">
      <c r="A14" s="111" t="s">
        <v>4</v>
      </c>
      <c r="B14" s="112">
        <f t="shared" si="1"/>
        <v>26377164</v>
      </c>
      <c r="C14" s="159">
        <v>26377164</v>
      </c>
      <c r="D14" s="160">
        <v>0</v>
      </c>
      <c r="E14" s="160">
        <v>0</v>
      </c>
      <c r="F14" s="160">
        <v>0</v>
      </c>
      <c r="G14" s="160">
        <v>0</v>
      </c>
      <c r="H14" s="115"/>
      <c r="I14" s="114">
        <f t="shared" si="2"/>
        <v>100</v>
      </c>
      <c r="J14" s="114">
        <f>IF($B14&lt;&gt;0,(E14/$B14*100),(IF(E14&lt;&gt;0,1,0)))</f>
        <v>0</v>
      </c>
      <c r="K14" s="114">
        <f t="shared" si="3"/>
        <v>0</v>
      </c>
      <c r="L14" s="114">
        <f t="shared" si="3"/>
        <v>0</v>
      </c>
    </row>
    <row r="15" spans="1:12" ht="12.75">
      <c r="A15" s="111" t="s">
        <v>5</v>
      </c>
      <c r="B15" s="112">
        <f t="shared" si="1"/>
        <v>6282525</v>
      </c>
      <c r="C15" s="159">
        <v>6282525</v>
      </c>
      <c r="D15" s="160">
        <v>0</v>
      </c>
      <c r="E15" s="160">
        <v>0</v>
      </c>
      <c r="F15" s="160">
        <v>0</v>
      </c>
      <c r="G15" s="160">
        <v>0</v>
      </c>
      <c r="H15" s="115"/>
      <c r="I15" s="114">
        <f t="shared" si="2"/>
        <v>100</v>
      </c>
      <c r="J15" s="114">
        <f>IF($B15&lt;&gt;0,(E15/$B15*100),(IF(E15&lt;&gt;0,1,0)))</f>
        <v>0</v>
      </c>
      <c r="K15" s="114">
        <f t="shared" si="3"/>
        <v>0</v>
      </c>
      <c r="L15" s="114">
        <f t="shared" si="3"/>
        <v>0</v>
      </c>
    </row>
    <row r="16" spans="2:12" ht="12.75">
      <c r="B16" s="112"/>
      <c r="C16" s="170"/>
      <c r="D16" s="160"/>
      <c r="E16" s="160"/>
      <c r="F16" s="160"/>
      <c r="G16" s="160"/>
      <c r="H16" s="115"/>
      <c r="I16" s="114"/>
      <c r="J16" s="114"/>
      <c r="K16" s="114"/>
      <c r="L16" s="114"/>
    </row>
    <row r="17" spans="1:12" ht="12.75">
      <c r="A17" s="111" t="s">
        <v>6</v>
      </c>
      <c r="B17" s="112">
        <f t="shared" si="1"/>
        <v>1584240.71</v>
      </c>
      <c r="C17" s="160">
        <v>0</v>
      </c>
      <c r="D17" s="170">
        <v>1584240.71</v>
      </c>
      <c r="E17" s="160">
        <v>0</v>
      </c>
      <c r="F17" s="160">
        <v>0</v>
      </c>
      <c r="G17" s="160">
        <v>0</v>
      </c>
      <c r="H17" s="115"/>
      <c r="I17" s="114">
        <f t="shared" si="2"/>
        <v>100</v>
      </c>
      <c r="J17" s="114">
        <f>IF($B17&lt;&gt;0,(E17/$B17*100),(IF(E17&lt;&gt;0,1,0)))</f>
        <v>0</v>
      </c>
      <c r="K17" s="114">
        <f aca="true" t="shared" si="4" ref="K17:L21">IF($B17&lt;&gt;0,(F17/$B17*100),(IF(F17&lt;&gt;0,1,0)))</f>
        <v>0</v>
      </c>
      <c r="L17" s="114">
        <f t="shared" si="4"/>
        <v>0</v>
      </c>
    </row>
    <row r="18" spans="1:12" ht="12.75">
      <c r="A18" s="111" t="s">
        <v>7</v>
      </c>
      <c r="B18" s="112">
        <f t="shared" si="1"/>
        <v>10566822.31</v>
      </c>
      <c r="C18" s="170">
        <v>10566822.31</v>
      </c>
      <c r="D18" s="160">
        <v>0</v>
      </c>
      <c r="E18" s="160">
        <v>0</v>
      </c>
      <c r="F18" s="160">
        <v>0</v>
      </c>
      <c r="G18" s="160">
        <v>0</v>
      </c>
      <c r="H18" s="115"/>
      <c r="I18" s="114">
        <f t="shared" si="2"/>
        <v>100</v>
      </c>
      <c r="J18" s="114">
        <f>IF($B18&lt;&gt;0,(E18/$B18*100),(IF(E18&lt;&gt;0,1,0)))</f>
        <v>0</v>
      </c>
      <c r="K18" s="114">
        <f t="shared" si="4"/>
        <v>0</v>
      </c>
      <c r="L18" s="114">
        <f t="shared" si="4"/>
        <v>0</v>
      </c>
    </row>
    <row r="19" spans="1:12" ht="12.75">
      <c r="A19" s="111" t="s">
        <v>8</v>
      </c>
      <c r="B19" s="112">
        <f t="shared" si="1"/>
        <v>8376581</v>
      </c>
      <c r="C19" s="160">
        <v>0</v>
      </c>
      <c r="D19" s="160">
        <v>8376581</v>
      </c>
      <c r="E19" s="160">
        <v>0</v>
      </c>
      <c r="F19" s="160">
        <v>0</v>
      </c>
      <c r="G19" s="160">
        <v>0</v>
      </c>
      <c r="H19" s="115"/>
      <c r="I19" s="114">
        <f>IF(B19&lt;&gt;0,((+C19+D19)/B19*100),(IF(C19&lt;&gt;0,1,0)))</f>
        <v>100</v>
      </c>
      <c r="J19" s="114">
        <f>IF($B19&lt;&gt;0,(E19/$B19*100),(IF(E19&lt;&gt;0,1,0)))</f>
        <v>0</v>
      </c>
      <c r="K19" s="114">
        <f t="shared" si="4"/>
        <v>0</v>
      </c>
      <c r="L19" s="114">
        <f t="shared" si="4"/>
        <v>0</v>
      </c>
    </row>
    <row r="20" spans="1:12" ht="12.75">
      <c r="A20" s="111" t="s">
        <v>9</v>
      </c>
      <c r="B20" s="112">
        <f t="shared" si="1"/>
        <v>5007577</v>
      </c>
      <c r="C20" s="170">
        <v>5007577</v>
      </c>
      <c r="D20" s="160">
        <v>0</v>
      </c>
      <c r="E20" s="160">
        <v>0</v>
      </c>
      <c r="F20" s="160">
        <v>0</v>
      </c>
      <c r="G20" s="160">
        <v>0</v>
      </c>
      <c r="H20" s="115"/>
      <c r="I20" s="114">
        <f t="shared" si="2"/>
        <v>100</v>
      </c>
      <c r="J20" s="114">
        <f>IF($B20&lt;&gt;0,(E20/$B20*100),(IF(E20&lt;&gt;0,1,0)))</f>
        <v>0</v>
      </c>
      <c r="K20" s="114">
        <f t="shared" si="4"/>
        <v>0</v>
      </c>
      <c r="L20" s="114">
        <f t="shared" si="4"/>
        <v>0</v>
      </c>
    </row>
    <row r="21" spans="1:12" ht="12.75">
      <c r="A21" s="111" t="s">
        <v>10</v>
      </c>
      <c r="B21" s="112">
        <f t="shared" si="1"/>
        <v>1137009</v>
      </c>
      <c r="C21" s="170">
        <v>1137009</v>
      </c>
      <c r="D21" s="160">
        <v>0</v>
      </c>
      <c r="E21" s="160">
        <v>0</v>
      </c>
      <c r="F21" s="160">
        <v>0</v>
      </c>
      <c r="G21" s="160">
        <v>0</v>
      </c>
      <c r="H21" s="115"/>
      <c r="I21" s="114">
        <f t="shared" si="2"/>
        <v>100</v>
      </c>
      <c r="J21" s="114">
        <f>IF($B21&lt;&gt;0,(E21/$B21*100),(IF(E21&lt;&gt;0,1,0)))</f>
        <v>0</v>
      </c>
      <c r="K21" s="114">
        <f t="shared" si="4"/>
        <v>0</v>
      </c>
      <c r="L21" s="114">
        <f t="shared" si="4"/>
        <v>0</v>
      </c>
    </row>
    <row r="22" spans="2:12" ht="12.75">
      <c r="B22" s="112"/>
      <c r="C22" s="170"/>
      <c r="D22" s="160"/>
      <c r="E22" s="160"/>
      <c r="F22" s="160"/>
      <c r="G22" s="160"/>
      <c r="H22" s="115"/>
      <c r="I22" s="114"/>
      <c r="J22" s="114"/>
      <c r="K22" s="114"/>
      <c r="L22" s="114"/>
    </row>
    <row r="23" spans="1:12" ht="12.75">
      <c r="A23" s="111" t="s">
        <v>11</v>
      </c>
      <c r="B23" s="112">
        <f t="shared" si="1"/>
        <v>25635235</v>
      </c>
      <c r="C23" s="170">
        <v>25635235</v>
      </c>
      <c r="D23" s="160">
        <v>0</v>
      </c>
      <c r="E23" s="160">
        <v>0</v>
      </c>
      <c r="F23" s="160">
        <v>0</v>
      </c>
      <c r="G23" s="160">
        <v>0</v>
      </c>
      <c r="H23" s="115"/>
      <c r="I23" s="114">
        <f t="shared" si="2"/>
        <v>100</v>
      </c>
      <c r="J23" s="114">
        <f>IF($B23&lt;&gt;0,(E23/$B23*100),(IF(E23&lt;&gt;0,1,0)))</f>
        <v>0</v>
      </c>
      <c r="K23" s="114">
        <f aca="true" t="shared" si="5" ref="K23:L27">IF($B23&lt;&gt;0,(F23/$B23*100),(IF(F23&lt;&gt;0,1,0)))</f>
        <v>0</v>
      </c>
      <c r="L23" s="114">
        <f t="shared" si="5"/>
        <v>0</v>
      </c>
    </row>
    <row r="24" spans="1:12" ht="12.75">
      <c r="A24" s="111" t="s">
        <v>12</v>
      </c>
      <c r="B24" s="112">
        <f t="shared" si="1"/>
        <v>221068.28</v>
      </c>
      <c r="C24" s="160">
        <v>0</v>
      </c>
      <c r="D24" s="160">
        <v>221068.28</v>
      </c>
      <c r="E24" s="160">
        <v>0</v>
      </c>
      <c r="F24" s="160">
        <v>0</v>
      </c>
      <c r="G24" s="160">
        <v>0</v>
      </c>
      <c r="H24" s="115"/>
      <c r="I24" s="114">
        <f t="shared" si="2"/>
        <v>100</v>
      </c>
      <c r="J24" s="114">
        <f>IF($B24&lt;&gt;0,(E24/$B24*100),(IF(E24&lt;&gt;0,1,0)))</f>
        <v>0</v>
      </c>
      <c r="K24" s="114">
        <f t="shared" si="5"/>
        <v>0</v>
      </c>
      <c r="L24" s="114">
        <f t="shared" si="5"/>
        <v>0</v>
      </c>
    </row>
    <row r="25" spans="1:12" ht="12.75">
      <c r="A25" s="111" t="s">
        <v>13</v>
      </c>
      <c r="B25" s="112">
        <f t="shared" si="1"/>
        <v>13357222</v>
      </c>
      <c r="C25" s="376">
        <v>13357222</v>
      </c>
      <c r="D25" s="160">
        <v>0</v>
      </c>
      <c r="E25" s="160">
        <v>0</v>
      </c>
      <c r="F25" s="160">
        <v>0</v>
      </c>
      <c r="G25" s="160">
        <v>0</v>
      </c>
      <c r="H25" s="115"/>
      <c r="I25" s="114">
        <f>IF(B25&lt;&gt;0,((+C25+D25)/B25*100),(IF(C25&lt;&gt;0,1,0)))</f>
        <v>100</v>
      </c>
      <c r="J25" s="114">
        <f>IF($B25&lt;&gt;0,(E25/$B25*100),(IF(E25&lt;&gt;0,1,0)))</f>
        <v>0</v>
      </c>
      <c r="K25" s="114">
        <f t="shared" si="5"/>
        <v>0</v>
      </c>
      <c r="L25" s="114">
        <f t="shared" si="5"/>
        <v>0</v>
      </c>
    </row>
    <row r="26" spans="1:12" ht="12.75">
      <c r="A26" s="111" t="s">
        <v>14</v>
      </c>
      <c r="B26" s="112">
        <f t="shared" si="1"/>
        <v>35252672</v>
      </c>
      <c r="C26" s="377">
        <v>35252672</v>
      </c>
      <c r="D26" s="160">
        <v>0</v>
      </c>
      <c r="E26" s="160">
        <v>0</v>
      </c>
      <c r="F26" s="160">
        <v>0</v>
      </c>
      <c r="G26" s="160">
        <v>0</v>
      </c>
      <c r="H26" s="115"/>
      <c r="I26" s="114">
        <f t="shared" si="2"/>
        <v>100</v>
      </c>
      <c r="J26" s="114">
        <f>IF($B26&lt;&gt;0,(E26/$B26*100),(IF(E26&lt;&gt;0,1,0)))</f>
        <v>0</v>
      </c>
      <c r="K26" s="114">
        <f t="shared" si="5"/>
        <v>0</v>
      </c>
      <c r="L26" s="114">
        <f t="shared" si="5"/>
        <v>0</v>
      </c>
    </row>
    <row r="27" spans="1:12" ht="12.75">
      <c r="A27" s="111" t="s">
        <v>15</v>
      </c>
      <c r="B27" s="112">
        <f t="shared" si="1"/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15"/>
      <c r="I27" s="114">
        <f t="shared" si="2"/>
        <v>0</v>
      </c>
      <c r="J27" s="114">
        <f>IF($B27&lt;&gt;0,(E27/$B27*100),(IF(E27&lt;&gt;0,1,0)))</f>
        <v>0</v>
      </c>
      <c r="K27" s="114">
        <f t="shared" si="5"/>
        <v>0</v>
      </c>
      <c r="L27" s="114">
        <f t="shared" si="5"/>
        <v>0</v>
      </c>
    </row>
    <row r="28" spans="2:12" ht="12.75">
      <c r="B28" s="112"/>
      <c r="C28" s="170"/>
      <c r="D28" s="160"/>
      <c r="E28" s="160"/>
      <c r="F28" s="160"/>
      <c r="G28" s="160"/>
      <c r="H28" s="115"/>
      <c r="I28" s="114"/>
      <c r="J28" s="114"/>
      <c r="K28" s="114"/>
      <c r="L28" s="114"/>
    </row>
    <row r="29" spans="1:12" ht="12.75">
      <c r="A29" s="111" t="s">
        <v>16</v>
      </c>
      <c r="B29" s="112">
        <f t="shared" si="1"/>
        <v>104348302</v>
      </c>
      <c r="C29" s="170">
        <v>103434000</v>
      </c>
      <c r="D29" s="159">
        <v>914302</v>
      </c>
      <c r="E29" s="160">
        <v>0</v>
      </c>
      <c r="F29" s="160">
        <v>0</v>
      </c>
      <c r="G29" s="160">
        <v>0</v>
      </c>
      <c r="H29" s="115"/>
      <c r="I29" s="114">
        <f t="shared" si="2"/>
        <v>100</v>
      </c>
      <c r="J29" s="114">
        <f>IF($B29&lt;&gt;0,(E29/$B29*100),(IF(E29&lt;&gt;0,1,0)))</f>
        <v>0</v>
      </c>
      <c r="K29" s="114">
        <f aca="true" t="shared" si="6" ref="K29:L33">IF($B29&lt;&gt;0,(F29/$B29*100),(IF(F29&lt;&gt;0,1,0)))</f>
        <v>0</v>
      </c>
      <c r="L29" s="114">
        <f t="shared" si="6"/>
        <v>0</v>
      </c>
    </row>
    <row r="30" spans="1:12" ht="12.75">
      <c r="A30" s="111" t="s">
        <v>17</v>
      </c>
      <c r="B30" s="112">
        <f t="shared" si="1"/>
        <v>50847291</v>
      </c>
      <c r="C30" s="170">
        <v>50847291</v>
      </c>
      <c r="D30" s="160">
        <v>0</v>
      </c>
      <c r="E30" s="160">
        <v>0</v>
      </c>
      <c r="F30" s="160">
        <v>0</v>
      </c>
      <c r="G30" s="160">
        <v>0</v>
      </c>
      <c r="H30" s="115"/>
      <c r="I30" s="114">
        <f t="shared" si="2"/>
        <v>100</v>
      </c>
      <c r="J30" s="114">
        <f>IF($B30&lt;&gt;0,(E30/$B30*100),(IF(E30&lt;&gt;0,1,0)))</f>
        <v>0</v>
      </c>
      <c r="K30" s="114">
        <f t="shared" si="6"/>
        <v>0</v>
      </c>
      <c r="L30" s="114">
        <f t="shared" si="6"/>
        <v>0</v>
      </c>
    </row>
    <row r="31" spans="1:12" ht="12.75">
      <c r="A31" s="111" t="s">
        <v>18</v>
      </c>
      <c r="B31" s="112">
        <f t="shared" si="1"/>
        <v>6061206</v>
      </c>
      <c r="C31" s="170">
        <v>6061206</v>
      </c>
      <c r="D31" s="160">
        <v>0</v>
      </c>
      <c r="E31" s="160">
        <v>0</v>
      </c>
      <c r="F31" s="160">
        <v>0</v>
      </c>
      <c r="G31" s="160">
        <v>0</v>
      </c>
      <c r="H31" s="115"/>
      <c r="I31" s="114">
        <f>IF(B31&lt;&gt;0,((+C31+D31)/B31*100),(IF(C31&lt;&gt;0,1,0)))</f>
        <v>100</v>
      </c>
      <c r="J31" s="114">
        <f>IF($B31&lt;&gt;0,(E31/$B31*100),(IF(E31&lt;&gt;0,1,0)))</f>
        <v>0</v>
      </c>
      <c r="K31" s="114">
        <f t="shared" si="6"/>
        <v>0</v>
      </c>
      <c r="L31" s="114">
        <f t="shared" si="6"/>
        <v>0</v>
      </c>
    </row>
    <row r="32" spans="1:12" ht="12.75">
      <c r="A32" s="111" t="s">
        <v>19</v>
      </c>
      <c r="B32" s="112">
        <f t="shared" si="1"/>
        <v>6034537</v>
      </c>
      <c r="C32" s="170">
        <v>6034537</v>
      </c>
      <c r="D32" s="160">
        <v>0</v>
      </c>
      <c r="E32" s="160">
        <v>0</v>
      </c>
      <c r="F32" s="160">
        <v>0</v>
      </c>
      <c r="G32" s="160">
        <v>0</v>
      </c>
      <c r="H32" s="115"/>
      <c r="I32" s="114">
        <f t="shared" si="2"/>
        <v>100</v>
      </c>
      <c r="J32" s="114">
        <f>IF($B32&lt;&gt;0,(E32/$B32*100),(IF(E32&lt;&gt;0,1,0)))</f>
        <v>0</v>
      </c>
      <c r="K32" s="114">
        <f t="shared" si="6"/>
        <v>0</v>
      </c>
      <c r="L32" s="114">
        <f t="shared" si="6"/>
        <v>0</v>
      </c>
    </row>
    <row r="33" spans="1:12" ht="12.75">
      <c r="A33" s="111" t="s">
        <v>20</v>
      </c>
      <c r="B33" s="112">
        <f t="shared" si="1"/>
        <v>7579836</v>
      </c>
      <c r="C33" s="170">
        <v>740631</v>
      </c>
      <c r="D33" s="160">
        <v>0</v>
      </c>
      <c r="E33" s="160">
        <v>1321600</v>
      </c>
      <c r="F33" s="160">
        <v>0</v>
      </c>
      <c r="G33" s="160">
        <v>5517605</v>
      </c>
      <c r="H33" s="115"/>
      <c r="I33" s="114">
        <f t="shared" si="2"/>
        <v>9.771068925501817</v>
      </c>
      <c r="J33" s="114">
        <f>IF($B33&lt;&gt;0,(E33/$B33*100),(IF(E33&lt;&gt;0,1,0)))</f>
        <v>17.43573343803217</v>
      </c>
      <c r="K33" s="114">
        <f t="shared" si="6"/>
        <v>0</v>
      </c>
      <c r="L33" s="114">
        <f t="shared" si="6"/>
        <v>72.793197636466</v>
      </c>
    </row>
    <row r="34" spans="2:12" ht="12.75">
      <c r="B34" s="112"/>
      <c r="C34" s="170"/>
      <c r="D34" s="160"/>
      <c r="E34" s="160"/>
      <c r="F34" s="160"/>
      <c r="G34" s="160"/>
      <c r="H34" s="115"/>
      <c r="I34" s="114"/>
      <c r="J34" s="114"/>
      <c r="K34" s="114"/>
      <c r="L34" s="114"/>
    </row>
    <row r="35" spans="1:12" ht="12.75">
      <c r="A35" s="111" t="s">
        <v>21</v>
      </c>
      <c r="B35" s="112">
        <f>SUM(C35:G35)</f>
        <v>3793297</v>
      </c>
      <c r="C35" s="170">
        <v>3793297</v>
      </c>
      <c r="D35" s="160">
        <v>0</v>
      </c>
      <c r="E35" s="160">
        <v>0</v>
      </c>
      <c r="F35" s="160">
        <v>0</v>
      </c>
      <c r="G35" s="160">
        <v>0</v>
      </c>
      <c r="H35" s="115"/>
      <c r="I35" s="114">
        <f t="shared" si="2"/>
        <v>100</v>
      </c>
      <c r="J35" s="114">
        <f>IF($B35&lt;&gt;0,(E35/$B35*100),(IF(E35&lt;&gt;0,1,0)))</f>
        <v>0</v>
      </c>
      <c r="K35" s="114">
        <f aca="true" t="shared" si="7" ref="K35:L38">IF($B35&lt;&gt;0,(F35/$B35*100),(IF(F35&lt;&gt;0,1,0)))</f>
        <v>0</v>
      </c>
      <c r="L35" s="114">
        <f t="shared" si="7"/>
        <v>0</v>
      </c>
    </row>
    <row r="36" spans="1:12" ht="12.75">
      <c r="A36" s="111" t="s">
        <v>22</v>
      </c>
      <c r="B36" s="112">
        <f>SUM(C36:G36)</f>
        <v>5728286</v>
      </c>
      <c r="C36" s="170">
        <v>5728286</v>
      </c>
      <c r="D36" s="160">
        <v>0</v>
      </c>
      <c r="E36" s="160">
        <v>0</v>
      </c>
      <c r="F36" s="160">
        <v>0</v>
      </c>
      <c r="G36" s="160">
        <v>0</v>
      </c>
      <c r="H36" s="115"/>
      <c r="I36" s="114">
        <f t="shared" si="2"/>
        <v>100</v>
      </c>
      <c r="J36" s="114">
        <f>IF($B36&lt;&gt;0,(E36/$B36*100),(IF(E36&lt;&gt;0,1,0)))</f>
        <v>0</v>
      </c>
      <c r="K36" s="114">
        <f t="shared" si="7"/>
        <v>0</v>
      </c>
      <c r="L36" s="114">
        <f t="shared" si="7"/>
        <v>0</v>
      </c>
    </row>
    <row r="37" spans="1:12" ht="12.75">
      <c r="A37" s="111" t="s">
        <v>23</v>
      </c>
      <c r="B37" s="115">
        <f>SUM(C37:G37)</f>
        <v>7544028</v>
      </c>
      <c r="C37" s="170">
        <v>0</v>
      </c>
      <c r="D37" s="160">
        <v>7544028</v>
      </c>
      <c r="E37" s="160">
        <v>0</v>
      </c>
      <c r="F37" s="160">
        <v>0</v>
      </c>
      <c r="G37" s="160">
        <v>0</v>
      </c>
      <c r="H37" s="115"/>
      <c r="I37" s="114">
        <f t="shared" si="2"/>
        <v>100</v>
      </c>
      <c r="J37" s="114">
        <f>IF($B37&lt;&gt;0,(E37/$B37*100),(IF(E37&lt;&gt;0,1,0)))</f>
        <v>0</v>
      </c>
      <c r="K37" s="114">
        <f t="shared" si="7"/>
        <v>0</v>
      </c>
      <c r="L37" s="114">
        <f t="shared" si="7"/>
        <v>0</v>
      </c>
    </row>
    <row r="38" spans="1:12" ht="12.75">
      <c r="A38" s="117" t="s">
        <v>24</v>
      </c>
      <c r="B38" s="118">
        <f>SUM(C38:G38)</f>
        <v>8585287</v>
      </c>
      <c r="C38" s="217">
        <v>8585287</v>
      </c>
      <c r="D38" s="161">
        <v>0</v>
      </c>
      <c r="E38" s="161">
        <v>0</v>
      </c>
      <c r="F38" s="161">
        <v>0</v>
      </c>
      <c r="G38" s="161">
        <v>0</v>
      </c>
      <c r="H38" s="118"/>
      <c r="I38" s="120">
        <f t="shared" si="2"/>
        <v>100</v>
      </c>
      <c r="J38" s="120">
        <f>IF($B38&lt;&gt;0,(E38/$B38*100),(IF(E38&lt;&gt;0,1,0)))</f>
        <v>0</v>
      </c>
      <c r="K38" s="120">
        <f t="shared" si="7"/>
        <v>0</v>
      </c>
      <c r="L38" s="120">
        <f t="shared" si="7"/>
        <v>0</v>
      </c>
    </row>
    <row r="39" spans="4:12" ht="12.75">
      <c r="D39" s="115"/>
      <c r="I39" s="172"/>
      <c r="J39" s="110"/>
      <c r="K39" s="110"/>
      <c r="L39" s="110"/>
    </row>
    <row r="40" spans="1:5" ht="12.75">
      <c r="A40" s="111" t="s">
        <v>228</v>
      </c>
      <c r="D40" s="115"/>
      <c r="E40" s="160"/>
    </row>
    <row r="41" spans="1:4" ht="12.75">
      <c r="A41" s="111" t="s">
        <v>229</v>
      </c>
      <c r="D41" s="115"/>
    </row>
    <row r="42" spans="1:4" ht="12.75">
      <c r="A42" s="168" t="s">
        <v>280</v>
      </c>
      <c r="D42" s="115"/>
    </row>
    <row r="43" ht="12.75">
      <c r="D43" s="115"/>
    </row>
  </sheetData>
  <sheetProtection password="CAF5" sheet="1"/>
  <mergeCells count="6">
    <mergeCell ref="A1:L1"/>
    <mergeCell ref="A3:L3"/>
    <mergeCell ref="C7:D7"/>
    <mergeCell ref="A4:K4"/>
    <mergeCell ref="C6:F6"/>
    <mergeCell ref="I6:L6"/>
  </mergeCells>
  <printOptions horizontalCentered="1"/>
  <pageMargins left="0.59" right="0.59" top="0.83" bottom="1" header="0.67" footer="0.5"/>
  <pageSetup fitToHeight="1" fitToWidth="1" horizontalDpi="600" verticalDpi="600" orientation="landscape" scale="90" r:id="rId1"/>
  <headerFooter scaleWithDoc="0">
    <oddFooter>&amp;L&amp;"Arial,Italic"&amp;9MSDE-LFRO  09 /2010&amp;C- 5 -&amp;R&amp;"Arial,Italic"&amp;9Selected Financial Data-Part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7"/>
  <sheetViews>
    <sheetView workbookViewId="0" topLeftCell="H16">
      <selection activeCell="B16" sqref="B16"/>
    </sheetView>
  </sheetViews>
  <sheetFormatPr defaultColWidth="9.140625" defaultRowHeight="12.75"/>
  <cols>
    <col min="1" max="1" width="14.140625" style="56" customWidth="1"/>
    <col min="2" max="2" width="14.421875" style="56" customWidth="1"/>
    <col min="3" max="3" width="13.421875" style="56" bestFit="1" customWidth="1"/>
    <col min="4" max="4" width="12.28125" style="56" customWidth="1"/>
    <col min="5" max="5" width="14.421875" style="56" customWidth="1"/>
    <col min="6" max="6" width="12.28125" style="56" bestFit="1" customWidth="1"/>
    <col min="7" max="7" width="15.7109375" style="56" customWidth="1"/>
    <col min="8" max="8" width="13.28125" style="56" customWidth="1"/>
    <col min="9" max="9" width="12.421875" style="56" customWidth="1"/>
    <col min="10" max="10" width="0.85546875" style="56" customWidth="1"/>
    <col min="11" max="11" width="12.7109375" style="215" customWidth="1"/>
    <col min="12" max="12" width="1.1484375" style="56" customWidth="1"/>
    <col min="13" max="13" width="8.8515625" style="56" customWidth="1"/>
    <col min="14" max="14" width="7.8515625" style="56" customWidth="1"/>
    <col min="15" max="15" width="8.7109375" style="56" customWidth="1"/>
    <col min="16" max="16" width="8.421875" style="56" customWidth="1"/>
    <col min="18" max="18" width="11.28125" style="0" bestFit="1" customWidth="1"/>
  </cols>
  <sheetData>
    <row r="1" spans="1:16" ht="12.75">
      <c r="A1" s="409" t="s">
        <v>93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</row>
    <row r="2" spans="1:16" ht="12.75">
      <c r="A2" s="87"/>
      <c r="B2" s="87"/>
      <c r="C2" s="87"/>
      <c r="D2" s="87"/>
      <c r="E2" s="87"/>
      <c r="F2" s="87"/>
      <c r="G2" s="87"/>
      <c r="H2" s="87"/>
      <c r="I2" s="87"/>
      <c r="J2" s="87"/>
      <c r="K2" s="189"/>
      <c r="L2" s="87"/>
      <c r="M2" s="87"/>
      <c r="N2" s="87"/>
      <c r="O2" s="87"/>
      <c r="P2" s="87"/>
    </row>
    <row r="3" spans="1:16" ht="12.75">
      <c r="A3" s="403" t="s">
        <v>278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</row>
    <row r="4" spans="1:16" ht="12.75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</row>
    <row r="5" spans="1:16" ht="13.5" thickBot="1">
      <c r="A5" s="87"/>
      <c r="B5" s="87"/>
      <c r="C5" s="87"/>
      <c r="D5" s="87"/>
      <c r="E5" s="87"/>
      <c r="F5" s="87"/>
      <c r="G5" s="87"/>
      <c r="H5" s="87"/>
      <c r="I5" s="87"/>
      <c r="J5" s="87"/>
      <c r="K5" s="189"/>
      <c r="L5" s="87"/>
      <c r="M5" s="190"/>
      <c r="N5" s="190"/>
      <c r="O5" s="190"/>
      <c r="P5" s="190"/>
    </row>
    <row r="6" spans="1:42" ht="15" customHeight="1" thickTop="1">
      <c r="A6" s="191"/>
      <c r="B6" s="192"/>
      <c r="C6" s="413" t="s">
        <v>84</v>
      </c>
      <c r="D6" s="413"/>
      <c r="E6" s="413"/>
      <c r="F6" s="413"/>
      <c r="G6" s="413"/>
      <c r="H6" s="413"/>
      <c r="I6" s="413"/>
      <c r="J6" s="413"/>
      <c r="K6" s="193"/>
      <c r="L6" s="191"/>
      <c r="M6" s="411"/>
      <c r="N6" s="411"/>
      <c r="O6" s="411"/>
      <c r="P6" s="411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16" ht="12.75">
      <c r="A7" s="67" t="s">
        <v>81</v>
      </c>
      <c r="B7" s="194" t="s">
        <v>44</v>
      </c>
      <c r="C7" s="408" t="s">
        <v>81</v>
      </c>
      <c r="D7" s="408"/>
      <c r="E7" s="408"/>
      <c r="F7" s="408"/>
      <c r="G7" s="194"/>
      <c r="H7" s="408" t="s">
        <v>51</v>
      </c>
      <c r="I7" s="408"/>
      <c r="J7" s="194"/>
      <c r="K7" s="195"/>
      <c r="L7" s="194"/>
      <c r="M7" s="412" t="s">
        <v>86</v>
      </c>
      <c r="N7" s="412"/>
      <c r="O7" s="412"/>
      <c r="P7" s="412"/>
    </row>
    <row r="8" spans="1:16" ht="12.75">
      <c r="A8" s="67" t="s">
        <v>34</v>
      </c>
      <c r="B8" s="194" t="s">
        <v>87</v>
      </c>
      <c r="C8" s="194" t="s">
        <v>94</v>
      </c>
      <c r="D8" s="194" t="s">
        <v>37</v>
      </c>
      <c r="E8" s="406" t="s">
        <v>196</v>
      </c>
      <c r="F8" s="194"/>
      <c r="G8" s="194"/>
      <c r="H8" s="194" t="s">
        <v>116</v>
      </c>
      <c r="I8" s="194" t="s">
        <v>148</v>
      </c>
      <c r="J8" s="194"/>
      <c r="K8" s="194" t="s">
        <v>83</v>
      </c>
      <c r="L8" s="194"/>
      <c r="M8" s="196"/>
      <c r="N8" s="196"/>
      <c r="O8" s="196"/>
      <c r="P8" s="196" t="s">
        <v>83</v>
      </c>
    </row>
    <row r="9" spans="1:16" ht="13.5" thickBot="1">
      <c r="A9" s="197" t="s">
        <v>134</v>
      </c>
      <c r="B9" s="74" t="s">
        <v>88</v>
      </c>
      <c r="C9" s="76" t="s">
        <v>95</v>
      </c>
      <c r="D9" s="76" t="s">
        <v>96</v>
      </c>
      <c r="E9" s="407"/>
      <c r="F9" s="76" t="s">
        <v>117</v>
      </c>
      <c r="G9" s="74" t="s">
        <v>45</v>
      </c>
      <c r="H9" s="74" t="s">
        <v>95</v>
      </c>
      <c r="I9" s="74" t="s">
        <v>77</v>
      </c>
      <c r="J9" s="74"/>
      <c r="K9" s="76" t="s">
        <v>223</v>
      </c>
      <c r="L9" s="76"/>
      <c r="M9" s="198" t="s">
        <v>81</v>
      </c>
      <c r="N9" s="198" t="s">
        <v>45</v>
      </c>
      <c r="O9" s="198" t="s">
        <v>51</v>
      </c>
      <c r="P9" s="198" t="s">
        <v>85</v>
      </c>
    </row>
    <row r="10" spans="1:18" ht="12.75">
      <c r="A10" s="67" t="s">
        <v>0</v>
      </c>
      <c r="B10" s="173">
        <f aca="true" t="shared" si="0" ref="B10:I10">SUM(B12:B39)</f>
        <v>311962678.64</v>
      </c>
      <c r="C10" s="173">
        <f t="shared" si="0"/>
        <v>114573378.47999999</v>
      </c>
      <c r="D10" s="173">
        <f t="shared" si="0"/>
        <v>10491775.940000001</v>
      </c>
      <c r="E10" s="173">
        <f t="shared" si="0"/>
        <v>365938.7100000001</v>
      </c>
      <c r="F10" s="173">
        <f t="shared" si="0"/>
        <v>12273856.04</v>
      </c>
      <c r="G10" s="199">
        <f t="shared" si="0"/>
        <v>7309643.090000001</v>
      </c>
      <c r="H10" s="173">
        <f t="shared" si="0"/>
        <v>140121189.70000002</v>
      </c>
      <c r="I10" s="173">
        <f t="shared" si="0"/>
        <v>13501660.28</v>
      </c>
      <c r="J10" s="173"/>
      <c r="K10" s="200">
        <f>SUM(K12:K39)</f>
        <v>13325236.400000002</v>
      </c>
      <c r="L10" s="173"/>
      <c r="M10" s="201">
        <f>SUM(C10:F10)/B10</f>
        <v>0.44141481849791825</v>
      </c>
      <c r="N10" s="201">
        <f>+G10/B10</f>
        <v>0.023431146064863784</v>
      </c>
      <c r="O10" s="201">
        <f>(+H10+I10)/B10</f>
        <v>0.4924398349498671</v>
      </c>
      <c r="P10" s="201">
        <f>+K10/B10</f>
        <v>0.04271420048735097</v>
      </c>
      <c r="R10" s="61"/>
    </row>
    <row r="11" spans="1:18" ht="12.75">
      <c r="A11" s="67"/>
      <c r="B11" s="175"/>
      <c r="C11" s="75"/>
      <c r="D11" s="75"/>
      <c r="E11" s="75"/>
      <c r="F11" s="75"/>
      <c r="G11" s="79"/>
      <c r="H11" s="175"/>
      <c r="I11" s="80"/>
      <c r="J11" s="80"/>
      <c r="K11" s="202"/>
      <c r="L11" s="75"/>
      <c r="M11" s="203"/>
      <c r="N11" s="203"/>
      <c r="O11" s="203"/>
      <c r="P11" s="203"/>
      <c r="R11" s="45"/>
    </row>
    <row r="12" spans="1:18" ht="12.75">
      <c r="A12" s="87" t="s">
        <v>1</v>
      </c>
      <c r="B12" s="169">
        <f>SUM(C12:K12)</f>
        <v>5510311.15</v>
      </c>
      <c r="C12" s="169">
        <v>1159864.91</v>
      </c>
      <c r="D12" s="169">
        <v>403892.42</v>
      </c>
      <c r="E12" s="169">
        <v>0</v>
      </c>
      <c r="F12" s="169">
        <v>0</v>
      </c>
      <c r="G12" s="79">
        <v>194324.58000000002</v>
      </c>
      <c r="H12" s="269">
        <v>2378566.38</v>
      </c>
      <c r="I12" s="169">
        <v>297471.57</v>
      </c>
      <c r="J12" s="204"/>
      <c r="K12" s="205">
        <v>1076191.29</v>
      </c>
      <c r="L12" s="206"/>
      <c r="M12" s="203">
        <f>SUM(C12:F12)/B12*100</f>
        <v>28.378748267237135</v>
      </c>
      <c r="N12" s="203">
        <f>+G12/B12*100</f>
        <v>3.526562742287248</v>
      </c>
      <c r="O12" s="203">
        <f>(+H12+I12)/B12*100</f>
        <v>48.564189519497454</v>
      </c>
      <c r="P12" s="203">
        <f>+K12/B12*100</f>
        <v>19.53049947097815</v>
      </c>
      <c r="Q12" s="42"/>
      <c r="R12" s="60"/>
    </row>
    <row r="13" spans="1:18" ht="12.75">
      <c r="A13" s="87" t="s">
        <v>2</v>
      </c>
      <c r="B13" s="169">
        <f aca="true" t="shared" si="1" ref="B13:B39">SUM(C13:K13)</f>
        <v>19591347</v>
      </c>
      <c r="C13" s="169">
        <v>11427294</v>
      </c>
      <c r="D13" s="169">
        <v>156773</v>
      </c>
      <c r="E13" s="169">
        <v>82099</v>
      </c>
      <c r="F13" s="169">
        <v>19547</v>
      </c>
      <c r="G13" s="79">
        <v>447249</v>
      </c>
      <c r="H13" s="269">
        <v>7458385</v>
      </c>
      <c r="I13" s="169">
        <v>0</v>
      </c>
      <c r="J13" s="204"/>
      <c r="K13" s="246">
        <v>0</v>
      </c>
      <c r="L13" s="207"/>
      <c r="M13" s="203">
        <f aca="true" t="shared" si="2" ref="M13:M39">SUM(C13:F13)/B13*100</f>
        <v>59.64731776737965</v>
      </c>
      <c r="N13" s="203">
        <f aca="true" t="shared" si="3" ref="N13:N39">+G13/B13*100</f>
        <v>2.2828905026285327</v>
      </c>
      <c r="O13" s="203">
        <f aca="true" t="shared" si="4" ref="O13:O39">(+H13+I13)/B13*100</f>
        <v>38.06979172999182</v>
      </c>
      <c r="P13" s="203">
        <f aca="true" t="shared" si="5" ref="P13:P39">+K13/B13*100</f>
        <v>0</v>
      </c>
      <c r="R13" s="60"/>
    </row>
    <row r="14" spans="1:18" ht="12.75">
      <c r="A14" s="87" t="s">
        <v>3</v>
      </c>
      <c r="B14" s="169">
        <f t="shared" si="1"/>
        <v>30804619.330000002</v>
      </c>
      <c r="C14" s="169">
        <v>0</v>
      </c>
      <c r="D14" s="169">
        <v>1810750.07</v>
      </c>
      <c r="E14" s="169">
        <v>0</v>
      </c>
      <c r="F14" s="208">
        <v>0</v>
      </c>
      <c r="G14" s="79">
        <v>862945.64</v>
      </c>
      <c r="H14" s="269">
        <v>25358869.52</v>
      </c>
      <c r="I14" s="169">
        <v>1422054</v>
      </c>
      <c r="J14" s="204"/>
      <c r="K14" s="205">
        <f>2772054.1-1422054</f>
        <v>1350000.1</v>
      </c>
      <c r="L14" s="207"/>
      <c r="M14" s="203">
        <f t="shared" si="2"/>
        <v>5.878177070140084</v>
      </c>
      <c r="N14" s="203">
        <f t="shared" si="3"/>
        <v>2.801351416667547</v>
      </c>
      <c r="O14" s="203">
        <f t="shared" si="4"/>
        <v>86.93801157905754</v>
      </c>
      <c r="P14" s="203">
        <f t="shared" si="5"/>
        <v>4.38245993413482</v>
      </c>
      <c r="R14" s="60"/>
    </row>
    <row r="15" spans="1:18" ht="12.75">
      <c r="A15" s="87" t="s">
        <v>4</v>
      </c>
      <c r="B15" s="169">
        <f t="shared" si="1"/>
        <v>35986538</v>
      </c>
      <c r="C15" s="169">
        <v>14834018</v>
      </c>
      <c r="D15" s="169">
        <v>1527412</v>
      </c>
      <c r="E15" s="169">
        <v>5431</v>
      </c>
      <c r="F15" s="169">
        <v>28268</v>
      </c>
      <c r="G15" s="79">
        <v>837040</v>
      </c>
      <c r="H15" s="269">
        <f>1000+16903130</f>
        <v>16904130</v>
      </c>
      <c r="I15" s="169">
        <v>1850239</v>
      </c>
      <c r="J15" s="204"/>
      <c r="K15" s="205">
        <v>0</v>
      </c>
      <c r="L15" s="207"/>
      <c r="M15" s="203">
        <f t="shared" si="2"/>
        <v>45.5590615579637</v>
      </c>
      <c r="N15" s="203">
        <f t="shared" si="3"/>
        <v>2.325980898746081</v>
      </c>
      <c r="O15" s="203">
        <f t="shared" si="4"/>
        <v>52.11495754329022</v>
      </c>
      <c r="P15" s="203">
        <f t="shared" si="5"/>
        <v>0</v>
      </c>
      <c r="R15" s="60"/>
    </row>
    <row r="16" spans="1:18" ht="12.75">
      <c r="A16" s="87" t="s">
        <v>5</v>
      </c>
      <c r="B16" s="80">
        <f t="shared" si="1"/>
        <v>5496549.34</v>
      </c>
      <c r="C16" s="169">
        <v>1357358.45</v>
      </c>
      <c r="D16" s="169">
        <v>0</v>
      </c>
      <c r="E16" s="169">
        <v>18038.9</v>
      </c>
      <c r="F16" s="208">
        <v>2736325.14</v>
      </c>
      <c r="G16" s="79">
        <v>36214</v>
      </c>
      <c r="H16" s="269">
        <v>1097961.85</v>
      </c>
      <c r="I16" s="169">
        <v>250651</v>
      </c>
      <c r="J16" s="204"/>
      <c r="K16" s="205">
        <v>0</v>
      </c>
      <c r="L16" s="207"/>
      <c r="M16" s="203">
        <f t="shared" si="2"/>
        <v>74.80552316846845</v>
      </c>
      <c r="N16" s="203">
        <f t="shared" si="3"/>
        <v>0.658849721159785</v>
      </c>
      <c r="O16" s="203">
        <f t="shared" si="4"/>
        <v>24.53562711037176</v>
      </c>
      <c r="P16" s="203">
        <f t="shared" si="5"/>
        <v>0</v>
      </c>
      <c r="R16" s="60"/>
    </row>
    <row r="17" spans="1:18" ht="12.75">
      <c r="A17" s="87"/>
      <c r="B17" s="169"/>
      <c r="C17" s="169"/>
      <c r="D17" s="169"/>
      <c r="E17" s="169"/>
      <c r="F17" s="208"/>
      <c r="G17" s="79"/>
      <c r="H17" s="269"/>
      <c r="I17" s="169"/>
      <c r="J17" s="204"/>
      <c r="K17" s="205"/>
      <c r="L17" s="207"/>
      <c r="M17" s="203"/>
      <c r="N17" s="203"/>
      <c r="O17" s="203"/>
      <c r="P17" s="203"/>
      <c r="R17" s="40"/>
    </row>
    <row r="18" spans="1:18" ht="12.75">
      <c r="A18" s="87" t="s">
        <v>6</v>
      </c>
      <c r="B18" s="169">
        <f t="shared" si="1"/>
        <v>2164350.46</v>
      </c>
      <c r="C18" s="169">
        <v>871947.22</v>
      </c>
      <c r="D18" s="169">
        <v>0</v>
      </c>
      <c r="E18" s="169">
        <v>2286.8</v>
      </c>
      <c r="F18" s="208">
        <v>15849.87</v>
      </c>
      <c r="G18" s="79">
        <v>47041.71</v>
      </c>
      <c r="H18" s="269">
        <v>1227224.86</v>
      </c>
      <c r="I18" s="169">
        <v>0</v>
      </c>
      <c r="J18" s="204"/>
      <c r="K18" s="205">
        <v>0</v>
      </c>
      <c r="L18" s="207"/>
      <c r="M18" s="203">
        <f t="shared" si="2"/>
        <v>41.12475804865724</v>
      </c>
      <c r="N18" s="203">
        <f t="shared" si="3"/>
        <v>2.173479335689471</v>
      </c>
      <c r="O18" s="203">
        <f t="shared" si="4"/>
        <v>56.701762615653294</v>
      </c>
      <c r="P18" s="203">
        <f t="shared" si="5"/>
        <v>0</v>
      </c>
      <c r="R18" s="60"/>
    </row>
    <row r="19" spans="1:18" ht="12.75">
      <c r="A19" s="87" t="s">
        <v>7</v>
      </c>
      <c r="B19" s="169">
        <f t="shared" si="1"/>
        <v>6845962.0200000005</v>
      </c>
      <c r="C19" s="169">
        <v>3852713.13</v>
      </c>
      <c r="D19" s="169">
        <v>214771.32</v>
      </c>
      <c r="E19" s="169">
        <v>2677.28</v>
      </c>
      <c r="F19" s="247">
        <v>45887.35</v>
      </c>
      <c r="G19" s="79">
        <v>58456.95</v>
      </c>
      <c r="H19" s="269">
        <v>1681574.12</v>
      </c>
      <c r="I19" s="169">
        <v>483221.68</v>
      </c>
      <c r="J19" s="204"/>
      <c r="K19" s="205">
        <v>506660.19</v>
      </c>
      <c r="L19" s="207"/>
      <c r="M19" s="203">
        <f t="shared" si="2"/>
        <v>60.12374985393213</v>
      </c>
      <c r="N19" s="203">
        <f t="shared" si="3"/>
        <v>0.853889487397419</v>
      </c>
      <c r="O19" s="203">
        <f t="shared" si="4"/>
        <v>31.62149882917405</v>
      </c>
      <c r="P19" s="203">
        <f t="shared" si="5"/>
        <v>7.40086182949639</v>
      </c>
      <c r="R19" s="60"/>
    </row>
    <row r="20" spans="1:18" ht="12.75">
      <c r="A20" s="87" t="s">
        <v>8</v>
      </c>
      <c r="B20" s="169">
        <f t="shared" si="1"/>
        <v>5943729.05</v>
      </c>
      <c r="C20" s="169">
        <v>2874652.22</v>
      </c>
      <c r="D20" s="169">
        <v>16509.43</v>
      </c>
      <c r="E20" s="169">
        <v>16858.15</v>
      </c>
      <c r="F20" s="208">
        <v>22168.96</v>
      </c>
      <c r="G20" s="79">
        <v>241016.07</v>
      </c>
      <c r="H20" s="269">
        <v>2526552.77</v>
      </c>
      <c r="I20" s="169">
        <v>245971.45</v>
      </c>
      <c r="J20" s="204"/>
      <c r="K20" s="205">
        <v>0</v>
      </c>
      <c r="L20" s="207"/>
      <c r="M20" s="203">
        <f t="shared" si="2"/>
        <v>49.298827980727026</v>
      </c>
      <c r="N20" s="203">
        <f t="shared" si="3"/>
        <v>4.054963945572183</v>
      </c>
      <c r="O20" s="203">
        <f t="shared" si="4"/>
        <v>46.646208073700805</v>
      </c>
      <c r="P20" s="203">
        <f t="shared" si="5"/>
        <v>0</v>
      </c>
      <c r="R20" s="60"/>
    </row>
    <row r="21" spans="1:18" ht="12.75">
      <c r="A21" s="87" t="s">
        <v>9</v>
      </c>
      <c r="B21" s="169">
        <f t="shared" si="1"/>
        <v>10288826.89</v>
      </c>
      <c r="C21" s="169">
        <v>5514319.69</v>
      </c>
      <c r="D21" s="169">
        <v>565994.0700000001</v>
      </c>
      <c r="E21" s="169">
        <v>40005.43</v>
      </c>
      <c r="F21" s="208">
        <v>153815.29</v>
      </c>
      <c r="G21" s="79">
        <v>183005.68</v>
      </c>
      <c r="H21" s="269">
        <v>3298217.42</v>
      </c>
      <c r="I21" s="169">
        <v>503469.31</v>
      </c>
      <c r="J21" s="204"/>
      <c r="K21" s="248">
        <v>30000</v>
      </c>
      <c r="L21" s="207"/>
      <c r="M21" s="203">
        <f t="shared" si="2"/>
        <v>60.98007622324765</v>
      </c>
      <c r="N21" s="203">
        <f t="shared" si="3"/>
        <v>1.7786836337762506</v>
      </c>
      <c r="O21" s="203">
        <f t="shared" si="4"/>
        <v>36.94966171211381</v>
      </c>
      <c r="P21" s="203">
        <f t="shared" si="5"/>
        <v>0.2915784308622963</v>
      </c>
      <c r="R21" s="60"/>
    </row>
    <row r="22" spans="1:18" ht="12.75">
      <c r="A22" s="87" t="s">
        <v>10</v>
      </c>
      <c r="B22" s="169">
        <f t="shared" si="1"/>
        <v>2202909</v>
      </c>
      <c r="C22" s="169">
        <v>659278</v>
      </c>
      <c r="D22" s="169">
        <v>18996</v>
      </c>
      <c r="E22" s="169">
        <v>4309</v>
      </c>
      <c r="F22" s="208">
        <v>0</v>
      </c>
      <c r="G22" s="79">
        <v>98826</v>
      </c>
      <c r="H22" s="269">
        <v>1327592</v>
      </c>
      <c r="I22" s="169">
        <v>93908</v>
      </c>
      <c r="J22" s="204"/>
      <c r="K22" s="249">
        <v>0</v>
      </c>
      <c r="L22" s="207"/>
      <c r="M22" s="203">
        <f t="shared" si="2"/>
        <v>30.985528680485668</v>
      </c>
      <c r="N22" s="203">
        <f t="shared" si="3"/>
        <v>4.486158983416928</v>
      </c>
      <c r="O22" s="203">
        <f t="shared" si="4"/>
        <v>64.5283123360974</v>
      </c>
      <c r="P22" s="203">
        <f t="shared" si="5"/>
        <v>0</v>
      </c>
      <c r="R22" s="60"/>
    </row>
    <row r="23" spans="1:18" ht="12.75">
      <c r="A23" s="87"/>
      <c r="B23" s="169"/>
      <c r="C23" s="169"/>
      <c r="D23" s="169"/>
      <c r="E23" s="169"/>
      <c r="F23" s="208"/>
      <c r="G23" s="79"/>
      <c r="H23" s="269"/>
      <c r="I23" s="169"/>
      <c r="J23" s="204"/>
      <c r="K23" s="249"/>
      <c r="L23" s="207"/>
      <c r="M23" s="203"/>
      <c r="N23" s="203"/>
      <c r="O23" s="203"/>
      <c r="P23" s="203"/>
      <c r="R23" s="40"/>
    </row>
    <row r="24" spans="1:18" ht="12.75">
      <c r="A24" s="87" t="s">
        <v>11</v>
      </c>
      <c r="B24" s="169">
        <f t="shared" si="1"/>
        <v>12016897</v>
      </c>
      <c r="C24" s="169">
        <v>6973100</v>
      </c>
      <c r="D24" s="234">
        <v>0</v>
      </c>
      <c r="E24" s="169">
        <v>63</v>
      </c>
      <c r="F24" s="208">
        <v>155208</v>
      </c>
      <c r="G24" s="79">
        <v>198833</v>
      </c>
      <c r="H24" s="269">
        <v>3560111</v>
      </c>
      <c r="I24" s="169">
        <v>670349</v>
      </c>
      <c r="J24" s="204"/>
      <c r="K24" s="249">
        <v>459233</v>
      </c>
      <c r="L24" s="207"/>
      <c r="M24" s="203">
        <f t="shared" si="2"/>
        <v>59.31956477616475</v>
      </c>
      <c r="N24" s="203">
        <f t="shared" si="3"/>
        <v>1.654611835318219</v>
      </c>
      <c r="O24" s="203">
        <f t="shared" si="4"/>
        <v>35.20426279762571</v>
      </c>
      <c r="P24" s="203">
        <f t="shared" si="5"/>
        <v>3.821560590891309</v>
      </c>
      <c r="R24" s="60"/>
    </row>
    <row r="25" spans="1:18" ht="12.75">
      <c r="A25" s="87" t="s">
        <v>12</v>
      </c>
      <c r="B25" s="169">
        <f t="shared" si="1"/>
        <v>2696555</v>
      </c>
      <c r="C25" s="169">
        <v>462366</v>
      </c>
      <c r="D25" s="169">
        <v>730802</v>
      </c>
      <c r="E25" s="169">
        <v>641</v>
      </c>
      <c r="F25" s="208">
        <v>0</v>
      </c>
      <c r="G25" s="79">
        <v>89716</v>
      </c>
      <c r="H25" s="269">
        <v>1019187</v>
      </c>
      <c r="I25" s="169">
        <v>129722</v>
      </c>
      <c r="J25" s="204"/>
      <c r="K25" s="205">
        <v>264121</v>
      </c>
      <c r="L25" s="207"/>
      <c r="M25" s="203">
        <f t="shared" si="2"/>
        <v>44.27163547563465</v>
      </c>
      <c r="N25" s="203">
        <f t="shared" si="3"/>
        <v>3.3270598967942435</v>
      </c>
      <c r="O25" s="203">
        <f t="shared" si="4"/>
        <v>42.606547984372654</v>
      </c>
      <c r="P25" s="203">
        <f t="shared" si="5"/>
        <v>9.794756643198452</v>
      </c>
      <c r="R25" s="60"/>
    </row>
    <row r="26" spans="1:18" ht="12.75">
      <c r="A26" s="87" t="s">
        <v>13</v>
      </c>
      <c r="B26" s="169">
        <f t="shared" si="1"/>
        <v>14130413</v>
      </c>
      <c r="C26" s="169">
        <v>8058809</v>
      </c>
      <c r="D26" s="169">
        <v>0</v>
      </c>
      <c r="E26" s="169">
        <v>8995</v>
      </c>
      <c r="F26" s="208">
        <v>328</v>
      </c>
      <c r="G26" s="79">
        <v>283470</v>
      </c>
      <c r="H26" s="269">
        <v>4764532</v>
      </c>
      <c r="I26" s="169">
        <v>864279</v>
      </c>
      <c r="J26" s="204"/>
      <c r="K26" s="205">
        <v>150000</v>
      </c>
      <c r="L26" s="207"/>
      <c r="M26" s="203">
        <f t="shared" si="2"/>
        <v>57.097637556665894</v>
      </c>
      <c r="N26" s="203">
        <f t="shared" si="3"/>
        <v>2.0060984770933445</v>
      </c>
      <c r="O26" s="203">
        <f t="shared" si="4"/>
        <v>39.83472386829741</v>
      </c>
      <c r="P26" s="203">
        <f t="shared" si="5"/>
        <v>1.0615400979433511</v>
      </c>
      <c r="R26" s="60"/>
    </row>
    <row r="27" spans="1:18" ht="12.75">
      <c r="A27" s="87" t="s">
        <v>14</v>
      </c>
      <c r="B27" s="169">
        <f t="shared" si="1"/>
        <v>12805679</v>
      </c>
      <c r="C27" s="169">
        <v>8059229</v>
      </c>
      <c r="D27" s="169">
        <v>0</v>
      </c>
      <c r="E27" s="169">
        <v>18131</v>
      </c>
      <c r="F27" s="208">
        <v>0</v>
      </c>
      <c r="G27" s="79">
        <v>102227</v>
      </c>
      <c r="H27" s="269">
        <v>3053713</v>
      </c>
      <c r="I27" s="169">
        <v>870210</v>
      </c>
      <c r="J27" s="204"/>
      <c r="K27" s="205">
        <v>702169</v>
      </c>
      <c r="L27" s="207"/>
      <c r="M27" s="203">
        <f t="shared" si="2"/>
        <v>63.07638977987813</v>
      </c>
      <c r="N27" s="203">
        <f t="shared" si="3"/>
        <v>0.7982942567902881</v>
      </c>
      <c r="O27" s="203">
        <f t="shared" si="4"/>
        <v>30.642053420205208</v>
      </c>
      <c r="P27" s="203">
        <f t="shared" si="5"/>
        <v>5.483262543126374</v>
      </c>
      <c r="R27" s="60"/>
    </row>
    <row r="28" spans="1:18" ht="12.75">
      <c r="A28" s="87" t="s">
        <v>15</v>
      </c>
      <c r="B28" s="169">
        <f t="shared" si="1"/>
        <v>1191936.4</v>
      </c>
      <c r="C28" s="169">
        <v>458069</v>
      </c>
      <c r="D28" s="169">
        <v>0</v>
      </c>
      <c r="E28" s="169">
        <v>0</v>
      </c>
      <c r="F28" s="169">
        <v>21476</v>
      </c>
      <c r="G28" s="79">
        <v>78617.4</v>
      </c>
      <c r="H28" s="269">
        <v>560848.6</v>
      </c>
      <c r="I28" s="169">
        <v>72925.4</v>
      </c>
      <c r="J28" s="204"/>
      <c r="K28" s="205">
        <v>0</v>
      </c>
      <c r="L28" s="207"/>
      <c r="M28" s="203">
        <f t="shared" si="2"/>
        <v>40.232431864653186</v>
      </c>
      <c r="N28" s="203">
        <f t="shared" si="3"/>
        <v>6.595771385117528</v>
      </c>
      <c r="O28" s="203">
        <f t="shared" si="4"/>
        <v>53.17179675022929</v>
      </c>
      <c r="P28" s="203">
        <f t="shared" si="5"/>
        <v>0</v>
      </c>
      <c r="R28" s="60"/>
    </row>
    <row r="29" spans="1:18" ht="12.75">
      <c r="A29" s="87"/>
      <c r="B29" s="169"/>
      <c r="C29" s="169"/>
      <c r="D29" s="169"/>
      <c r="E29" s="169"/>
      <c r="F29" s="208"/>
      <c r="G29" s="79"/>
      <c r="H29" s="269"/>
      <c r="I29" s="169"/>
      <c r="J29" s="204"/>
      <c r="K29" s="205"/>
      <c r="L29" s="207"/>
      <c r="M29" s="203"/>
      <c r="N29" s="203"/>
      <c r="O29" s="203"/>
      <c r="P29" s="203"/>
      <c r="R29" s="40"/>
    </row>
    <row r="30" spans="1:18" ht="12.75">
      <c r="A30" s="87" t="s">
        <v>16</v>
      </c>
      <c r="B30" s="169">
        <f t="shared" si="1"/>
        <v>43913478</v>
      </c>
      <c r="C30" s="169">
        <v>22191730</v>
      </c>
      <c r="D30" s="169">
        <v>0</v>
      </c>
      <c r="E30" s="169">
        <v>156999</v>
      </c>
      <c r="F30" s="208">
        <v>0</v>
      </c>
      <c r="G30" s="79">
        <v>985094</v>
      </c>
      <c r="H30" s="269">
        <v>18311345</v>
      </c>
      <c r="I30" s="169">
        <v>2268310</v>
      </c>
      <c r="J30" s="204"/>
      <c r="K30" s="205">
        <v>0</v>
      </c>
      <c r="L30" s="207"/>
      <c r="M30" s="203">
        <f t="shared" si="2"/>
        <v>50.892641662316066</v>
      </c>
      <c r="N30" s="203">
        <f t="shared" si="3"/>
        <v>2.2432611691563125</v>
      </c>
      <c r="O30" s="203">
        <f t="shared" si="4"/>
        <v>46.86409716852762</v>
      </c>
      <c r="P30" s="203">
        <f t="shared" si="5"/>
        <v>0</v>
      </c>
      <c r="R30" s="60"/>
    </row>
    <row r="31" spans="1:18" ht="12.75">
      <c r="A31" s="87" t="s">
        <v>17</v>
      </c>
      <c r="B31" s="169">
        <f t="shared" si="1"/>
        <v>69785005</v>
      </c>
      <c r="C31" s="169">
        <v>17681174</v>
      </c>
      <c r="D31" s="169">
        <v>2123450</v>
      </c>
      <c r="E31" s="169">
        <v>0</v>
      </c>
      <c r="F31" s="169">
        <v>6736059</v>
      </c>
      <c r="G31" s="79">
        <v>1453804</v>
      </c>
      <c r="H31" s="269">
        <f>883+31110311</f>
        <v>31111194</v>
      </c>
      <c r="I31" s="169">
        <v>2679324</v>
      </c>
      <c r="J31" s="204"/>
      <c r="K31" s="205">
        <v>8000000</v>
      </c>
      <c r="L31" s="207"/>
      <c r="M31" s="203">
        <f t="shared" si="2"/>
        <v>38.032071503039944</v>
      </c>
      <c r="N31" s="203">
        <f t="shared" si="3"/>
        <v>2.0832612966066275</v>
      </c>
      <c r="O31" s="203">
        <f t="shared" si="4"/>
        <v>48.42088640675744</v>
      </c>
      <c r="P31" s="203">
        <f t="shared" si="5"/>
        <v>11.463780793595989</v>
      </c>
      <c r="R31" s="60"/>
    </row>
    <row r="32" spans="1:18" ht="12.75">
      <c r="A32" s="87" t="s">
        <v>18</v>
      </c>
      <c r="B32" s="169">
        <f t="shared" si="1"/>
        <v>2395504.3</v>
      </c>
      <c r="C32" s="169">
        <v>855532.88</v>
      </c>
      <c r="D32" s="169">
        <v>638740.12</v>
      </c>
      <c r="E32" s="169">
        <v>868.78</v>
      </c>
      <c r="F32" s="208">
        <v>152663.45</v>
      </c>
      <c r="G32" s="79">
        <v>47082.66</v>
      </c>
      <c r="H32" s="269">
        <v>700616.41</v>
      </c>
      <c r="I32" s="169">
        <v>0</v>
      </c>
      <c r="J32" s="204"/>
      <c r="K32" s="205">
        <v>0</v>
      </c>
      <c r="L32" s="207"/>
      <c r="M32" s="203">
        <f t="shared" si="2"/>
        <v>68.78740438913009</v>
      </c>
      <c r="N32" s="203">
        <f t="shared" si="3"/>
        <v>1.9654592145795777</v>
      </c>
      <c r="O32" s="203">
        <f t="shared" si="4"/>
        <v>29.247136396290337</v>
      </c>
      <c r="P32" s="203">
        <f t="shared" si="5"/>
        <v>0</v>
      </c>
      <c r="R32" s="60"/>
    </row>
    <row r="33" spans="1:18" ht="12.75">
      <c r="A33" s="87" t="s">
        <v>19</v>
      </c>
      <c r="B33" s="169">
        <f t="shared" si="1"/>
        <v>6087417.77</v>
      </c>
      <c r="C33" s="169">
        <v>2296925.74</v>
      </c>
      <c r="D33" s="169">
        <v>1066948.14</v>
      </c>
      <c r="E33" s="169">
        <v>6219.32</v>
      </c>
      <c r="F33" s="208">
        <v>0</v>
      </c>
      <c r="G33" s="79">
        <v>199704.59</v>
      </c>
      <c r="H33" s="269">
        <f>1000+2163884.23</f>
        <v>2164884.23</v>
      </c>
      <c r="I33" s="169">
        <v>322989.87</v>
      </c>
      <c r="J33" s="204"/>
      <c r="K33" s="205">
        <v>29745.88</v>
      </c>
      <c r="L33" s="207"/>
      <c r="M33" s="203">
        <f t="shared" si="2"/>
        <v>55.36162174721253</v>
      </c>
      <c r="N33" s="203">
        <f t="shared" si="3"/>
        <v>3.2806125280933367</v>
      </c>
      <c r="O33" s="203">
        <f t="shared" si="4"/>
        <v>40.86912043823797</v>
      </c>
      <c r="P33" s="203">
        <f t="shared" si="5"/>
        <v>0.4886452864561652</v>
      </c>
      <c r="R33" s="60"/>
    </row>
    <row r="34" spans="1:18" ht="12.75">
      <c r="A34" s="87" t="s">
        <v>20</v>
      </c>
      <c r="B34" s="169">
        <f t="shared" si="1"/>
        <v>1355969.01</v>
      </c>
      <c r="C34" s="169">
        <v>309001.8</v>
      </c>
      <c r="D34" s="169">
        <v>1665.74</v>
      </c>
      <c r="E34" s="169">
        <v>387.53</v>
      </c>
      <c r="F34" s="169">
        <v>0</v>
      </c>
      <c r="G34" s="79">
        <v>84468.71</v>
      </c>
      <c r="H34" s="269">
        <v>902229.23</v>
      </c>
      <c r="I34" s="169">
        <v>58216</v>
      </c>
      <c r="J34" s="204"/>
      <c r="K34" s="205">
        <v>0</v>
      </c>
      <c r="L34" s="207"/>
      <c r="M34" s="203">
        <f t="shared" si="2"/>
        <v>22.939688717517225</v>
      </c>
      <c r="N34" s="203">
        <f t="shared" si="3"/>
        <v>6.229398266262738</v>
      </c>
      <c r="O34" s="203">
        <f t="shared" si="4"/>
        <v>70.83091301622004</v>
      </c>
      <c r="P34" s="203">
        <f t="shared" si="5"/>
        <v>0</v>
      </c>
      <c r="R34" s="60"/>
    </row>
    <row r="35" spans="1:20" ht="12.75">
      <c r="A35" s="87"/>
      <c r="B35" s="169"/>
      <c r="C35" s="169"/>
      <c r="D35" s="169"/>
      <c r="E35" s="169"/>
      <c r="F35" s="208"/>
      <c r="G35" s="79"/>
      <c r="H35" s="269"/>
      <c r="I35" s="169"/>
      <c r="J35" s="204"/>
      <c r="K35" s="205"/>
      <c r="L35" s="207"/>
      <c r="M35" s="203"/>
      <c r="N35" s="203"/>
      <c r="O35" s="203"/>
      <c r="P35" s="203"/>
      <c r="R35" s="40"/>
      <c r="S35" s="3"/>
      <c r="T35" s="3"/>
    </row>
    <row r="36" spans="1:20" ht="12.75">
      <c r="A36" s="87" t="s">
        <v>21</v>
      </c>
      <c r="B36" s="169">
        <f t="shared" si="1"/>
        <v>1694607.1</v>
      </c>
      <c r="C36" s="169">
        <v>432698.9</v>
      </c>
      <c r="D36" s="169">
        <v>418328.4</v>
      </c>
      <c r="E36" s="169">
        <v>0</v>
      </c>
      <c r="F36" s="208">
        <v>5437.17</v>
      </c>
      <c r="G36" s="79">
        <v>87852.48</v>
      </c>
      <c r="H36" s="269">
        <v>750290.15</v>
      </c>
      <c r="I36" s="169">
        <v>0</v>
      </c>
      <c r="J36" s="204"/>
      <c r="K36" s="205">
        <v>0</v>
      </c>
      <c r="L36" s="207"/>
      <c r="M36" s="203">
        <f t="shared" si="2"/>
        <v>50.540592565674956</v>
      </c>
      <c r="N36" s="203">
        <f t="shared" si="3"/>
        <v>5.184238871653494</v>
      </c>
      <c r="O36" s="203">
        <f t="shared" si="4"/>
        <v>44.275168562671546</v>
      </c>
      <c r="P36" s="203">
        <f t="shared" si="5"/>
        <v>0</v>
      </c>
      <c r="R36" s="60"/>
      <c r="S36" s="3"/>
      <c r="T36" s="3"/>
    </row>
    <row r="37" spans="1:20" ht="12.75">
      <c r="A37" s="87" t="s">
        <v>22</v>
      </c>
      <c r="B37" s="169">
        <f t="shared" si="1"/>
        <v>9841880.56</v>
      </c>
      <c r="C37" s="169">
        <v>3713451.66</v>
      </c>
      <c r="D37" s="169">
        <v>424508.47</v>
      </c>
      <c r="E37" s="169">
        <v>87.37</v>
      </c>
      <c r="F37" s="208">
        <v>207722.06</v>
      </c>
      <c r="G37" s="79">
        <v>437615.91</v>
      </c>
      <c r="H37" s="269">
        <f>218+4634180.94</f>
        <v>4634398.94</v>
      </c>
      <c r="I37" s="169">
        <v>418349</v>
      </c>
      <c r="J37" s="204"/>
      <c r="K37" s="205">
        <v>5747.15</v>
      </c>
      <c r="L37" s="207"/>
      <c r="M37" s="203">
        <f t="shared" si="2"/>
        <v>44.155885996649396</v>
      </c>
      <c r="N37" s="203">
        <f t="shared" si="3"/>
        <v>4.4464663773566455</v>
      </c>
      <c r="O37" s="203">
        <f t="shared" si="4"/>
        <v>51.339252790119204</v>
      </c>
      <c r="P37" s="203">
        <f t="shared" si="5"/>
        <v>0.058394835874740585</v>
      </c>
      <c r="R37" s="60"/>
      <c r="S37" s="3"/>
      <c r="T37" s="3"/>
    </row>
    <row r="38" spans="1:20" ht="12.75">
      <c r="A38" s="87" t="s">
        <v>23</v>
      </c>
      <c r="B38" s="169">
        <f t="shared" si="1"/>
        <v>6684393.5200000005</v>
      </c>
      <c r="C38" s="169">
        <v>0</v>
      </c>
      <c r="D38" s="169">
        <v>0</v>
      </c>
      <c r="E38" s="169">
        <v>0</v>
      </c>
      <c r="F38" s="208">
        <v>1828165.43</v>
      </c>
      <c r="G38" s="79">
        <v>190263.7</v>
      </c>
      <c r="H38" s="169">
        <v>3914595.6</v>
      </c>
      <c r="I38" s="169">
        <v>0</v>
      </c>
      <c r="J38" s="204"/>
      <c r="K38" s="205">
        <v>751368.79</v>
      </c>
      <c r="L38" s="207"/>
      <c r="M38" s="203">
        <f t="shared" si="2"/>
        <v>27.349757678539543</v>
      </c>
      <c r="N38" s="203">
        <f t="shared" si="3"/>
        <v>2.8463868775936456</v>
      </c>
      <c r="O38" s="203">
        <f t="shared" si="4"/>
        <v>58.56321277745479</v>
      </c>
      <c r="P38" s="203">
        <f t="shared" si="5"/>
        <v>11.240642666412015</v>
      </c>
      <c r="R38" s="60"/>
      <c r="S38" s="3"/>
      <c r="T38" s="3"/>
    </row>
    <row r="39" spans="1:20" ht="12.75">
      <c r="A39" s="210" t="s">
        <v>24</v>
      </c>
      <c r="B39" s="171">
        <f t="shared" si="1"/>
        <v>2527800.74</v>
      </c>
      <c r="C39" s="171">
        <v>529844.88</v>
      </c>
      <c r="D39" s="171">
        <v>372234.76</v>
      </c>
      <c r="E39" s="171">
        <v>1841.15</v>
      </c>
      <c r="F39" s="171">
        <v>144935.32</v>
      </c>
      <c r="G39" s="245">
        <v>64774.01</v>
      </c>
      <c r="H39" s="271">
        <v>1414170.6199999999</v>
      </c>
      <c r="I39" s="171">
        <v>0</v>
      </c>
      <c r="J39" s="211"/>
      <c r="K39" s="250">
        <v>0</v>
      </c>
      <c r="L39" s="212"/>
      <c r="M39" s="213">
        <f t="shared" si="2"/>
        <v>41.49283182819229</v>
      </c>
      <c r="N39" s="213">
        <f t="shared" si="3"/>
        <v>2.5624650303726075</v>
      </c>
      <c r="O39" s="213">
        <f t="shared" si="4"/>
        <v>55.944703141435106</v>
      </c>
      <c r="P39" s="213">
        <f t="shared" si="5"/>
        <v>0</v>
      </c>
      <c r="R39" s="60"/>
      <c r="S39" s="3"/>
      <c r="T39" s="3"/>
    </row>
    <row r="40" spans="1:20" ht="12.75">
      <c r="A40" s="67"/>
      <c r="B40" s="87"/>
      <c r="C40" s="87"/>
      <c r="D40" s="87"/>
      <c r="E40" s="87"/>
      <c r="F40" s="87"/>
      <c r="G40" s="87"/>
      <c r="H40" s="87"/>
      <c r="I40" s="87"/>
      <c r="J40" s="207"/>
      <c r="K40" s="189"/>
      <c r="L40" s="87"/>
      <c r="M40" s="190"/>
      <c r="N40" s="203"/>
      <c r="O40" s="203"/>
      <c r="P40" s="203"/>
      <c r="R40" s="3"/>
      <c r="S40" s="3"/>
      <c r="T40" s="3"/>
    </row>
    <row r="41" spans="1:256" s="56" customFormat="1" ht="12.75">
      <c r="A41" s="308" t="s">
        <v>288</v>
      </c>
      <c r="B41" s="239"/>
      <c r="C41" s="239"/>
      <c r="D41" s="239"/>
      <c r="E41" s="239"/>
      <c r="F41" s="239"/>
      <c r="G41" s="239"/>
      <c r="H41" s="239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  <c r="IK41" s="67"/>
      <c r="IL41" s="67"/>
      <c r="IM41" s="67"/>
      <c r="IN41" s="67"/>
      <c r="IO41" s="67"/>
      <c r="IP41" s="67"/>
      <c r="IQ41" s="67"/>
      <c r="IR41" s="67"/>
      <c r="IS41" s="67"/>
      <c r="IT41" s="67"/>
      <c r="IU41" s="67"/>
      <c r="IV41" s="67"/>
    </row>
    <row r="42" spans="1:256" ht="12.75">
      <c r="A42" s="214" t="s">
        <v>220</v>
      </c>
      <c r="B42" s="214"/>
      <c r="C42" s="214"/>
      <c r="D42" s="214"/>
      <c r="E42" s="214"/>
      <c r="F42" s="214"/>
      <c r="G42" s="214"/>
      <c r="H42" s="165"/>
      <c r="I42" s="214"/>
      <c r="J42" s="214"/>
      <c r="K42" s="214"/>
      <c r="L42" s="214"/>
      <c r="M42" s="214"/>
      <c r="N42" s="214"/>
      <c r="O42" s="214"/>
      <c r="P42" s="214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9:16" ht="12.75">
      <c r="I43" s="179"/>
      <c r="J43" s="179"/>
      <c r="M43" s="216"/>
      <c r="N43" s="216"/>
      <c r="O43" s="216"/>
      <c r="P43" s="216"/>
    </row>
    <row r="44" spans="9:16" ht="12.75">
      <c r="I44" s="179"/>
      <c r="J44" s="179"/>
      <c r="M44" s="216"/>
      <c r="N44" s="216"/>
      <c r="O44" s="216"/>
      <c r="P44" s="216"/>
    </row>
    <row r="45" spans="13:16" ht="12.75">
      <c r="M45" s="216"/>
      <c r="N45" s="216"/>
      <c r="O45" s="216"/>
      <c r="P45" s="216"/>
    </row>
    <row r="46" spans="13:16" ht="12.75">
      <c r="M46" s="216"/>
      <c r="N46" s="216"/>
      <c r="O46" s="216"/>
      <c r="P46" s="216"/>
    </row>
    <row r="47" spans="13:16" ht="12.75">
      <c r="M47" s="216"/>
      <c r="N47" s="216"/>
      <c r="O47" s="216"/>
      <c r="P47" s="216"/>
    </row>
    <row r="48" spans="13:16" ht="12.75">
      <c r="M48" s="216"/>
      <c r="N48" s="216"/>
      <c r="O48" s="216"/>
      <c r="P48" s="216"/>
    </row>
    <row r="49" spans="13:16" ht="12.75">
      <c r="M49" s="216"/>
      <c r="N49" s="216"/>
      <c r="O49" s="216"/>
      <c r="P49" s="216"/>
    </row>
    <row r="50" spans="13:16" ht="12.75">
      <c r="M50" s="216"/>
      <c r="N50" s="216"/>
      <c r="O50" s="216"/>
      <c r="P50" s="216"/>
    </row>
    <row r="51" spans="13:16" ht="12.75">
      <c r="M51" s="216"/>
      <c r="N51" s="216"/>
      <c r="O51" s="216"/>
      <c r="P51" s="216"/>
    </row>
    <row r="52" spans="13:16" ht="12.75">
      <c r="M52" s="216"/>
      <c r="N52" s="216"/>
      <c r="O52" s="216"/>
      <c r="P52" s="216"/>
    </row>
    <row r="53" spans="13:16" ht="12.75">
      <c r="M53" s="216"/>
      <c r="N53" s="216"/>
      <c r="O53" s="216"/>
      <c r="P53" s="216"/>
    </row>
    <row r="54" spans="13:16" ht="12.75">
      <c r="M54" s="216"/>
      <c r="N54" s="216"/>
      <c r="O54" s="216"/>
      <c r="P54" s="216"/>
    </row>
    <row r="55" spans="13:16" ht="12.75">
      <c r="M55" s="216"/>
      <c r="N55" s="216"/>
      <c r="O55" s="216"/>
      <c r="P55" s="216"/>
    </row>
    <row r="56" spans="13:16" ht="12.75">
      <c r="M56" s="216"/>
      <c r="N56" s="216"/>
      <c r="O56" s="216"/>
      <c r="P56" s="216"/>
    </row>
    <row r="57" spans="13:16" ht="12.75">
      <c r="M57" s="216"/>
      <c r="N57" s="216"/>
      <c r="O57" s="216"/>
      <c r="P57" s="216"/>
    </row>
    <row r="58" spans="13:16" ht="12.75">
      <c r="M58" s="216"/>
      <c r="N58" s="216"/>
      <c r="O58" s="216"/>
      <c r="P58" s="216"/>
    </row>
    <row r="59" spans="13:16" ht="12.75">
      <c r="M59" s="216"/>
      <c r="N59" s="216"/>
      <c r="O59" s="216"/>
      <c r="P59" s="216"/>
    </row>
    <row r="60" spans="13:16" ht="12.75">
      <c r="M60" s="216"/>
      <c r="N60" s="216"/>
      <c r="O60" s="216"/>
      <c r="P60" s="216"/>
    </row>
    <row r="61" spans="13:16" ht="12.75">
      <c r="M61" s="216"/>
      <c r="N61" s="216"/>
      <c r="O61" s="216"/>
      <c r="P61" s="216"/>
    </row>
    <row r="62" spans="13:16" ht="12.75">
      <c r="M62" s="216"/>
      <c r="N62" s="216"/>
      <c r="O62" s="216"/>
      <c r="P62" s="216"/>
    </row>
    <row r="63" spans="13:16" ht="12.75">
      <c r="M63" s="216"/>
      <c r="N63" s="216"/>
      <c r="O63" s="216"/>
      <c r="P63" s="216"/>
    </row>
    <row r="64" spans="13:16" ht="12.75">
      <c r="M64" s="216"/>
      <c r="N64" s="216"/>
      <c r="O64" s="216"/>
      <c r="P64" s="216"/>
    </row>
    <row r="65" spans="13:16" ht="12.75">
      <c r="M65" s="216"/>
      <c r="N65" s="216"/>
      <c r="O65" s="216"/>
      <c r="P65" s="216"/>
    </row>
    <row r="66" spans="13:16" ht="12.75">
      <c r="M66" s="216"/>
      <c r="N66" s="216"/>
      <c r="O66" s="216"/>
      <c r="P66" s="216"/>
    </row>
    <row r="67" spans="13:16" ht="12.75">
      <c r="M67" s="216"/>
      <c r="N67" s="216"/>
      <c r="O67" s="216"/>
      <c r="P67" s="216"/>
    </row>
    <row r="68" spans="13:16" ht="12.75">
      <c r="M68" s="216"/>
      <c r="N68" s="216"/>
      <c r="O68" s="216"/>
      <c r="P68" s="216"/>
    </row>
    <row r="69" spans="13:16" ht="12.75">
      <c r="M69" s="216"/>
      <c r="N69" s="216"/>
      <c r="O69" s="216"/>
      <c r="P69" s="216"/>
    </row>
    <row r="70" spans="13:16" ht="12.75">
      <c r="M70" s="216"/>
      <c r="N70" s="216"/>
      <c r="O70" s="216"/>
      <c r="P70" s="216"/>
    </row>
    <row r="71" spans="13:16" ht="12.75">
      <c r="M71" s="216"/>
      <c r="N71" s="216"/>
      <c r="O71" s="216"/>
      <c r="P71" s="216"/>
    </row>
    <row r="72" spans="13:16" ht="12.75">
      <c r="M72" s="216"/>
      <c r="N72" s="216"/>
      <c r="O72" s="216"/>
      <c r="P72" s="216"/>
    </row>
    <row r="73" spans="13:16" ht="12.75">
      <c r="M73" s="216"/>
      <c r="N73" s="216"/>
      <c r="O73" s="216"/>
      <c r="P73" s="216"/>
    </row>
    <row r="74" spans="13:16" ht="12.75">
      <c r="M74" s="216"/>
      <c r="N74" s="216"/>
      <c r="O74" s="216"/>
      <c r="P74" s="216"/>
    </row>
    <row r="75" spans="13:16" ht="12.75">
      <c r="M75" s="216"/>
      <c r="N75" s="216"/>
      <c r="O75" s="216"/>
      <c r="P75" s="216"/>
    </row>
    <row r="76" spans="13:16" ht="12.75">
      <c r="M76" s="216"/>
      <c r="N76" s="216"/>
      <c r="O76" s="216"/>
      <c r="P76" s="216"/>
    </row>
    <row r="77" spans="13:16" ht="12.75">
      <c r="M77" s="216"/>
      <c r="N77" s="216"/>
      <c r="O77" s="216"/>
      <c r="P77" s="216"/>
    </row>
    <row r="78" spans="13:16" ht="12.75">
      <c r="M78" s="216"/>
      <c r="N78" s="216"/>
      <c r="O78" s="216"/>
      <c r="P78" s="216"/>
    </row>
    <row r="79" spans="13:16" ht="12.75">
      <c r="M79" s="216"/>
      <c r="N79" s="216"/>
      <c r="O79" s="216"/>
      <c r="P79" s="216"/>
    </row>
    <row r="80" spans="13:16" ht="12.75">
      <c r="M80" s="216"/>
      <c r="N80" s="216"/>
      <c r="O80" s="216"/>
      <c r="P80" s="216"/>
    </row>
    <row r="81" spans="13:16" ht="12.75">
      <c r="M81" s="216"/>
      <c r="N81" s="216"/>
      <c r="O81" s="216"/>
      <c r="P81" s="216"/>
    </row>
    <row r="82" spans="13:16" ht="12.75">
      <c r="M82" s="216"/>
      <c r="N82" s="216"/>
      <c r="O82" s="216"/>
      <c r="P82" s="216"/>
    </row>
    <row r="83" spans="13:16" ht="12.75">
      <c r="M83" s="216"/>
      <c r="N83" s="216"/>
      <c r="O83" s="216"/>
      <c r="P83" s="216"/>
    </row>
    <row r="84" spans="13:16" ht="12.75">
      <c r="M84" s="216"/>
      <c r="N84" s="216"/>
      <c r="O84" s="216"/>
      <c r="P84" s="216"/>
    </row>
    <row r="85" spans="13:16" ht="12.75">
      <c r="M85" s="216"/>
      <c r="N85" s="216"/>
      <c r="O85" s="216"/>
      <c r="P85" s="216"/>
    </row>
    <row r="86" spans="13:16" ht="12.75">
      <c r="M86" s="216"/>
      <c r="N86" s="216"/>
      <c r="O86" s="216"/>
      <c r="P86" s="216"/>
    </row>
    <row r="87" spans="13:16" ht="12.75">
      <c r="M87" s="216"/>
      <c r="N87" s="216"/>
      <c r="O87" s="216"/>
      <c r="P87" s="216"/>
    </row>
    <row r="88" spans="13:16" ht="12.75">
      <c r="M88" s="216"/>
      <c r="N88" s="216"/>
      <c r="O88" s="216"/>
      <c r="P88" s="216"/>
    </row>
    <row r="89" spans="13:16" ht="12.75">
      <c r="M89" s="216"/>
      <c r="N89" s="216"/>
      <c r="O89" s="216"/>
      <c r="P89" s="216"/>
    </row>
    <row r="90" spans="13:16" ht="12.75">
      <c r="M90" s="216"/>
      <c r="N90" s="216"/>
      <c r="O90" s="216"/>
      <c r="P90" s="216"/>
    </row>
    <row r="91" spans="13:16" ht="12.75">
      <c r="M91" s="216"/>
      <c r="N91" s="216"/>
      <c r="O91" s="216"/>
      <c r="P91" s="216"/>
    </row>
    <row r="92" spans="13:16" ht="12.75">
      <c r="M92" s="216"/>
      <c r="N92" s="216"/>
      <c r="O92" s="216"/>
      <c r="P92" s="216"/>
    </row>
    <row r="93" spans="13:16" ht="12.75">
      <c r="M93" s="216"/>
      <c r="N93" s="216"/>
      <c r="O93" s="216"/>
      <c r="P93" s="216"/>
    </row>
    <row r="94" spans="13:16" ht="12.75">
      <c r="M94" s="216"/>
      <c r="N94" s="216"/>
      <c r="O94" s="216"/>
      <c r="P94" s="216"/>
    </row>
    <row r="95" spans="13:16" ht="12.75">
      <c r="M95" s="216"/>
      <c r="N95" s="216"/>
      <c r="O95" s="216"/>
      <c r="P95" s="216"/>
    </row>
    <row r="96" spans="13:16" ht="12.75">
      <c r="M96" s="216"/>
      <c r="N96" s="216"/>
      <c r="O96" s="216"/>
      <c r="P96" s="216"/>
    </row>
    <row r="97" spans="13:16" ht="12.75">
      <c r="M97" s="216"/>
      <c r="N97" s="216"/>
      <c r="O97" s="216"/>
      <c r="P97" s="216"/>
    </row>
    <row r="98" spans="13:16" ht="12.75">
      <c r="M98" s="216"/>
      <c r="N98" s="216"/>
      <c r="O98" s="216"/>
      <c r="P98" s="216"/>
    </row>
    <row r="99" spans="13:16" ht="12.75">
      <c r="M99" s="216"/>
      <c r="N99" s="216"/>
      <c r="O99" s="216"/>
      <c r="P99" s="216"/>
    </row>
    <row r="100" spans="13:16" ht="12.75">
      <c r="M100" s="216"/>
      <c r="N100" s="216"/>
      <c r="O100" s="216"/>
      <c r="P100" s="216"/>
    </row>
    <row r="101" spans="13:16" ht="12.75">
      <c r="M101" s="216"/>
      <c r="N101" s="216"/>
      <c r="O101" s="216"/>
      <c r="P101" s="216"/>
    </row>
    <row r="102" spans="13:16" ht="12.75">
      <c r="M102" s="216"/>
      <c r="N102" s="216"/>
      <c r="O102" s="216"/>
      <c r="P102" s="216"/>
    </row>
    <row r="103" spans="13:16" ht="12.75">
      <c r="M103" s="216"/>
      <c r="N103" s="216"/>
      <c r="O103" s="216"/>
      <c r="P103" s="216"/>
    </row>
    <row r="104" spans="13:16" ht="12.75">
      <c r="M104" s="216"/>
      <c r="N104" s="216"/>
      <c r="O104" s="216"/>
      <c r="P104" s="216"/>
    </row>
    <row r="105" spans="13:16" ht="12.75">
      <c r="M105" s="216"/>
      <c r="N105" s="216"/>
      <c r="O105" s="216"/>
      <c r="P105" s="216"/>
    </row>
    <row r="106" spans="13:16" ht="12.75">
      <c r="M106" s="216"/>
      <c r="N106" s="216"/>
      <c r="O106" s="216"/>
      <c r="P106" s="216"/>
    </row>
    <row r="107" spans="13:16" ht="12.75">
      <c r="M107" s="216"/>
      <c r="N107" s="216"/>
      <c r="O107" s="216"/>
      <c r="P107" s="216"/>
    </row>
    <row r="108" spans="13:16" ht="12.75">
      <c r="M108" s="216"/>
      <c r="N108" s="216"/>
      <c r="O108" s="216"/>
      <c r="P108" s="216"/>
    </row>
    <row r="109" spans="13:16" ht="12.75">
      <c r="M109" s="216"/>
      <c r="N109" s="216"/>
      <c r="O109" s="216"/>
      <c r="P109" s="216"/>
    </row>
    <row r="110" spans="13:16" ht="12.75">
      <c r="M110" s="216"/>
      <c r="N110" s="216"/>
      <c r="O110" s="216"/>
      <c r="P110" s="216"/>
    </row>
    <row r="111" spans="13:16" ht="12.75">
      <c r="M111" s="216"/>
      <c r="N111" s="216"/>
      <c r="O111" s="216"/>
      <c r="P111" s="216"/>
    </row>
    <row r="112" spans="13:16" ht="12.75">
      <c r="M112" s="216"/>
      <c r="N112" s="216"/>
      <c r="O112" s="216"/>
      <c r="P112" s="216"/>
    </row>
    <row r="113" spans="13:16" ht="12.75">
      <c r="M113" s="216"/>
      <c r="N113" s="216"/>
      <c r="O113" s="216"/>
      <c r="P113" s="216"/>
    </row>
    <row r="114" spans="13:16" ht="12.75">
      <c r="M114" s="216"/>
      <c r="N114" s="216"/>
      <c r="O114" s="216"/>
      <c r="P114" s="216"/>
    </row>
    <row r="115" spans="13:16" ht="12.75">
      <c r="M115" s="216"/>
      <c r="N115" s="216"/>
      <c r="O115" s="216"/>
      <c r="P115" s="216"/>
    </row>
    <row r="116" spans="13:16" ht="12.75">
      <c r="M116" s="216"/>
      <c r="N116" s="216"/>
      <c r="O116" s="216"/>
      <c r="P116" s="216"/>
    </row>
    <row r="117" spans="13:16" ht="12.75">
      <c r="M117" s="216"/>
      <c r="N117" s="216"/>
      <c r="O117" s="216"/>
      <c r="P117" s="216"/>
    </row>
    <row r="118" spans="13:16" ht="12.75">
      <c r="M118" s="216"/>
      <c r="N118" s="216"/>
      <c r="O118" s="216"/>
      <c r="P118" s="216"/>
    </row>
    <row r="119" spans="13:16" ht="12.75">
      <c r="M119" s="216"/>
      <c r="N119" s="216"/>
      <c r="O119" s="216"/>
      <c r="P119" s="216"/>
    </row>
    <row r="120" spans="13:16" ht="12.75">
      <c r="M120" s="216"/>
      <c r="N120" s="216"/>
      <c r="O120" s="216"/>
      <c r="P120" s="216"/>
    </row>
    <row r="121" spans="13:16" ht="12.75">
      <c r="M121" s="216"/>
      <c r="N121" s="216"/>
      <c r="O121" s="216"/>
      <c r="P121" s="216"/>
    </row>
    <row r="122" spans="13:16" ht="12.75">
      <c r="M122" s="216"/>
      <c r="N122" s="216"/>
      <c r="O122" s="216"/>
      <c r="P122" s="216"/>
    </row>
    <row r="123" spans="13:16" ht="12.75">
      <c r="M123" s="216"/>
      <c r="N123" s="216"/>
      <c r="O123" s="216"/>
      <c r="P123" s="216"/>
    </row>
    <row r="124" spans="13:16" ht="12.75">
      <c r="M124" s="216"/>
      <c r="N124" s="216"/>
      <c r="O124" s="216"/>
      <c r="P124" s="216"/>
    </row>
    <row r="125" spans="13:16" ht="12.75">
      <c r="M125" s="216"/>
      <c r="N125" s="216"/>
      <c r="O125" s="216"/>
      <c r="P125" s="216"/>
    </row>
    <row r="126" spans="13:16" ht="12.75">
      <c r="M126" s="216"/>
      <c r="N126" s="216"/>
      <c r="O126" s="216"/>
      <c r="P126" s="216"/>
    </row>
    <row r="127" spans="13:16" ht="12.75">
      <c r="M127" s="216"/>
      <c r="N127" s="216"/>
      <c r="O127" s="216"/>
      <c r="P127" s="216"/>
    </row>
    <row r="128" spans="13:16" ht="12.75">
      <c r="M128" s="216"/>
      <c r="N128" s="216"/>
      <c r="O128" s="216"/>
      <c r="P128" s="216"/>
    </row>
    <row r="129" spans="13:16" ht="12.75">
      <c r="M129" s="216"/>
      <c r="N129" s="216"/>
      <c r="O129" s="216"/>
      <c r="P129" s="216"/>
    </row>
    <row r="130" spans="13:16" ht="12.75">
      <c r="M130" s="216"/>
      <c r="N130" s="216"/>
      <c r="O130" s="216"/>
      <c r="P130" s="216"/>
    </row>
    <row r="131" spans="13:16" ht="12.75">
      <c r="M131" s="216"/>
      <c r="N131" s="216"/>
      <c r="O131" s="216"/>
      <c r="P131" s="216"/>
    </row>
    <row r="132" spans="13:16" ht="12.75">
      <c r="M132" s="216"/>
      <c r="N132" s="216"/>
      <c r="O132" s="216"/>
      <c r="P132" s="216"/>
    </row>
    <row r="133" spans="13:16" ht="12.75">
      <c r="M133" s="216"/>
      <c r="N133" s="216"/>
      <c r="O133" s="216"/>
      <c r="P133" s="216"/>
    </row>
    <row r="134" spans="13:16" ht="12.75">
      <c r="M134" s="216"/>
      <c r="N134" s="216"/>
      <c r="O134" s="216"/>
      <c r="P134" s="216"/>
    </row>
    <row r="135" spans="13:16" ht="12.75">
      <c r="M135" s="216"/>
      <c r="N135" s="216"/>
      <c r="O135" s="216"/>
      <c r="P135" s="216"/>
    </row>
    <row r="136" spans="13:16" ht="12.75">
      <c r="M136" s="216"/>
      <c r="N136" s="216"/>
      <c r="O136" s="216"/>
      <c r="P136" s="216"/>
    </row>
    <row r="137" spans="13:16" ht="12.75">
      <c r="M137" s="216"/>
      <c r="N137" s="216"/>
      <c r="O137" s="216"/>
      <c r="P137" s="216"/>
    </row>
    <row r="138" spans="13:16" ht="12.75">
      <c r="M138" s="216"/>
      <c r="N138" s="216"/>
      <c r="O138" s="216"/>
      <c r="P138" s="216"/>
    </row>
    <row r="139" spans="13:16" ht="12.75">
      <c r="M139" s="216"/>
      <c r="N139" s="216"/>
      <c r="O139" s="216"/>
      <c r="P139" s="216"/>
    </row>
    <row r="140" spans="13:16" ht="12.75">
      <c r="M140" s="216"/>
      <c r="N140" s="216"/>
      <c r="O140" s="216"/>
      <c r="P140" s="216"/>
    </row>
    <row r="141" spans="13:16" ht="12.75">
      <c r="M141" s="216"/>
      <c r="N141" s="216"/>
      <c r="O141" s="216"/>
      <c r="P141" s="216"/>
    </row>
    <row r="142" spans="13:16" ht="12.75">
      <c r="M142" s="216"/>
      <c r="N142" s="216"/>
      <c r="O142" s="216"/>
      <c r="P142" s="216"/>
    </row>
    <row r="143" spans="13:16" ht="12.75">
      <c r="M143" s="216"/>
      <c r="N143" s="216"/>
      <c r="O143" s="216"/>
      <c r="P143" s="216"/>
    </row>
    <row r="144" spans="13:16" ht="12.75">
      <c r="M144" s="216"/>
      <c r="N144" s="216"/>
      <c r="O144" s="216"/>
      <c r="P144" s="216"/>
    </row>
    <row r="145" spans="13:16" ht="12.75">
      <c r="M145" s="216"/>
      <c r="N145" s="216"/>
      <c r="O145" s="216"/>
      <c r="P145" s="216"/>
    </row>
    <row r="146" spans="13:16" ht="12.75">
      <c r="M146" s="216"/>
      <c r="N146" s="216"/>
      <c r="O146" s="216"/>
      <c r="P146" s="216"/>
    </row>
    <row r="147" spans="13:16" ht="12.75">
      <c r="M147" s="216"/>
      <c r="N147" s="216"/>
      <c r="O147" s="216"/>
      <c r="P147" s="216"/>
    </row>
    <row r="148" spans="13:16" ht="12.75">
      <c r="M148" s="216"/>
      <c r="N148" s="216"/>
      <c r="O148" s="216"/>
      <c r="P148" s="216"/>
    </row>
    <row r="149" spans="13:16" ht="12.75">
      <c r="M149" s="216"/>
      <c r="N149" s="216"/>
      <c r="O149" s="216"/>
      <c r="P149" s="216"/>
    </row>
    <row r="150" spans="13:16" ht="12.75">
      <c r="M150" s="216"/>
      <c r="N150" s="216"/>
      <c r="O150" s="216"/>
      <c r="P150" s="216"/>
    </row>
    <row r="151" spans="13:16" ht="12.75">
      <c r="M151" s="216"/>
      <c r="N151" s="216"/>
      <c r="O151" s="216"/>
      <c r="P151" s="216"/>
    </row>
    <row r="152" spans="13:16" ht="12.75">
      <c r="M152" s="216"/>
      <c r="N152" s="216"/>
      <c r="O152" s="216"/>
      <c r="P152" s="216"/>
    </row>
    <row r="153" spans="13:16" ht="12.75">
      <c r="M153" s="216"/>
      <c r="N153" s="216"/>
      <c r="O153" s="216"/>
      <c r="P153" s="216"/>
    </row>
    <row r="154" spans="13:16" ht="12.75">
      <c r="M154" s="216"/>
      <c r="N154" s="216"/>
      <c r="O154" s="216"/>
      <c r="P154" s="216"/>
    </row>
    <row r="155" spans="13:16" ht="12.75">
      <c r="M155" s="216"/>
      <c r="N155" s="216"/>
      <c r="O155" s="216"/>
      <c r="P155" s="216"/>
    </row>
    <row r="156" spans="13:16" ht="12.75">
      <c r="M156" s="216"/>
      <c r="N156" s="216"/>
      <c r="O156" s="216"/>
      <c r="P156" s="216"/>
    </row>
    <row r="157" spans="13:16" ht="12.75">
      <c r="M157" s="216"/>
      <c r="N157" s="216"/>
      <c r="O157" s="216"/>
      <c r="P157" s="216"/>
    </row>
    <row r="158" spans="13:16" ht="12.75">
      <c r="M158" s="216"/>
      <c r="N158" s="216"/>
      <c r="O158" s="216"/>
      <c r="P158" s="216"/>
    </row>
    <row r="159" spans="13:16" ht="12.75">
      <c r="M159" s="216"/>
      <c r="N159" s="216"/>
      <c r="O159" s="216"/>
      <c r="P159" s="216"/>
    </row>
    <row r="160" spans="13:16" ht="12.75">
      <c r="M160" s="216"/>
      <c r="N160" s="216"/>
      <c r="O160" s="216"/>
      <c r="P160" s="216"/>
    </row>
    <row r="161" spans="13:16" ht="12.75">
      <c r="M161" s="216"/>
      <c r="N161" s="216"/>
      <c r="O161" s="216"/>
      <c r="P161" s="216"/>
    </row>
    <row r="162" spans="13:16" ht="12.75">
      <c r="M162" s="216"/>
      <c r="N162" s="216"/>
      <c r="O162" s="216"/>
      <c r="P162" s="216"/>
    </row>
    <row r="163" spans="13:16" ht="12.75">
      <c r="M163" s="216"/>
      <c r="N163" s="216"/>
      <c r="O163" s="216"/>
      <c r="P163" s="216"/>
    </row>
    <row r="164" spans="13:16" ht="12.75">
      <c r="M164" s="216"/>
      <c r="N164" s="216"/>
      <c r="O164" s="216"/>
      <c r="P164" s="216"/>
    </row>
    <row r="165" spans="13:16" ht="12.75">
      <c r="M165" s="216"/>
      <c r="N165" s="216"/>
      <c r="O165" s="216"/>
      <c r="P165" s="216"/>
    </row>
    <row r="166" spans="13:16" ht="12.75">
      <c r="M166" s="216"/>
      <c r="N166" s="216"/>
      <c r="O166" s="216"/>
      <c r="P166" s="216"/>
    </row>
    <row r="167" spans="13:16" ht="12.75">
      <c r="M167" s="216"/>
      <c r="N167" s="216"/>
      <c r="O167" s="216"/>
      <c r="P167" s="216"/>
    </row>
    <row r="168" spans="13:16" ht="12.75">
      <c r="M168" s="216"/>
      <c r="N168" s="216"/>
      <c r="O168" s="216"/>
      <c r="P168" s="216"/>
    </row>
    <row r="169" spans="13:16" ht="12.75">
      <c r="M169" s="216"/>
      <c r="N169" s="216"/>
      <c r="O169" s="216"/>
      <c r="P169" s="216"/>
    </row>
    <row r="170" spans="13:16" ht="12.75">
      <c r="M170" s="216"/>
      <c r="N170" s="216"/>
      <c r="O170" s="216"/>
      <c r="P170" s="216"/>
    </row>
    <row r="171" spans="13:16" ht="12.75">
      <c r="M171" s="216"/>
      <c r="N171" s="216"/>
      <c r="O171" s="216"/>
      <c r="P171" s="216"/>
    </row>
    <row r="172" spans="13:16" ht="12.75">
      <c r="M172" s="216"/>
      <c r="N172" s="216"/>
      <c r="O172" s="216"/>
      <c r="P172" s="216"/>
    </row>
    <row r="173" spans="13:16" ht="12.75">
      <c r="M173" s="216"/>
      <c r="N173" s="216"/>
      <c r="O173" s="216"/>
      <c r="P173" s="216"/>
    </row>
    <row r="174" spans="13:16" ht="12.75">
      <c r="M174" s="216"/>
      <c r="N174" s="216"/>
      <c r="O174" s="216"/>
      <c r="P174" s="216"/>
    </row>
    <row r="175" spans="13:16" ht="12.75">
      <c r="M175" s="216"/>
      <c r="N175" s="216"/>
      <c r="O175" s="216"/>
      <c r="P175" s="216"/>
    </row>
    <row r="176" spans="13:16" ht="12.75">
      <c r="M176" s="216"/>
      <c r="N176" s="216"/>
      <c r="O176" s="216"/>
      <c r="P176" s="216"/>
    </row>
    <row r="177" spans="13:16" ht="12.75">
      <c r="M177" s="216"/>
      <c r="N177" s="216"/>
      <c r="O177" s="216"/>
      <c r="P177" s="216"/>
    </row>
    <row r="178" spans="13:16" ht="12.75">
      <c r="M178" s="216"/>
      <c r="N178" s="216"/>
      <c r="O178" s="216"/>
      <c r="P178" s="216"/>
    </row>
    <row r="179" spans="13:16" ht="12.75">
      <c r="M179" s="216"/>
      <c r="N179" s="216"/>
      <c r="O179" s="216"/>
      <c r="P179" s="216"/>
    </row>
    <row r="180" spans="13:16" ht="12.75">
      <c r="M180" s="216"/>
      <c r="N180" s="216"/>
      <c r="O180" s="216"/>
      <c r="P180" s="216"/>
    </row>
    <row r="181" spans="13:16" ht="12.75">
      <c r="M181" s="216"/>
      <c r="N181" s="216"/>
      <c r="O181" s="216"/>
      <c r="P181" s="216"/>
    </row>
    <row r="182" spans="13:16" ht="12.75">
      <c r="M182" s="216"/>
      <c r="N182" s="216"/>
      <c r="O182" s="216"/>
      <c r="P182" s="216"/>
    </row>
    <row r="183" spans="13:16" ht="12.75">
      <c r="M183" s="216"/>
      <c r="N183" s="216"/>
      <c r="O183" s="216"/>
      <c r="P183" s="216"/>
    </row>
    <row r="184" spans="13:16" ht="12.75">
      <c r="M184" s="216"/>
      <c r="N184" s="216"/>
      <c r="O184" s="216"/>
      <c r="P184" s="216"/>
    </row>
    <row r="185" spans="13:16" ht="12.75">
      <c r="M185" s="216"/>
      <c r="N185" s="216"/>
      <c r="O185" s="216"/>
      <c r="P185" s="216"/>
    </row>
    <row r="186" spans="13:16" ht="12.75">
      <c r="M186" s="216"/>
      <c r="N186" s="216"/>
      <c r="O186" s="216"/>
      <c r="P186" s="216"/>
    </row>
    <row r="187" spans="13:16" ht="12.75">
      <c r="M187" s="216"/>
      <c r="N187" s="216"/>
      <c r="O187" s="216"/>
      <c r="P187" s="216"/>
    </row>
    <row r="188" spans="13:16" ht="12.75">
      <c r="M188" s="216"/>
      <c r="N188" s="216"/>
      <c r="O188" s="216"/>
      <c r="P188" s="216"/>
    </row>
    <row r="189" spans="13:16" ht="12.75">
      <c r="M189" s="216"/>
      <c r="N189" s="216"/>
      <c r="O189" s="216"/>
      <c r="P189" s="216"/>
    </row>
    <row r="190" spans="13:16" ht="12.75">
      <c r="M190" s="216"/>
      <c r="N190" s="216"/>
      <c r="O190" s="216"/>
      <c r="P190" s="216"/>
    </row>
    <row r="191" spans="13:16" ht="12.75">
      <c r="M191" s="216"/>
      <c r="N191" s="216"/>
      <c r="O191" s="216"/>
      <c r="P191" s="216"/>
    </row>
    <row r="192" spans="13:16" ht="12.75">
      <c r="M192" s="216"/>
      <c r="N192" s="216"/>
      <c r="O192" s="216"/>
      <c r="P192" s="216"/>
    </row>
    <row r="193" spans="13:16" ht="12.75">
      <c r="M193" s="216"/>
      <c r="N193" s="216"/>
      <c r="O193" s="216"/>
      <c r="P193" s="216"/>
    </row>
    <row r="194" spans="13:16" ht="12.75">
      <c r="M194" s="216"/>
      <c r="N194" s="216"/>
      <c r="O194" s="216"/>
      <c r="P194" s="216"/>
    </row>
    <row r="195" spans="13:16" ht="12.75">
      <c r="M195" s="216"/>
      <c r="N195" s="216"/>
      <c r="O195" s="216"/>
      <c r="P195" s="216"/>
    </row>
    <row r="196" spans="13:16" ht="12.75">
      <c r="M196" s="216"/>
      <c r="N196" s="216"/>
      <c r="O196" s="216"/>
      <c r="P196" s="216"/>
    </row>
    <row r="197" spans="13:16" ht="12.75">
      <c r="M197" s="216"/>
      <c r="N197" s="216"/>
      <c r="O197" s="216"/>
      <c r="P197" s="216"/>
    </row>
    <row r="198" spans="13:16" ht="12.75">
      <c r="M198" s="216"/>
      <c r="N198" s="216"/>
      <c r="O198" s="216"/>
      <c r="P198" s="216"/>
    </row>
    <row r="199" spans="13:16" ht="12.75">
      <c r="M199" s="216"/>
      <c r="N199" s="216"/>
      <c r="O199" s="216"/>
      <c r="P199" s="216"/>
    </row>
    <row r="200" spans="13:16" ht="12.75">
      <c r="M200" s="216"/>
      <c r="N200" s="216"/>
      <c r="O200" s="216"/>
      <c r="P200" s="216"/>
    </row>
    <row r="201" spans="13:16" ht="12.75">
      <c r="M201" s="216"/>
      <c r="N201" s="216"/>
      <c r="O201" s="216"/>
      <c r="P201" s="216"/>
    </row>
    <row r="202" spans="13:16" ht="12.75">
      <c r="M202" s="216"/>
      <c r="N202" s="216"/>
      <c r="O202" s="216"/>
      <c r="P202" s="216"/>
    </row>
    <row r="203" spans="13:16" ht="12.75">
      <c r="M203" s="216"/>
      <c r="N203" s="216"/>
      <c r="O203" s="216"/>
      <c r="P203" s="216"/>
    </row>
    <row r="204" spans="13:16" ht="12.75">
      <c r="M204" s="216"/>
      <c r="N204" s="216"/>
      <c r="O204" s="216"/>
      <c r="P204" s="216"/>
    </row>
    <row r="205" spans="13:16" ht="12.75">
      <c r="M205" s="216"/>
      <c r="N205" s="216"/>
      <c r="O205" s="216"/>
      <c r="P205" s="216"/>
    </row>
    <row r="206" spans="13:16" ht="12.75">
      <c r="M206" s="216"/>
      <c r="N206" s="216"/>
      <c r="O206" s="216"/>
      <c r="P206" s="216"/>
    </row>
    <row r="207" spans="13:16" ht="12.75">
      <c r="M207" s="216"/>
      <c r="N207" s="216"/>
      <c r="O207" s="216"/>
      <c r="P207" s="216"/>
    </row>
    <row r="208" spans="13:16" ht="12.75">
      <c r="M208" s="216"/>
      <c r="N208" s="216"/>
      <c r="O208" s="216"/>
      <c r="P208" s="216"/>
    </row>
    <row r="209" spans="13:16" ht="12.75">
      <c r="M209" s="216"/>
      <c r="N209" s="216"/>
      <c r="O209" s="216"/>
      <c r="P209" s="216"/>
    </row>
    <row r="210" spans="13:16" ht="12.75">
      <c r="M210" s="216"/>
      <c r="N210" s="216"/>
      <c r="O210" s="216"/>
      <c r="P210" s="216"/>
    </row>
    <row r="211" spans="13:16" ht="12.75">
      <c r="M211" s="216"/>
      <c r="N211" s="216"/>
      <c r="O211" s="216"/>
      <c r="P211" s="216"/>
    </row>
    <row r="212" spans="13:16" ht="12.75">
      <c r="M212" s="216"/>
      <c r="N212" s="216"/>
      <c r="O212" s="216"/>
      <c r="P212" s="216"/>
    </row>
    <row r="213" spans="13:16" ht="12.75">
      <c r="M213" s="216"/>
      <c r="N213" s="216"/>
      <c r="O213" s="216"/>
      <c r="P213" s="216"/>
    </row>
    <row r="214" spans="13:16" ht="12.75">
      <c r="M214" s="216"/>
      <c r="N214" s="216"/>
      <c r="O214" s="216"/>
      <c r="P214" s="216"/>
    </row>
    <row r="215" spans="13:16" ht="12.75">
      <c r="M215" s="216"/>
      <c r="N215" s="216"/>
      <c r="O215" s="216"/>
      <c r="P215" s="216"/>
    </row>
    <row r="216" spans="13:16" ht="12.75">
      <c r="M216" s="216"/>
      <c r="N216" s="216"/>
      <c r="O216" s="216"/>
      <c r="P216" s="216"/>
    </row>
    <row r="217" spans="13:16" ht="12.75">
      <c r="M217" s="216"/>
      <c r="N217" s="216"/>
      <c r="O217" s="216"/>
      <c r="P217" s="216"/>
    </row>
    <row r="218" spans="13:16" ht="12.75">
      <c r="M218" s="216"/>
      <c r="N218" s="216"/>
      <c r="O218" s="216"/>
      <c r="P218" s="216"/>
    </row>
    <row r="219" spans="13:16" ht="12.75">
      <c r="M219" s="216"/>
      <c r="N219" s="216"/>
      <c r="O219" s="216"/>
      <c r="P219" s="216"/>
    </row>
    <row r="220" spans="13:16" ht="12.75">
      <c r="M220" s="216"/>
      <c r="N220" s="216"/>
      <c r="O220" s="216"/>
      <c r="P220" s="216"/>
    </row>
    <row r="221" spans="13:16" ht="12.75">
      <c r="M221" s="216"/>
      <c r="N221" s="216"/>
      <c r="O221" s="216"/>
      <c r="P221" s="216"/>
    </row>
    <row r="222" spans="13:16" ht="12.75">
      <c r="M222" s="216"/>
      <c r="N222" s="216"/>
      <c r="O222" s="216"/>
      <c r="P222" s="216"/>
    </row>
    <row r="223" spans="13:16" ht="12.75">
      <c r="M223" s="216"/>
      <c r="N223" s="216"/>
      <c r="O223" s="216"/>
      <c r="P223" s="216"/>
    </row>
    <row r="224" spans="13:16" ht="12.75">
      <c r="M224" s="216"/>
      <c r="N224" s="216"/>
      <c r="O224" s="216"/>
      <c r="P224" s="216"/>
    </row>
    <row r="225" spans="13:16" ht="12.75">
      <c r="M225" s="216"/>
      <c r="N225" s="216"/>
      <c r="O225" s="216"/>
      <c r="P225" s="216"/>
    </row>
    <row r="226" spans="13:16" ht="12.75">
      <c r="M226" s="216"/>
      <c r="N226" s="216"/>
      <c r="O226" s="216"/>
      <c r="P226" s="216"/>
    </row>
    <row r="227" spans="13:16" ht="12.75">
      <c r="M227" s="216"/>
      <c r="N227" s="216"/>
      <c r="O227" s="216"/>
      <c r="P227" s="216"/>
    </row>
    <row r="228" spans="13:16" ht="12.75">
      <c r="M228" s="216"/>
      <c r="N228" s="216"/>
      <c r="O228" s="216"/>
      <c r="P228" s="216"/>
    </row>
    <row r="229" spans="13:16" ht="12.75">
      <c r="M229" s="216"/>
      <c r="N229" s="216"/>
      <c r="O229" s="216"/>
      <c r="P229" s="216"/>
    </row>
    <row r="230" spans="13:16" ht="12.75">
      <c r="M230" s="216"/>
      <c r="N230" s="216"/>
      <c r="O230" s="216"/>
      <c r="P230" s="216"/>
    </row>
    <row r="231" spans="13:16" ht="12.75">
      <c r="M231" s="216"/>
      <c r="N231" s="216"/>
      <c r="O231" s="216"/>
      <c r="P231" s="216"/>
    </row>
    <row r="232" spans="13:16" ht="12.75">
      <c r="M232" s="216"/>
      <c r="N232" s="216"/>
      <c r="O232" s="216"/>
      <c r="P232" s="216"/>
    </row>
    <row r="233" spans="13:16" ht="12.75">
      <c r="M233" s="216"/>
      <c r="N233" s="216"/>
      <c r="O233" s="216"/>
      <c r="P233" s="216"/>
    </row>
    <row r="234" spans="13:16" ht="12.75">
      <c r="M234" s="216"/>
      <c r="N234" s="216"/>
      <c r="O234" s="216"/>
      <c r="P234" s="216"/>
    </row>
    <row r="235" spans="13:16" ht="12.75">
      <c r="M235" s="216"/>
      <c r="N235" s="216"/>
      <c r="O235" s="216"/>
      <c r="P235" s="216"/>
    </row>
    <row r="236" spans="13:16" ht="12.75">
      <c r="M236" s="216"/>
      <c r="N236" s="216"/>
      <c r="O236" s="216"/>
      <c r="P236" s="216"/>
    </row>
    <row r="237" spans="13:16" ht="12.75">
      <c r="M237" s="216"/>
      <c r="N237" s="216"/>
      <c r="O237" s="216"/>
      <c r="P237" s="216"/>
    </row>
    <row r="238" spans="13:16" ht="12.75">
      <c r="M238" s="216"/>
      <c r="N238" s="216"/>
      <c r="O238" s="216"/>
      <c r="P238" s="216"/>
    </row>
    <row r="239" spans="13:16" ht="12.75">
      <c r="M239" s="216"/>
      <c r="N239" s="216"/>
      <c r="O239" s="216"/>
      <c r="P239" s="216"/>
    </row>
    <row r="240" spans="13:16" ht="12.75">
      <c r="M240" s="216"/>
      <c r="N240" s="216"/>
      <c r="O240" s="216"/>
      <c r="P240" s="216"/>
    </row>
    <row r="241" spans="13:16" ht="12.75">
      <c r="M241" s="216"/>
      <c r="N241" s="216"/>
      <c r="O241" s="216"/>
      <c r="P241" s="216"/>
    </row>
    <row r="242" spans="13:16" ht="12.75">
      <c r="M242" s="216"/>
      <c r="N242" s="216"/>
      <c r="O242" s="216"/>
      <c r="P242" s="216"/>
    </row>
    <row r="243" spans="13:16" ht="12.75">
      <c r="M243" s="216"/>
      <c r="N243" s="216"/>
      <c r="O243" s="216"/>
      <c r="P243" s="216"/>
    </row>
    <row r="244" spans="13:16" ht="12.75">
      <c r="M244" s="216"/>
      <c r="N244" s="216"/>
      <c r="O244" s="216"/>
      <c r="P244" s="216"/>
    </row>
    <row r="245" spans="13:16" ht="12.75">
      <c r="M245" s="216"/>
      <c r="N245" s="216"/>
      <c r="O245" s="216"/>
      <c r="P245" s="216"/>
    </row>
    <row r="246" spans="13:16" ht="12.75">
      <c r="M246" s="216"/>
      <c r="N246" s="216"/>
      <c r="O246" s="216"/>
      <c r="P246" s="216"/>
    </row>
    <row r="247" spans="13:16" ht="12.75">
      <c r="M247" s="216"/>
      <c r="N247" s="216"/>
      <c r="O247" s="216"/>
      <c r="P247" s="216"/>
    </row>
    <row r="248" spans="13:16" ht="12.75">
      <c r="M248" s="216"/>
      <c r="N248" s="216"/>
      <c r="O248" s="216"/>
      <c r="P248" s="216"/>
    </row>
    <row r="249" spans="13:16" ht="12.75">
      <c r="M249" s="216"/>
      <c r="N249" s="216"/>
      <c r="O249" s="216"/>
      <c r="P249" s="216"/>
    </row>
    <row r="250" spans="13:16" ht="12.75">
      <c r="M250" s="216"/>
      <c r="N250" s="216"/>
      <c r="O250" s="216"/>
      <c r="P250" s="216"/>
    </row>
    <row r="251" spans="13:16" ht="12.75">
      <c r="M251" s="216"/>
      <c r="N251" s="216"/>
      <c r="O251" s="216"/>
      <c r="P251" s="216"/>
    </row>
    <row r="252" spans="13:16" ht="12.75">
      <c r="M252" s="216"/>
      <c r="N252" s="216"/>
      <c r="O252" s="216"/>
      <c r="P252" s="216"/>
    </row>
    <row r="253" spans="13:16" ht="12.75">
      <c r="M253" s="216"/>
      <c r="N253" s="216"/>
      <c r="O253" s="216"/>
      <c r="P253" s="216"/>
    </row>
    <row r="254" spans="13:16" ht="12.75">
      <c r="M254" s="216"/>
      <c r="N254" s="216"/>
      <c r="O254" s="216"/>
      <c r="P254" s="216"/>
    </row>
    <row r="255" spans="13:16" ht="12.75">
      <c r="M255" s="216"/>
      <c r="N255" s="216"/>
      <c r="O255" s="216"/>
      <c r="P255" s="216"/>
    </row>
    <row r="256" spans="13:16" ht="12.75">
      <c r="M256" s="216"/>
      <c r="N256" s="216"/>
      <c r="O256" s="216"/>
      <c r="P256" s="216"/>
    </row>
    <row r="257" spans="13:16" ht="12.75">
      <c r="M257" s="216"/>
      <c r="N257" s="216"/>
      <c r="O257" s="216"/>
      <c r="P257" s="216"/>
    </row>
    <row r="258" spans="13:16" ht="12.75">
      <c r="M258" s="216"/>
      <c r="N258" s="216"/>
      <c r="O258" s="216"/>
      <c r="P258" s="216"/>
    </row>
    <row r="259" spans="13:16" ht="12.75">
      <c r="M259" s="216"/>
      <c r="N259" s="216"/>
      <c r="O259" s="216"/>
      <c r="P259" s="216"/>
    </row>
    <row r="260" spans="13:16" ht="12.75">
      <c r="M260" s="216"/>
      <c r="N260" s="216"/>
      <c r="O260" s="216"/>
      <c r="P260" s="216"/>
    </row>
    <row r="261" spans="13:16" ht="12.75">
      <c r="M261" s="216"/>
      <c r="N261" s="216"/>
      <c r="O261" s="216"/>
      <c r="P261" s="216"/>
    </row>
    <row r="262" spans="13:16" ht="12.75">
      <c r="M262" s="216"/>
      <c r="N262" s="216"/>
      <c r="O262" s="216"/>
      <c r="P262" s="216"/>
    </row>
    <row r="263" spans="13:16" ht="12.75">
      <c r="M263" s="216"/>
      <c r="N263" s="216"/>
      <c r="O263" s="216"/>
      <c r="P263" s="216"/>
    </row>
    <row r="264" spans="13:16" ht="12.75">
      <c r="M264" s="216"/>
      <c r="N264" s="216"/>
      <c r="O264" s="216"/>
      <c r="P264" s="216"/>
    </row>
    <row r="265" spans="13:16" ht="12.75">
      <c r="M265" s="216"/>
      <c r="N265" s="216"/>
      <c r="O265" s="216"/>
      <c r="P265" s="216"/>
    </row>
    <row r="266" spans="13:16" ht="12.75">
      <c r="M266" s="216"/>
      <c r="N266" s="216"/>
      <c r="O266" s="216"/>
      <c r="P266" s="216"/>
    </row>
    <row r="267" spans="13:16" ht="12.75">
      <c r="M267" s="216"/>
      <c r="N267" s="216"/>
      <c r="O267" s="216"/>
      <c r="P267" s="216"/>
    </row>
    <row r="268" spans="13:16" ht="12.75">
      <c r="M268" s="216"/>
      <c r="N268" s="216"/>
      <c r="O268" s="216"/>
      <c r="P268" s="216"/>
    </row>
    <row r="269" spans="13:16" ht="12.75">
      <c r="M269" s="216"/>
      <c r="N269" s="216"/>
      <c r="O269" s="216"/>
      <c r="P269" s="216"/>
    </row>
    <row r="270" spans="13:16" ht="12.75">
      <c r="M270" s="216"/>
      <c r="N270" s="216"/>
      <c r="O270" s="216"/>
      <c r="P270" s="216"/>
    </row>
    <row r="271" spans="13:16" ht="12.75">
      <c r="M271" s="216"/>
      <c r="N271" s="216"/>
      <c r="O271" s="216"/>
      <c r="P271" s="216"/>
    </row>
    <row r="272" spans="13:16" ht="12.75">
      <c r="M272" s="216"/>
      <c r="N272" s="216"/>
      <c r="O272" s="216"/>
      <c r="P272" s="216"/>
    </row>
    <row r="273" spans="13:16" ht="12.75">
      <c r="M273" s="216"/>
      <c r="N273" s="216"/>
      <c r="O273" s="216"/>
      <c r="P273" s="216"/>
    </row>
    <row r="274" spans="13:16" ht="12.75">
      <c r="M274" s="216"/>
      <c r="N274" s="216"/>
      <c r="O274" s="216"/>
      <c r="P274" s="216"/>
    </row>
    <row r="275" spans="13:16" ht="12.75">
      <c r="M275" s="216"/>
      <c r="N275" s="216"/>
      <c r="O275" s="216"/>
      <c r="P275" s="216"/>
    </row>
    <row r="276" spans="13:16" ht="12.75">
      <c r="M276" s="216"/>
      <c r="N276" s="216"/>
      <c r="O276" s="216"/>
      <c r="P276" s="216"/>
    </row>
    <row r="277" spans="13:16" ht="12.75">
      <c r="M277" s="216"/>
      <c r="N277" s="216"/>
      <c r="O277" s="216"/>
      <c r="P277" s="216"/>
    </row>
    <row r="278" spans="13:16" ht="12.75">
      <c r="M278" s="216"/>
      <c r="N278" s="216"/>
      <c r="O278" s="216"/>
      <c r="P278" s="216"/>
    </row>
    <row r="279" spans="13:16" ht="12.75">
      <c r="M279" s="216"/>
      <c r="N279" s="216"/>
      <c r="O279" s="216"/>
      <c r="P279" s="216"/>
    </row>
    <row r="280" spans="13:16" ht="12.75">
      <c r="M280" s="216"/>
      <c r="N280" s="216"/>
      <c r="O280" s="216"/>
      <c r="P280" s="216"/>
    </row>
    <row r="281" spans="13:16" ht="12.75">
      <c r="M281" s="216"/>
      <c r="N281" s="216"/>
      <c r="O281" s="216"/>
      <c r="P281" s="216"/>
    </row>
    <row r="282" spans="13:16" ht="12.75">
      <c r="M282" s="216"/>
      <c r="N282" s="216"/>
      <c r="O282" s="216"/>
      <c r="P282" s="216"/>
    </row>
    <row r="283" spans="13:16" ht="12.75">
      <c r="M283" s="216"/>
      <c r="N283" s="216"/>
      <c r="O283" s="216"/>
      <c r="P283" s="216"/>
    </row>
    <row r="284" spans="13:16" ht="12.75">
      <c r="M284" s="216"/>
      <c r="N284" s="216"/>
      <c r="O284" s="216"/>
      <c r="P284" s="216"/>
    </row>
    <row r="285" spans="13:16" ht="12.75">
      <c r="M285" s="216"/>
      <c r="N285" s="216"/>
      <c r="O285" s="216"/>
      <c r="P285" s="216"/>
    </row>
    <row r="286" spans="13:16" ht="12.75">
      <c r="M286" s="216"/>
      <c r="N286" s="216"/>
      <c r="O286" s="216"/>
      <c r="P286" s="216"/>
    </row>
    <row r="287" spans="13:16" ht="12.75">
      <c r="M287" s="216"/>
      <c r="N287" s="216"/>
      <c r="O287" s="216"/>
      <c r="P287" s="216"/>
    </row>
    <row r="288" spans="13:16" ht="12.75">
      <c r="M288" s="216"/>
      <c r="N288" s="216"/>
      <c r="O288" s="216"/>
      <c r="P288" s="216"/>
    </row>
    <row r="289" spans="13:16" ht="12.75">
      <c r="M289" s="216"/>
      <c r="N289" s="216"/>
      <c r="O289" s="216"/>
      <c r="P289" s="216"/>
    </row>
    <row r="290" spans="13:16" ht="12.75">
      <c r="M290" s="216"/>
      <c r="N290" s="216"/>
      <c r="O290" s="216"/>
      <c r="P290" s="216"/>
    </row>
    <row r="291" spans="13:16" ht="12.75">
      <c r="M291" s="216"/>
      <c r="N291" s="216"/>
      <c r="O291" s="216"/>
      <c r="P291" s="216"/>
    </row>
    <row r="292" spans="13:16" ht="12.75">
      <c r="M292" s="216"/>
      <c r="N292" s="216"/>
      <c r="O292" s="216"/>
      <c r="P292" s="216"/>
    </row>
    <row r="293" spans="13:16" ht="12.75">
      <c r="M293" s="216"/>
      <c r="N293" s="216"/>
      <c r="O293" s="216"/>
      <c r="P293" s="216"/>
    </row>
    <row r="294" spans="13:16" ht="12.75">
      <c r="M294" s="216"/>
      <c r="N294" s="216"/>
      <c r="O294" s="216"/>
      <c r="P294" s="216"/>
    </row>
    <row r="295" spans="13:16" ht="12.75">
      <c r="M295" s="216"/>
      <c r="N295" s="216"/>
      <c r="O295" s="216"/>
      <c r="P295" s="216"/>
    </row>
    <row r="296" spans="13:16" ht="12.75">
      <c r="M296" s="216"/>
      <c r="N296" s="216"/>
      <c r="O296" s="216"/>
      <c r="P296" s="216"/>
    </row>
    <row r="297" spans="13:16" ht="12.75">
      <c r="M297" s="216"/>
      <c r="N297" s="216"/>
      <c r="O297" s="216"/>
      <c r="P297" s="216"/>
    </row>
  </sheetData>
  <sheetProtection password="CAF5" sheet="1"/>
  <mergeCells count="9">
    <mergeCell ref="E8:E9"/>
    <mergeCell ref="C7:F7"/>
    <mergeCell ref="A1:P1"/>
    <mergeCell ref="A3:P3"/>
    <mergeCell ref="A4:P4"/>
    <mergeCell ref="H7:I7"/>
    <mergeCell ref="M6:P6"/>
    <mergeCell ref="M7:P7"/>
    <mergeCell ref="C6:J6"/>
  </mergeCells>
  <printOptions horizontalCentered="1"/>
  <pageMargins left="0.47" right="0.59" top="0.83" bottom="1" header="0.67" footer="0.5"/>
  <pageSetup fitToHeight="1" fitToWidth="1" horizontalDpi="600" verticalDpi="600" orientation="landscape" scale="75" r:id="rId1"/>
  <headerFooter scaleWithDoc="0">
    <oddFooter>&amp;L&amp;"Arial,Italic"&amp;9MSDE-LFRO  09 / 2010&amp;C- 6 -&amp;R&amp;"Arial,Italic"&amp;9Selected Financial Data-Part 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workbookViewId="0" topLeftCell="H28">
      <selection activeCell="D11" sqref="D11"/>
    </sheetView>
  </sheetViews>
  <sheetFormatPr defaultColWidth="9.140625" defaultRowHeight="12.75"/>
  <cols>
    <col min="1" max="1" width="14.421875" style="154" customWidth="1"/>
    <col min="2" max="2" width="18.8515625" style="307" customWidth="1"/>
    <col min="3" max="3" width="19.421875" style="285" customWidth="1"/>
    <col min="4" max="4" width="16.00390625" style="307" customWidth="1"/>
    <col min="5" max="5" width="14.28125" style="285" customWidth="1"/>
    <col min="6" max="6" width="13.00390625" style="307" customWidth="1"/>
    <col min="7" max="7" width="14.8515625" style="307" customWidth="1"/>
    <col min="8" max="8" width="13.7109375" style="307" customWidth="1"/>
    <col min="9" max="9" width="16.140625" style="83" customWidth="1"/>
    <col min="10" max="10" width="14.57421875" style="0" customWidth="1"/>
    <col min="11" max="11" width="16.140625" style="0" customWidth="1"/>
  </cols>
  <sheetData>
    <row r="1" spans="1:11" ht="12.75">
      <c r="A1" s="390" t="s">
        <v>43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</row>
    <row r="2" spans="1:2" ht="12.75">
      <c r="A2" s="23"/>
      <c r="B2" s="268"/>
    </row>
    <row r="3" spans="1:11" ht="12.75">
      <c r="A3" s="417" t="s">
        <v>255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</row>
    <row r="4" spans="1:11" ht="13.5" thickBot="1">
      <c r="A4" s="23"/>
      <c r="C4" s="332"/>
      <c r="D4" s="332"/>
      <c r="E4" s="332"/>
      <c r="F4" s="332"/>
      <c r="G4" s="332"/>
      <c r="H4" s="332"/>
      <c r="I4" s="332"/>
      <c r="J4" s="332"/>
      <c r="K4" s="332"/>
    </row>
    <row r="5" spans="1:11" ht="15" customHeight="1" thickTop="1">
      <c r="A5" s="124"/>
      <c r="B5" s="333"/>
      <c r="C5" s="323"/>
      <c r="D5" s="418" t="s">
        <v>47</v>
      </c>
      <c r="E5" s="418"/>
      <c r="F5" s="418"/>
      <c r="G5" s="418"/>
      <c r="H5" s="418"/>
      <c r="I5" s="418"/>
      <c r="J5" s="418"/>
      <c r="K5" s="418"/>
    </row>
    <row r="6" spans="1:12" ht="12.75" customHeight="1">
      <c r="A6" s="32"/>
      <c r="B6" s="334"/>
      <c r="C6" s="335" t="s">
        <v>44</v>
      </c>
      <c r="D6" s="308"/>
      <c r="E6" s="323"/>
      <c r="F6" s="303"/>
      <c r="G6" s="421" t="s">
        <v>224</v>
      </c>
      <c r="I6" s="419" t="s">
        <v>165</v>
      </c>
      <c r="J6" s="303"/>
      <c r="K6" s="303"/>
      <c r="L6" s="221"/>
    </row>
    <row r="7" spans="1:12" ht="12.75">
      <c r="A7" s="32" t="s">
        <v>81</v>
      </c>
      <c r="B7" s="303" t="s">
        <v>44</v>
      </c>
      <c r="C7" s="335" t="s">
        <v>49</v>
      </c>
      <c r="D7" s="421" t="s">
        <v>293</v>
      </c>
      <c r="E7" s="421" t="s">
        <v>256</v>
      </c>
      <c r="F7" s="363"/>
      <c r="G7" s="421"/>
      <c r="H7" s="414" t="s">
        <v>283</v>
      </c>
      <c r="I7" s="419"/>
      <c r="J7" s="352" t="s">
        <v>129</v>
      </c>
      <c r="K7" s="352" t="s">
        <v>153</v>
      </c>
      <c r="L7" s="162"/>
    </row>
    <row r="8" spans="1:12" ht="12.75" customHeight="1">
      <c r="A8" s="32" t="s">
        <v>34</v>
      </c>
      <c r="B8" s="336" t="s">
        <v>45</v>
      </c>
      <c r="C8" s="335" t="s">
        <v>50</v>
      </c>
      <c r="D8" s="423"/>
      <c r="E8" s="423"/>
      <c r="F8" s="423" t="s">
        <v>282</v>
      </c>
      <c r="G8" s="421"/>
      <c r="H8" s="415"/>
      <c r="I8" s="419"/>
      <c r="J8" s="352" t="s">
        <v>132</v>
      </c>
      <c r="K8" s="352" t="s">
        <v>154</v>
      </c>
      <c r="L8" s="162"/>
    </row>
    <row r="9" spans="1:12" ht="13.5" thickBot="1">
      <c r="A9" s="52" t="s">
        <v>134</v>
      </c>
      <c r="B9" s="337" t="s">
        <v>46</v>
      </c>
      <c r="C9" s="338" t="s">
        <v>48</v>
      </c>
      <c r="D9" s="424"/>
      <c r="E9" s="424"/>
      <c r="F9" s="416"/>
      <c r="G9" s="422"/>
      <c r="H9" s="416"/>
      <c r="I9" s="420"/>
      <c r="J9" s="337" t="s">
        <v>133</v>
      </c>
      <c r="K9" s="337" t="s">
        <v>27</v>
      </c>
      <c r="L9" s="162"/>
    </row>
    <row r="10" spans="1:12" ht="12.75">
      <c r="A10" s="32" t="s">
        <v>0</v>
      </c>
      <c r="B10" s="339">
        <f aca="true" t="shared" si="0" ref="B10:K10">SUM(B12:B39)</f>
        <v>5697413424.6</v>
      </c>
      <c r="C10" s="339">
        <f t="shared" si="0"/>
        <v>5340712543.87</v>
      </c>
      <c r="D10" s="339">
        <f t="shared" si="0"/>
        <v>2828409197</v>
      </c>
      <c r="E10" s="340">
        <f t="shared" si="0"/>
        <v>89734471.72</v>
      </c>
      <c r="F10" s="340">
        <f t="shared" si="0"/>
        <v>26599116</v>
      </c>
      <c r="G10" s="339">
        <f t="shared" si="0"/>
        <v>914367170</v>
      </c>
      <c r="H10" s="357">
        <f t="shared" si="0"/>
        <v>143935088.98000002</v>
      </c>
      <c r="I10" s="379">
        <f t="shared" si="0"/>
        <v>621769420</v>
      </c>
      <c r="J10" s="354">
        <f t="shared" si="0"/>
        <v>45343</v>
      </c>
      <c r="K10" s="355">
        <f t="shared" si="0"/>
        <v>5982991.96</v>
      </c>
      <c r="L10" s="153"/>
    </row>
    <row r="11" spans="1:12" ht="12.75">
      <c r="A11" s="32"/>
      <c r="B11" s="341"/>
      <c r="D11" s="342"/>
      <c r="E11" s="335"/>
      <c r="F11" s="342"/>
      <c r="G11" s="342"/>
      <c r="H11" s="281"/>
      <c r="I11" s="379"/>
      <c r="J11" s="281"/>
      <c r="K11" s="281"/>
      <c r="L11" s="83"/>
    </row>
    <row r="12" spans="1:12" ht="12.75">
      <c r="A12" s="23" t="s">
        <v>1</v>
      </c>
      <c r="B12" s="268">
        <f>+C12+state4!B11+state4!F11+state4!J11</f>
        <v>94288235.33999999</v>
      </c>
      <c r="C12" s="285">
        <f>SUM(D12:K12)+SUM(state2!B12:J12)+SUM(state3!B12:L12)</f>
        <v>93726158.75999999</v>
      </c>
      <c r="D12" s="272">
        <v>44990618</v>
      </c>
      <c r="E12" s="278">
        <v>7682900</v>
      </c>
      <c r="F12" s="343">
        <v>0</v>
      </c>
      <c r="G12" s="272">
        <v>21636974</v>
      </c>
      <c r="H12" s="279">
        <v>165017</v>
      </c>
      <c r="I12" s="380">
        <v>6756060</v>
      </c>
      <c r="J12" s="253">
        <v>0</v>
      </c>
      <c r="K12" s="263">
        <v>0</v>
      </c>
      <c r="L12" s="170"/>
    </row>
    <row r="13" spans="1:12" ht="12.75">
      <c r="A13" s="154" t="s">
        <v>2</v>
      </c>
      <c r="B13" s="268">
        <f>+C13+state4!B12+state4!F12+state4!J12</f>
        <v>361689938.21</v>
      </c>
      <c r="C13" s="285">
        <f>SUM(D13:K13)+SUM(state2!B13:J13)+SUM(state3!B13:L13)</f>
        <v>328199484.21</v>
      </c>
      <c r="D13" s="272">
        <v>184608243</v>
      </c>
      <c r="E13" s="343">
        <v>0</v>
      </c>
      <c r="F13" s="343">
        <v>0</v>
      </c>
      <c r="G13" s="272">
        <v>39904331</v>
      </c>
      <c r="H13" s="279">
        <v>4460272</v>
      </c>
      <c r="I13" s="380">
        <v>50559262</v>
      </c>
      <c r="J13" s="253">
        <v>0</v>
      </c>
      <c r="K13" s="263">
        <v>545950</v>
      </c>
      <c r="L13" s="170"/>
    </row>
    <row r="14" spans="1:12" ht="12.75">
      <c r="A14" s="154" t="s">
        <v>3</v>
      </c>
      <c r="B14" s="268">
        <f>+C14+state4!B13+state4!F13+state4!J13</f>
        <v>944414991.51</v>
      </c>
      <c r="C14" s="285">
        <f>SUM(D14:K14)+SUM(state2!B14:J14)+SUM(state3!B14:L14)</f>
        <v>906918573.01</v>
      </c>
      <c r="D14" s="272">
        <v>387950714</v>
      </c>
      <c r="E14" s="278">
        <v>37893528</v>
      </c>
      <c r="F14" s="268">
        <v>25076647</v>
      </c>
      <c r="G14" s="272">
        <v>268142514</v>
      </c>
      <c r="H14" s="263">
        <v>9355062</v>
      </c>
      <c r="I14" s="380">
        <v>60805488</v>
      </c>
      <c r="J14" s="253">
        <v>0</v>
      </c>
      <c r="K14" s="263">
        <v>0</v>
      </c>
      <c r="L14" s="170"/>
    </row>
    <row r="15" spans="1:12" ht="12.75">
      <c r="A15" s="154" t="s">
        <v>4</v>
      </c>
      <c r="B15" s="268">
        <f>+C15+state4!B14+state4!F14+state4!J14</f>
        <v>628952773.2</v>
      </c>
      <c r="C15" s="285">
        <f>SUM(D15:K15)+SUM(state2!B15:J15)+SUM(state3!B15:L15)</f>
        <v>595386354.2</v>
      </c>
      <c r="D15" s="272">
        <v>340426142</v>
      </c>
      <c r="E15" s="343">
        <v>0</v>
      </c>
      <c r="F15" s="343">
        <v>0</v>
      </c>
      <c r="G15" s="272">
        <v>88843115</v>
      </c>
      <c r="H15" s="263">
        <v>10343850</v>
      </c>
      <c r="I15" s="380">
        <v>72980942</v>
      </c>
      <c r="J15" s="253">
        <v>0</v>
      </c>
      <c r="K15" s="263">
        <v>3379233</v>
      </c>
      <c r="L15" s="170"/>
    </row>
    <row r="16" spans="1:12" ht="12.75">
      <c r="A16" s="154" t="s">
        <v>5</v>
      </c>
      <c r="B16" s="268">
        <f>+C16+state4!B15+state4!F15+state4!J15</f>
        <v>107035118.84</v>
      </c>
      <c r="C16" s="285">
        <f>SUM(D16:K16)+SUM(state2!B16:J16)+SUM(state3!B16:L16)</f>
        <v>99231752.84</v>
      </c>
      <c r="D16" s="272">
        <f>66499953-714882</f>
        <v>65785071</v>
      </c>
      <c r="E16" s="343">
        <v>0</v>
      </c>
      <c r="F16" s="343">
        <v>0</v>
      </c>
      <c r="G16" s="272">
        <v>7326168</v>
      </c>
      <c r="H16" s="263">
        <v>617679</v>
      </c>
      <c r="I16" s="380">
        <v>12385921</v>
      </c>
      <c r="J16" s="253">
        <v>0</v>
      </c>
      <c r="K16" s="277">
        <v>31058</v>
      </c>
      <c r="L16" s="170"/>
    </row>
    <row r="17" spans="2:12" ht="12.75">
      <c r="B17" s="268"/>
      <c r="D17" s="272"/>
      <c r="E17" s="344"/>
      <c r="F17" s="268"/>
      <c r="G17" s="272"/>
      <c r="H17" s="279"/>
      <c r="I17" s="380"/>
      <c r="J17" s="281"/>
      <c r="K17" s="263"/>
      <c r="L17" s="170"/>
    </row>
    <row r="18" spans="1:12" ht="12.75">
      <c r="A18" s="154" t="s">
        <v>6</v>
      </c>
      <c r="B18" s="268">
        <f>+C18+state4!B17+state4!F17+state4!J17</f>
        <v>50765860.92</v>
      </c>
      <c r="C18" s="285">
        <f>SUM(D18:K18)+SUM(state2!B18:J18)+SUM(state3!B18:L18)</f>
        <v>46566385.35</v>
      </c>
      <c r="D18" s="272">
        <v>25611500</v>
      </c>
      <c r="E18" s="278">
        <v>832197</v>
      </c>
      <c r="F18" s="343">
        <v>0</v>
      </c>
      <c r="G18" s="272">
        <v>10215426</v>
      </c>
      <c r="H18" s="279">
        <v>860969</v>
      </c>
      <c r="I18" s="380">
        <v>3696533</v>
      </c>
      <c r="J18" s="253">
        <v>0</v>
      </c>
      <c r="K18" s="263">
        <v>0</v>
      </c>
      <c r="L18" s="170"/>
    </row>
    <row r="19" spans="1:12" ht="12.75">
      <c r="A19" s="154" t="s">
        <v>7</v>
      </c>
      <c r="B19" s="268">
        <f>+C19+state4!B18+state4!F18+state4!J18</f>
        <v>176590526.92999998</v>
      </c>
      <c r="C19" s="285">
        <f>SUM(D19:K19)+SUM(state2!B19:J19)+SUM(state3!B19:L19)</f>
        <v>163637257.04</v>
      </c>
      <c r="D19" s="272">
        <f>111278363-786912</f>
        <v>110491451</v>
      </c>
      <c r="E19" s="343">
        <v>0</v>
      </c>
      <c r="F19" s="343">
        <v>0</v>
      </c>
      <c r="G19" s="272">
        <v>9559226</v>
      </c>
      <c r="H19" s="279">
        <v>772490</v>
      </c>
      <c r="I19" s="380">
        <v>18818980</v>
      </c>
      <c r="J19" s="253">
        <v>0</v>
      </c>
      <c r="K19" s="263">
        <v>24154</v>
      </c>
      <c r="L19" s="170"/>
    </row>
    <row r="20" spans="1:12" ht="12.75">
      <c r="A20" s="154" t="s">
        <v>8</v>
      </c>
      <c r="B20" s="268">
        <f>+C20+state4!B19+state4!F19+state4!J19</f>
        <v>113703766.68999998</v>
      </c>
      <c r="C20" s="285">
        <f>SUM(D20:K20)+SUM(state2!B20:J20)+SUM(state3!B20:L20)</f>
        <v>109769408.49</v>
      </c>
      <c r="D20" s="272">
        <v>67197494</v>
      </c>
      <c r="E20" s="278">
        <v>2625854</v>
      </c>
      <c r="F20" s="343">
        <v>0</v>
      </c>
      <c r="G20" s="272">
        <v>14745730</v>
      </c>
      <c r="H20" s="279">
        <v>546062</v>
      </c>
      <c r="I20" s="380">
        <v>11076893</v>
      </c>
      <c r="J20" s="253">
        <v>0</v>
      </c>
      <c r="K20" s="277">
        <v>0</v>
      </c>
      <c r="L20" s="237"/>
    </row>
    <row r="21" spans="1:12" ht="12.75">
      <c r="A21" s="154" t="s">
        <v>9</v>
      </c>
      <c r="B21" s="268">
        <f>+C21+state4!B20+state4!F20+state4!J20</f>
        <v>182728165.94</v>
      </c>
      <c r="C21" s="285">
        <f>SUM(D21:K21)+SUM(state2!B21:J21)+SUM(state3!B21:L21)</f>
        <v>170065955.54999998</v>
      </c>
      <c r="D21" s="272">
        <f>109637627-1037968</f>
        <v>108599659</v>
      </c>
      <c r="E21" s="278">
        <v>4795328.72</v>
      </c>
      <c r="F21" s="343">
        <v>0</v>
      </c>
      <c r="G21" s="272">
        <v>19543956</v>
      </c>
      <c r="H21" s="279">
        <v>775953</v>
      </c>
      <c r="I21" s="380">
        <v>17068178</v>
      </c>
      <c r="J21" s="253">
        <v>0</v>
      </c>
      <c r="K21" s="263">
        <v>60481</v>
      </c>
      <c r="L21" s="237"/>
    </row>
    <row r="22" spans="1:12" ht="12.75">
      <c r="A22" s="154" t="s">
        <v>10</v>
      </c>
      <c r="B22" s="268">
        <f>+C22+state4!B21+state4!F21+state4!J21</f>
        <v>43799900.32</v>
      </c>
      <c r="C22" s="285">
        <f>SUM(D22:K22)+SUM(state2!B22:J22)+SUM(state3!B22:L22)</f>
        <v>33865329.32</v>
      </c>
      <c r="D22" s="272">
        <v>18437205</v>
      </c>
      <c r="E22" s="278">
        <v>299555</v>
      </c>
      <c r="F22" s="343">
        <v>0</v>
      </c>
      <c r="G22" s="272">
        <v>7375635</v>
      </c>
      <c r="H22" s="279">
        <v>369868.98</v>
      </c>
      <c r="I22" s="380">
        <v>3146098</v>
      </c>
      <c r="J22" s="253">
        <v>0</v>
      </c>
      <c r="K22" s="263">
        <v>7370</v>
      </c>
      <c r="L22" s="170"/>
    </row>
    <row r="23" spans="1:12" ht="12.75">
      <c r="A23" s="235"/>
      <c r="B23" s="268"/>
      <c r="D23" s="272"/>
      <c r="E23" s="344"/>
      <c r="F23" s="268"/>
      <c r="G23" s="272"/>
      <c r="H23" s="279"/>
      <c r="I23" s="380"/>
      <c r="J23" s="281"/>
      <c r="K23" s="263"/>
      <c r="L23" s="170"/>
    </row>
    <row r="24" spans="1:12" ht="12.75">
      <c r="A24" s="154" t="s">
        <v>11</v>
      </c>
      <c r="B24" s="268">
        <f>+C24+state4!B23+state4!F23+state4!J23</f>
        <v>248608468.36</v>
      </c>
      <c r="C24" s="285">
        <f>SUM(D24:K24)+SUM(state2!B24:J24)+SUM(state3!B24:L24)</f>
        <v>232550154.36</v>
      </c>
      <c r="D24" s="385">
        <v>153063591</v>
      </c>
      <c r="E24" s="343">
        <v>0</v>
      </c>
      <c r="F24" s="343">
        <v>0</v>
      </c>
      <c r="G24" s="272">
        <v>19680851</v>
      </c>
      <c r="H24" s="279">
        <v>4657841</v>
      </c>
      <c r="I24" s="380">
        <v>26319580</v>
      </c>
      <c r="J24" s="253">
        <v>0</v>
      </c>
      <c r="K24" s="263">
        <v>11820</v>
      </c>
      <c r="L24" s="170"/>
    </row>
    <row r="25" spans="1:12" ht="12.75">
      <c r="A25" s="154" t="s">
        <v>12</v>
      </c>
      <c r="B25" s="268">
        <f>+C25+state4!B24+state4!F24+state4!J24</f>
        <v>29459063.71</v>
      </c>
      <c r="C25" s="285">
        <f>SUM(D25:K25)+SUM(state2!B25:J25)+SUM(state3!B25:L25)</f>
        <v>28736909.84</v>
      </c>
      <c r="D25" s="385">
        <f>15281884-514217</f>
        <v>14767667</v>
      </c>
      <c r="E25" s="343">
        <v>0</v>
      </c>
      <c r="F25" s="268">
        <v>514217</v>
      </c>
      <c r="G25" s="272">
        <v>4806318</v>
      </c>
      <c r="H25" s="279">
        <v>3470</v>
      </c>
      <c r="I25" s="380">
        <v>3260368</v>
      </c>
      <c r="J25" s="265">
        <v>10037</v>
      </c>
      <c r="K25" s="263">
        <v>100380</v>
      </c>
      <c r="L25" s="170"/>
    </row>
    <row r="26" spans="1:12" ht="12.75">
      <c r="A26" s="154" t="s">
        <v>13</v>
      </c>
      <c r="B26" s="268">
        <f>+C26+state4!B25+state4!F25+state4!J25</f>
        <v>250290309.34</v>
      </c>
      <c r="C26" s="285">
        <f>SUM(D26:K26)+SUM(state2!B26:J26)+SUM(state3!B26:L26)</f>
        <v>238176658.34</v>
      </c>
      <c r="D26" s="272">
        <v>152882001</v>
      </c>
      <c r="E26" s="343">
        <v>0</v>
      </c>
      <c r="F26" s="268">
        <v>0</v>
      </c>
      <c r="G26" s="272">
        <v>24815178</v>
      </c>
      <c r="H26" s="279">
        <v>2039950</v>
      </c>
      <c r="I26" s="380">
        <v>26419617</v>
      </c>
      <c r="J26" s="253">
        <v>0</v>
      </c>
      <c r="K26" s="263">
        <v>183176</v>
      </c>
      <c r="L26" s="170"/>
    </row>
    <row r="27" spans="1:12" ht="12.75">
      <c r="A27" s="154" t="s">
        <v>14</v>
      </c>
      <c r="B27" s="268">
        <f>+C27+state4!B26+state4!F26+state4!J26</f>
        <v>258724498.88000003</v>
      </c>
      <c r="C27" s="285">
        <f>SUM(D27:K27)+SUM(state2!B27:J27)+SUM(state3!B27:L27)</f>
        <v>237877057.88000003</v>
      </c>
      <c r="D27" s="272">
        <v>146786526</v>
      </c>
      <c r="E27" s="343">
        <v>0</v>
      </c>
      <c r="F27" s="268">
        <v>0</v>
      </c>
      <c r="G27" s="272">
        <v>14868662</v>
      </c>
      <c r="H27" s="279">
        <v>5666274</v>
      </c>
      <c r="I27" s="380">
        <v>41423968</v>
      </c>
      <c r="J27" s="253">
        <v>0</v>
      </c>
      <c r="K27" s="278">
        <v>653228</v>
      </c>
      <c r="L27" s="170"/>
    </row>
    <row r="28" spans="1:12" ht="12.75">
      <c r="A28" s="154" t="s">
        <v>15</v>
      </c>
      <c r="B28" s="268">
        <f>+C28+state4!B27+state4!F27+state4!J27</f>
        <v>12803467.770000001</v>
      </c>
      <c r="C28" s="285">
        <f>SUM(D28:K28)+SUM(state2!B28:J28)+SUM(state3!B28:L28)</f>
        <v>12172886.370000001</v>
      </c>
      <c r="D28" s="272">
        <v>4499504</v>
      </c>
      <c r="E28" s="343">
        <v>0</v>
      </c>
      <c r="F28" s="268">
        <v>482608</v>
      </c>
      <c r="G28" s="272">
        <v>2192374</v>
      </c>
      <c r="H28" s="279">
        <v>169677</v>
      </c>
      <c r="I28" s="380">
        <v>1788346</v>
      </c>
      <c r="J28" s="253">
        <v>0</v>
      </c>
      <c r="K28" s="278">
        <v>0</v>
      </c>
      <c r="L28" s="170"/>
    </row>
    <row r="29" spans="2:12" ht="12.75">
      <c r="B29" s="268"/>
      <c r="D29" s="272"/>
      <c r="E29" s="344"/>
      <c r="F29" s="268"/>
      <c r="G29" s="272"/>
      <c r="H29" s="279"/>
      <c r="I29" s="380"/>
      <c r="J29" s="281"/>
      <c r="K29" s="263"/>
      <c r="L29" s="147"/>
    </row>
    <row r="30" spans="1:12" ht="12.75">
      <c r="A30" s="154" t="s">
        <v>16</v>
      </c>
      <c r="B30" s="268">
        <f>+C30+state4!B29+state4!F29+state4!J29</f>
        <v>602350123.73</v>
      </c>
      <c r="C30" s="285">
        <f>SUM(D30:K30)+SUM(state2!B30:J30)+SUM(state3!B30:L30)</f>
        <v>554411332.73</v>
      </c>
      <c r="D30" s="292">
        <f>218646239-9186691</f>
        <v>209459548</v>
      </c>
      <c r="E30" s="343">
        <v>0</v>
      </c>
      <c r="F30" s="343">
        <v>0</v>
      </c>
      <c r="G30" s="272">
        <v>85772752</v>
      </c>
      <c r="H30" s="279">
        <v>42602132</v>
      </c>
      <c r="I30" s="380">
        <v>124897387</v>
      </c>
      <c r="J30" s="253">
        <v>0</v>
      </c>
      <c r="K30" s="263">
        <v>726086</v>
      </c>
      <c r="L30" s="170"/>
    </row>
    <row r="31" spans="1:12" ht="12.75">
      <c r="A31" s="154" t="s">
        <v>17</v>
      </c>
      <c r="B31" s="268">
        <f>+C31+state4!B30+state4!F30+state4!J30</f>
        <v>1062592308.04</v>
      </c>
      <c r="C31" s="285">
        <f>SUM(D31:K31)+SUM(state2!B31:J31)+SUM(state3!B31:L31)</f>
        <v>1010764944.04</v>
      </c>
      <c r="D31" s="292">
        <v>528084719</v>
      </c>
      <c r="E31" s="278">
        <v>24867739</v>
      </c>
      <c r="F31" s="343">
        <v>0</v>
      </c>
      <c r="G31" s="272">
        <v>189184778</v>
      </c>
      <c r="H31" s="279">
        <v>55117079</v>
      </c>
      <c r="I31" s="380">
        <v>90143031</v>
      </c>
      <c r="J31" s="253">
        <v>0</v>
      </c>
      <c r="K31" s="263">
        <v>177089</v>
      </c>
      <c r="L31" s="236"/>
    </row>
    <row r="32" spans="1:12" ht="12.75">
      <c r="A32" s="154" t="s">
        <v>18</v>
      </c>
      <c r="B32" s="268">
        <f>+C32+state4!B31+state4!F31+state4!J31</f>
        <v>40851908.39999999</v>
      </c>
      <c r="C32" s="285">
        <f>SUM(D32:K32)+SUM(state2!B32:J32)+SUM(state3!B32:L32)</f>
        <v>35863684.76</v>
      </c>
      <c r="D32" s="292">
        <v>21340459</v>
      </c>
      <c r="E32" s="343">
        <v>0</v>
      </c>
      <c r="F32" s="343">
        <v>0</v>
      </c>
      <c r="G32" s="272">
        <v>2956069</v>
      </c>
      <c r="H32" s="279">
        <v>368083</v>
      </c>
      <c r="I32" s="380">
        <v>4716217</v>
      </c>
      <c r="J32" s="253">
        <v>0</v>
      </c>
      <c r="K32" s="263">
        <v>13572</v>
      </c>
      <c r="L32" s="170"/>
    </row>
    <row r="33" spans="1:12" ht="12.75">
      <c r="A33" s="154" t="s">
        <v>19</v>
      </c>
      <c r="B33" s="268">
        <f>+C33+state4!B32+state4!F32+state4!J32</f>
        <v>113887802.08</v>
      </c>
      <c r="C33" s="285">
        <f>SUM(D33:K33)+SUM(state2!B33:J33)+SUM(state3!B33:L33)</f>
        <v>105657905.88</v>
      </c>
      <c r="D33" s="292">
        <f>65782811-64354</f>
        <v>65718457</v>
      </c>
      <c r="E33" s="278">
        <v>1075287</v>
      </c>
      <c r="F33" s="343">
        <v>0</v>
      </c>
      <c r="G33" s="272">
        <v>13701161</v>
      </c>
      <c r="H33" s="279">
        <v>597596</v>
      </c>
      <c r="I33" s="380">
        <v>10836097</v>
      </c>
      <c r="J33" s="253">
        <v>0</v>
      </c>
      <c r="K33" s="263">
        <v>0</v>
      </c>
      <c r="L33" s="237"/>
    </row>
    <row r="34" spans="1:12" ht="12.75">
      <c r="A34" s="154" t="s">
        <v>20</v>
      </c>
      <c r="B34" s="268">
        <f>+C34+state4!B33+state4!F33+state4!J33</f>
        <v>27391342.610000003</v>
      </c>
      <c r="C34" s="285">
        <f>SUM(D34:K34)+SUM(state2!B34:J34)+SUM(state3!B34:L34)</f>
        <v>25985273.900000002</v>
      </c>
      <c r="D34" s="292">
        <v>12547963</v>
      </c>
      <c r="E34" s="278">
        <v>0</v>
      </c>
      <c r="F34" s="278">
        <v>525644</v>
      </c>
      <c r="G34" s="272">
        <v>5898929</v>
      </c>
      <c r="H34" s="279">
        <v>454153</v>
      </c>
      <c r="I34" s="380">
        <v>2174300</v>
      </c>
      <c r="J34" s="253">
        <v>0</v>
      </c>
      <c r="K34" s="263">
        <v>0</v>
      </c>
      <c r="L34" s="170"/>
    </row>
    <row r="35" spans="2:12" ht="12.75">
      <c r="B35" s="270"/>
      <c r="D35" s="345"/>
      <c r="E35" s="344"/>
      <c r="F35" s="270"/>
      <c r="G35" s="345"/>
      <c r="H35" s="279"/>
      <c r="I35" s="380"/>
      <c r="J35" s="281"/>
      <c r="K35" s="263"/>
      <c r="L35" s="219"/>
    </row>
    <row r="36" spans="1:12" ht="12.75">
      <c r="A36" s="154" t="s">
        <v>21</v>
      </c>
      <c r="B36" s="268">
        <f>+C36+state4!B35+state4!F35+state4!J35</f>
        <v>13893728.780000001</v>
      </c>
      <c r="C36" s="285">
        <f>SUM(D36:K36)+SUM(state2!B36:J36)+SUM(state3!B36:L36)</f>
        <v>13259184.620000001</v>
      </c>
      <c r="D36" s="272">
        <v>4248849</v>
      </c>
      <c r="E36" s="343">
        <v>0</v>
      </c>
      <c r="F36" s="364">
        <v>0</v>
      </c>
      <c r="G36" s="272">
        <v>3111925</v>
      </c>
      <c r="H36" s="279">
        <v>429494</v>
      </c>
      <c r="I36" s="380">
        <v>2887089</v>
      </c>
      <c r="J36" s="253">
        <v>0</v>
      </c>
      <c r="K36" s="263">
        <v>37664.96</v>
      </c>
      <c r="L36" s="170"/>
    </row>
    <row r="37" spans="1:12" ht="12.75">
      <c r="A37" s="154" t="s">
        <v>22</v>
      </c>
      <c r="B37" s="268">
        <f>+C37+state4!B36+state4!F36+state4!J36</f>
        <v>164893807.1</v>
      </c>
      <c r="C37" s="285">
        <f>SUM(D37:K37)+SUM(state2!B37:J37)+SUM(state3!B37:L37)</f>
        <v>155061287.19</v>
      </c>
      <c r="D37" s="272">
        <v>90407323</v>
      </c>
      <c r="E37" s="278">
        <v>3526618</v>
      </c>
      <c r="F37" s="364">
        <v>0</v>
      </c>
      <c r="G37" s="272">
        <v>27793491</v>
      </c>
      <c r="H37" s="279">
        <v>1554642</v>
      </c>
      <c r="I37" s="380">
        <v>13441048</v>
      </c>
      <c r="J37" s="253">
        <v>35306</v>
      </c>
      <c r="K37" s="263">
        <v>12204</v>
      </c>
      <c r="L37" s="170"/>
    </row>
    <row r="38" spans="1:12" ht="12.75">
      <c r="A38" s="154" t="s">
        <v>23</v>
      </c>
      <c r="B38" s="268">
        <f>+C38+state4!B37+state4!F37+state4!J37</f>
        <v>140794557.59</v>
      </c>
      <c r="C38" s="285">
        <f>SUM(D38:K38)+SUM(state2!B38:J38)+SUM(state3!B38:L38)</f>
        <v>119759718.89</v>
      </c>
      <c r="D38" s="272">
        <v>64102351</v>
      </c>
      <c r="E38" s="278">
        <v>6135465</v>
      </c>
      <c r="F38" s="364">
        <v>0</v>
      </c>
      <c r="G38" s="272">
        <v>26675596</v>
      </c>
      <c r="H38" s="279">
        <v>1511701</v>
      </c>
      <c r="I38" s="380">
        <v>10390453</v>
      </c>
      <c r="J38" s="253">
        <v>0</v>
      </c>
      <c r="K38" s="292">
        <v>19526</v>
      </c>
      <c r="L38" s="170"/>
    </row>
    <row r="39" spans="1:12" ht="12.75">
      <c r="A39" s="155" t="s">
        <v>24</v>
      </c>
      <c r="B39" s="271">
        <f>+C39+state4!B38+state4!F38+state4!J38</f>
        <v>26902760.31</v>
      </c>
      <c r="C39" s="286">
        <f>SUM(D39:K39)+SUM(state2!B39:J39)+SUM(state3!B39:L39)</f>
        <v>23068886.299999997</v>
      </c>
      <c r="D39" s="273">
        <v>6402142</v>
      </c>
      <c r="E39" s="346">
        <v>0</v>
      </c>
      <c r="F39" s="365">
        <v>0</v>
      </c>
      <c r="G39" s="273">
        <v>5616011</v>
      </c>
      <c r="H39" s="254">
        <v>495774</v>
      </c>
      <c r="I39" s="381">
        <v>5777564</v>
      </c>
      <c r="J39" s="254">
        <v>0</v>
      </c>
      <c r="K39" s="356">
        <v>0</v>
      </c>
      <c r="L39" s="170"/>
    </row>
    <row r="40" spans="7:8" ht="12.75">
      <c r="G40" s="347"/>
      <c r="H40" s="279"/>
    </row>
    <row r="41" spans="1:8" ht="12.75">
      <c r="A41" s="299" t="s">
        <v>294</v>
      </c>
      <c r="B41" s="323"/>
      <c r="C41" s="348"/>
      <c r="H41" s="279"/>
    </row>
    <row r="42" spans="2:8" ht="12.75">
      <c r="B42" s="323"/>
      <c r="C42" s="323"/>
      <c r="G42" s="347"/>
      <c r="H42" s="279"/>
    </row>
    <row r="43" spans="2:8" ht="12.75">
      <c r="B43" s="323"/>
      <c r="C43" s="349"/>
      <c r="G43" s="347"/>
      <c r="H43" s="279"/>
    </row>
    <row r="44" spans="2:8" ht="12.75">
      <c r="B44" s="323"/>
      <c r="C44" s="350"/>
      <c r="E44" s="321"/>
      <c r="G44" s="347"/>
      <c r="H44" s="279"/>
    </row>
    <row r="45" spans="4:8" ht="12.75">
      <c r="D45" s="308"/>
      <c r="G45" s="347"/>
      <c r="H45" s="279"/>
    </row>
    <row r="46" spans="4:8" ht="12.75">
      <c r="D46" s="308"/>
      <c r="G46" s="347"/>
      <c r="H46" s="279"/>
    </row>
    <row r="47" spans="7:8" ht="12.75">
      <c r="G47" s="347"/>
      <c r="H47" s="279"/>
    </row>
    <row r="48" spans="7:8" ht="12.75">
      <c r="G48" s="347"/>
      <c r="H48" s="279"/>
    </row>
    <row r="49" spans="7:8" ht="12.75">
      <c r="G49" s="347"/>
      <c r="H49" s="279"/>
    </row>
    <row r="50" spans="7:8" ht="12.75">
      <c r="G50" s="351"/>
      <c r="H50" s="279"/>
    </row>
    <row r="51" spans="7:8" ht="12.75">
      <c r="G51" s="347"/>
      <c r="H51" s="279"/>
    </row>
    <row r="52" spans="7:8" ht="12.75">
      <c r="G52" s="347"/>
      <c r="H52" s="279"/>
    </row>
    <row r="53" spans="7:8" ht="12.75">
      <c r="G53" s="347"/>
      <c r="H53" s="279"/>
    </row>
    <row r="54" spans="7:8" ht="12.75">
      <c r="G54" s="347"/>
      <c r="H54" s="279"/>
    </row>
    <row r="55" spans="7:8" ht="12.75">
      <c r="G55" s="347"/>
      <c r="H55" s="279"/>
    </row>
    <row r="56" spans="7:8" ht="12.75">
      <c r="G56" s="347"/>
      <c r="H56" s="279"/>
    </row>
    <row r="57" spans="7:8" ht="12.75">
      <c r="G57" s="351"/>
      <c r="H57" s="279"/>
    </row>
    <row r="58" ht="12.75">
      <c r="H58" s="279"/>
    </row>
    <row r="59" ht="12.75">
      <c r="H59" s="279"/>
    </row>
    <row r="60" ht="12.75">
      <c r="H60" s="279"/>
    </row>
    <row r="61" ht="12.75">
      <c r="H61" s="279"/>
    </row>
    <row r="62" ht="12.75">
      <c r="H62" s="279"/>
    </row>
    <row r="63" ht="12.75">
      <c r="H63" s="279"/>
    </row>
  </sheetData>
  <sheetProtection password="CAF5" sheet="1"/>
  <mergeCells count="9">
    <mergeCell ref="H7:H9"/>
    <mergeCell ref="A1:K1"/>
    <mergeCell ref="A3:K3"/>
    <mergeCell ref="D5:K5"/>
    <mergeCell ref="I6:I9"/>
    <mergeCell ref="G6:G9"/>
    <mergeCell ref="D7:D9"/>
    <mergeCell ref="E7:E9"/>
    <mergeCell ref="F8:F9"/>
  </mergeCells>
  <printOptions horizontalCentered="1"/>
  <pageMargins left="0.34" right="0.27" top="0.83" bottom="1" header="0.67" footer="0.5"/>
  <pageSetup fitToHeight="1" fitToWidth="1" horizontalDpi="600" verticalDpi="600" orientation="landscape" scale="78" r:id="rId1"/>
  <headerFooter scaleWithDoc="0">
    <oddFooter>&amp;L&amp;"Arial,Italic"&amp;9MSDE-LFRO 09 / 2010&amp;C- 7 -&amp;R&amp;"Arial,Italic"&amp;9Selected Financial Data-Part 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0"/>
  <sheetViews>
    <sheetView workbookViewId="0" topLeftCell="E10">
      <selection activeCell="H16" sqref="H16"/>
    </sheetView>
  </sheetViews>
  <sheetFormatPr defaultColWidth="9.140625" defaultRowHeight="12.75"/>
  <cols>
    <col min="1" max="1" width="14.140625" style="0" customWidth="1"/>
    <col min="2" max="2" width="13.140625" style="307" customWidth="1"/>
    <col min="3" max="3" width="15.00390625" style="307" bestFit="1" customWidth="1"/>
    <col min="4" max="4" width="13.421875" style="307" customWidth="1"/>
    <col min="5" max="5" width="16.421875" style="307" customWidth="1"/>
    <col min="6" max="6" width="15.421875" style="307" customWidth="1"/>
    <col min="7" max="7" width="13.57421875" style="299" customWidth="1"/>
    <col min="8" max="8" width="9.7109375" style="0" bestFit="1" customWidth="1"/>
    <col min="9" max="9" width="16.28125" style="0" customWidth="1"/>
    <col min="10" max="10" width="12.8515625" style="0" customWidth="1"/>
  </cols>
  <sheetData>
    <row r="1" spans="1:10" ht="12.75">
      <c r="A1" s="397" t="s">
        <v>123</v>
      </c>
      <c r="B1" s="397"/>
      <c r="C1" s="397"/>
      <c r="D1" s="397"/>
      <c r="E1" s="397"/>
      <c r="F1" s="397"/>
      <c r="G1" s="397"/>
      <c r="H1" s="397"/>
      <c r="I1" s="397"/>
      <c r="J1" s="397"/>
    </row>
    <row r="3" spans="1:10" s="73" customFormat="1" ht="12.75">
      <c r="A3" s="392" t="s">
        <v>258</v>
      </c>
      <c r="B3" s="392"/>
      <c r="C3" s="392"/>
      <c r="D3" s="392"/>
      <c r="E3" s="392"/>
      <c r="F3" s="392"/>
      <c r="G3" s="392"/>
      <c r="H3" s="392"/>
      <c r="I3" s="392"/>
      <c r="J3" s="392"/>
    </row>
    <row r="4" spans="2:7" ht="13.5" thickBot="1">
      <c r="B4" s="313"/>
      <c r="C4" s="313"/>
      <c r="D4" s="313"/>
      <c r="E4" s="313"/>
      <c r="F4" s="313"/>
      <c r="G4" s="313"/>
    </row>
    <row r="5" spans="1:10" ht="15" customHeight="1" thickTop="1">
      <c r="A5" s="6"/>
      <c r="B5" s="428" t="s">
        <v>47</v>
      </c>
      <c r="C5" s="428"/>
      <c r="D5" s="428"/>
      <c r="E5" s="428"/>
      <c r="F5" s="428"/>
      <c r="G5" s="428"/>
      <c r="H5" s="428"/>
      <c r="I5" s="428"/>
      <c r="J5" s="428"/>
    </row>
    <row r="6" spans="1:10" ht="12.75" customHeight="1">
      <c r="A6" s="3"/>
      <c r="B6" s="429" t="s">
        <v>290</v>
      </c>
      <c r="C6" s="430"/>
      <c r="D6" s="431"/>
      <c r="E6" s="439" t="s">
        <v>155</v>
      </c>
      <c r="F6" s="440"/>
      <c r="G6" s="441"/>
      <c r="H6" s="425" t="s">
        <v>128</v>
      </c>
      <c r="I6" s="426"/>
      <c r="J6" s="427"/>
    </row>
    <row r="7" spans="1:10" ht="12.75" customHeight="1">
      <c r="A7" s="3" t="s">
        <v>81</v>
      </c>
      <c r="B7" s="308"/>
      <c r="C7" s="303"/>
      <c r="D7" s="432" t="s">
        <v>188</v>
      </c>
      <c r="E7" s="419" t="s">
        <v>166</v>
      </c>
      <c r="F7" s="414" t="s">
        <v>167</v>
      </c>
      <c r="G7" s="353" t="s">
        <v>175</v>
      </c>
      <c r="H7" s="303" t="s">
        <v>31</v>
      </c>
      <c r="I7" s="435" t="s">
        <v>168</v>
      </c>
      <c r="J7" s="435" t="s">
        <v>172</v>
      </c>
    </row>
    <row r="8" spans="1:10" ht="12.75">
      <c r="A8" s="3" t="s">
        <v>34</v>
      </c>
      <c r="B8" s="308"/>
      <c r="C8" s="303" t="s">
        <v>29</v>
      </c>
      <c r="D8" s="433"/>
      <c r="E8" s="433"/>
      <c r="F8" s="438"/>
      <c r="G8" s="329" t="s">
        <v>176</v>
      </c>
      <c r="H8" s="303" t="s">
        <v>32</v>
      </c>
      <c r="I8" s="436"/>
      <c r="J8" s="436"/>
    </row>
    <row r="9" spans="1:10" ht="13.5" thickBot="1">
      <c r="A9" s="7" t="s">
        <v>134</v>
      </c>
      <c r="B9" s="304" t="s">
        <v>25</v>
      </c>
      <c r="C9" s="304" t="s">
        <v>30</v>
      </c>
      <c r="D9" s="434"/>
      <c r="E9" s="434"/>
      <c r="F9" s="422"/>
      <c r="G9" s="330"/>
      <c r="H9" s="304" t="s">
        <v>33</v>
      </c>
      <c r="I9" s="437"/>
      <c r="J9" s="437"/>
    </row>
    <row r="10" spans="1:10" s="44" customFormat="1" ht="12.75">
      <c r="A10" s="48" t="s">
        <v>0</v>
      </c>
      <c r="B10" s="355">
        <f aca="true" t="shared" si="0" ref="B10:J10">SUM(B12:B39)</f>
        <v>268155456.93</v>
      </c>
      <c r="C10" s="355">
        <f t="shared" si="0"/>
        <v>117084639.97999999</v>
      </c>
      <c r="D10" s="355">
        <f t="shared" si="0"/>
        <v>5095498.34</v>
      </c>
      <c r="E10" s="355">
        <f t="shared" si="0"/>
        <v>201068149.79999998</v>
      </c>
      <c r="F10" s="355">
        <f t="shared" si="0"/>
        <v>23758166.66</v>
      </c>
      <c r="G10" s="355">
        <f t="shared" si="0"/>
        <v>35000</v>
      </c>
      <c r="H10" s="362">
        <f t="shared" si="0"/>
        <v>201455.33000000002</v>
      </c>
      <c r="I10" s="355">
        <f t="shared" si="0"/>
        <v>170134.28</v>
      </c>
      <c r="J10" s="355">
        <f t="shared" si="0"/>
        <v>7056002.2</v>
      </c>
    </row>
    <row r="11" spans="1:10" ht="12.75">
      <c r="A11" s="3"/>
      <c r="B11" s="269"/>
      <c r="C11" s="269"/>
      <c r="D11" s="269"/>
      <c r="E11" s="279"/>
      <c r="F11" s="279"/>
      <c r="G11" s="279"/>
      <c r="J11" s="279"/>
    </row>
    <row r="12" spans="1:10" ht="12.75">
      <c r="A12" t="s">
        <v>1</v>
      </c>
      <c r="B12" s="263">
        <v>6033691</v>
      </c>
      <c r="C12" s="279">
        <v>1139748.84</v>
      </c>
      <c r="D12" s="279">
        <v>115569</v>
      </c>
      <c r="E12" s="263">
        <v>3806175</v>
      </c>
      <c r="F12" s="279">
        <v>203000</v>
      </c>
      <c r="G12" s="279">
        <v>0</v>
      </c>
      <c r="H12" s="253">
        <v>0</v>
      </c>
      <c r="I12" s="281">
        <v>8750</v>
      </c>
      <c r="J12" s="281">
        <v>40795.26</v>
      </c>
    </row>
    <row r="13" spans="1:10" ht="12.75">
      <c r="A13" t="s">
        <v>2</v>
      </c>
      <c r="B13" s="263">
        <v>16843600</v>
      </c>
      <c r="C13" s="279">
        <v>7061752.39</v>
      </c>
      <c r="D13" s="279">
        <v>982794.68</v>
      </c>
      <c r="E13" s="263">
        <v>17126088</v>
      </c>
      <c r="F13" s="279">
        <v>1593000</v>
      </c>
      <c r="G13" s="279">
        <v>0</v>
      </c>
      <c r="H13" s="253">
        <v>15086.609999999999</v>
      </c>
      <c r="I13" s="281">
        <v>8664.23</v>
      </c>
      <c r="J13" s="253">
        <v>513993.42</v>
      </c>
    </row>
    <row r="14" spans="1:10" ht="12.75">
      <c r="A14" t="s">
        <v>3</v>
      </c>
      <c r="B14" s="263">
        <v>55753952</v>
      </c>
      <c r="C14" s="279">
        <v>30836289.65</v>
      </c>
      <c r="D14" s="279">
        <v>0</v>
      </c>
      <c r="E14" s="263">
        <v>13803722</v>
      </c>
      <c r="F14" s="279">
        <v>3437000</v>
      </c>
      <c r="G14" s="279">
        <v>0</v>
      </c>
      <c r="H14" s="253">
        <v>0</v>
      </c>
      <c r="I14" s="281">
        <v>8750</v>
      </c>
      <c r="J14" s="253">
        <v>1083525.95</v>
      </c>
    </row>
    <row r="15" spans="1:10" ht="12.75">
      <c r="A15" t="s">
        <v>4</v>
      </c>
      <c r="B15" s="263">
        <v>28566313</v>
      </c>
      <c r="C15" s="279">
        <v>15308289</v>
      </c>
      <c r="D15" s="279">
        <v>1662124.1300000001</v>
      </c>
      <c r="E15" s="263">
        <v>21602520</v>
      </c>
      <c r="F15" s="279">
        <v>2916000</v>
      </c>
      <c r="G15" s="279">
        <v>0</v>
      </c>
      <c r="H15" s="253">
        <v>0</v>
      </c>
      <c r="I15" s="281">
        <v>8691.17</v>
      </c>
      <c r="J15" s="253">
        <v>1013266.5599999999</v>
      </c>
    </row>
    <row r="16" spans="1:10" ht="12.75">
      <c r="A16" t="s">
        <v>5</v>
      </c>
      <c r="B16" s="263">
        <v>4924777</v>
      </c>
      <c r="C16" s="279">
        <v>1152319.43</v>
      </c>
      <c r="D16" s="279">
        <v>139578.25</v>
      </c>
      <c r="E16" s="263">
        <v>4693731</v>
      </c>
      <c r="F16" s="279">
        <v>300000</v>
      </c>
      <c r="G16" s="279">
        <v>0</v>
      </c>
      <c r="H16" s="253">
        <v>34490.94</v>
      </c>
      <c r="I16" s="263">
        <v>8689.18</v>
      </c>
      <c r="J16" s="253">
        <v>0</v>
      </c>
    </row>
    <row r="17" spans="2:10" ht="12.75">
      <c r="B17" s="279"/>
      <c r="C17" s="279"/>
      <c r="D17" s="279"/>
      <c r="E17" s="279"/>
      <c r="F17" s="279"/>
      <c r="G17" s="279"/>
      <c r="H17" s="281"/>
      <c r="I17" s="281"/>
      <c r="J17" s="281"/>
    </row>
    <row r="18" spans="1:10" ht="12.75">
      <c r="A18" t="s">
        <v>6</v>
      </c>
      <c r="B18" s="263">
        <v>2254242</v>
      </c>
      <c r="C18" s="279">
        <v>261285.38</v>
      </c>
      <c r="D18" s="279">
        <v>67319.61</v>
      </c>
      <c r="E18" s="263">
        <v>2176540</v>
      </c>
      <c r="F18" s="279">
        <v>87000</v>
      </c>
      <c r="G18" s="279">
        <v>0</v>
      </c>
      <c r="H18" s="253">
        <v>0</v>
      </c>
      <c r="I18" s="281">
        <v>8750</v>
      </c>
      <c r="J18" s="253">
        <v>19373.29</v>
      </c>
    </row>
    <row r="19" spans="1:10" ht="12.75">
      <c r="A19" t="s">
        <v>7</v>
      </c>
      <c r="B19" s="263">
        <v>8785969.31</v>
      </c>
      <c r="C19" s="263">
        <v>4311525.29</v>
      </c>
      <c r="D19" s="279">
        <v>288024</v>
      </c>
      <c r="E19" s="263">
        <v>8033897</v>
      </c>
      <c r="F19" s="279">
        <v>600000</v>
      </c>
      <c r="G19" s="263">
        <v>0</v>
      </c>
      <c r="H19" s="253">
        <v>0</v>
      </c>
      <c r="I19" s="266">
        <v>8750</v>
      </c>
      <c r="J19" s="253">
        <v>0</v>
      </c>
    </row>
    <row r="20" spans="1:10" ht="12.75">
      <c r="A20" t="s">
        <v>8</v>
      </c>
      <c r="B20" s="263">
        <v>6347072</v>
      </c>
      <c r="C20" s="263">
        <v>1523257.79</v>
      </c>
      <c r="D20" s="279">
        <v>184491</v>
      </c>
      <c r="E20" s="279">
        <v>4213393</v>
      </c>
      <c r="F20" s="263">
        <v>219000</v>
      </c>
      <c r="G20" s="279">
        <v>0</v>
      </c>
      <c r="H20" s="253">
        <v>0</v>
      </c>
      <c r="I20" s="281">
        <v>8750</v>
      </c>
      <c r="J20" s="253">
        <v>162938.75</v>
      </c>
    </row>
    <row r="21" spans="1:10" ht="12.75">
      <c r="A21" t="s">
        <v>9</v>
      </c>
      <c r="B21" s="263">
        <v>5723949</v>
      </c>
      <c r="C21" s="263">
        <v>1271051.23</v>
      </c>
      <c r="D21" s="279">
        <v>0</v>
      </c>
      <c r="E21" s="263">
        <v>8543194</v>
      </c>
      <c r="F21" s="279">
        <v>446000</v>
      </c>
      <c r="G21" s="279">
        <v>0</v>
      </c>
      <c r="H21" s="253">
        <v>0</v>
      </c>
      <c r="I21" s="281">
        <v>8750</v>
      </c>
      <c r="J21" s="253">
        <v>0</v>
      </c>
    </row>
    <row r="22" spans="1:10" ht="12.75">
      <c r="A22" t="s">
        <v>10</v>
      </c>
      <c r="B22" s="263">
        <v>767876</v>
      </c>
      <c r="C22" s="279">
        <v>0</v>
      </c>
      <c r="D22" s="279">
        <v>64617</v>
      </c>
      <c r="E22" s="263">
        <v>1984564.02</v>
      </c>
      <c r="F22" s="279">
        <v>81000</v>
      </c>
      <c r="G22" s="279">
        <v>0</v>
      </c>
      <c r="H22" s="253">
        <v>0</v>
      </c>
      <c r="I22" s="279">
        <v>0</v>
      </c>
      <c r="J22" s="253">
        <v>106709.18</v>
      </c>
    </row>
    <row r="23" spans="2:10" ht="12.75">
      <c r="B23" s="279"/>
      <c r="C23" s="279"/>
      <c r="D23" s="279"/>
      <c r="E23" s="279"/>
      <c r="F23" s="279"/>
      <c r="G23" s="279"/>
      <c r="H23" s="281"/>
      <c r="I23" s="281"/>
      <c r="J23" s="281"/>
    </row>
    <row r="24" spans="1:10" ht="12.75">
      <c r="A24" t="s">
        <v>11</v>
      </c>
      <c r="B24" s="263">
        <v>11987225</v>
      </c>
      <c r="C24" s="263">
        <v>2574114.29</v>
      </c>
      <c r="D24" s="279">
        <v>0</v>
      </c>
      <c r="E24" s="263">
        <v>9659111</v>
      </c>
      <c r="F24" s="279">
        <v>923000</v>
      </c>
      <c r="G24" s="279">
        <v>0</v>
      </c>
      <c r="H24" s="253">
        <v>0</v>
      </c>
      <c r="I24" s="281">
        <v>8750</v>
      </c>
      <c r="J24" s="253">
        <v>56933.48</v>
      </c>
    </row>
    <row r="25" spans="1:10" ht="12.75">
      <c r="A25" t="s">
        <v>12</v>
      </c>
      <c r="B25" s="263">
        <v>1388373</v>
      </c>
      <c r="C25" s="263">
        <v>186749.39</v>
      </c>
      <c r="D25" s="279">
        <v>0</v>
      </c>
      <c r="E25" s="263">
        <v>2527615</v>
      </c>
      <c r="F25" s="279">
        <v>45000</v>
      </c>
      <c r="G25" s="263">
        <v>0</v>
      </c>
      <c r="H25" s="253">
        <v>0</v>
      </c>
      <c r="I25" s="281">
        <v>8750</v>
      </c>
      <c r="J25" s="279">
        <v>0</v>
      </c>
    </row>
    <row r="26" spans="1:10" ht="12.75">
      <c r="A26" t="s">
        <v>13</v>
      </c>
      <c r="B26" s="263">
        <v>12361384</v>
      </c>
      <c r="C26" s="263">
        <v>5085209</v>
      </c>
      <c r="D26" s="279">
        <v>0</v>
      </c>
      <c r="E26" s="263">
        <v>10061135</v>
      </c>
      <c r="F26" s="279">
        <v>754000</v>
      </c>
      <c r="G26" s="279">
        <v>0</v>
      </c>
      <c r="H26" s="253">
        <v>16850</v>
      </c>
      <c r="I26" s="281">
        <v>8750</v>
      </c>
      <c r="J26" s="253">
        <v>199624.24</v>
      </c>
    </row>
    <row r="27" spans="1:10" ht="12.75">
      <c r="A27" t="s">
        <v>14</v>
      </c>
      <c r="B27" s="263">
        <v>8549409</v>
      </c>
      <c r="C27" s="263">
        <v>3181404.35</v>
      </c>
      <c r="D27" s="279">
        <v>499770.57</v>
      </c>
      <c r="E27" s="263">
        <v>12326969</v>
      </c>
      <c r="F27" s="279">
        <v>1179000</v>
      </c>
      <c r="G27" s="279">
        <v>0</v>
      </c>
      <c r="H27" s="253">
        <v>4607.12</v>
      </c>
      <c r="I27" s="279">
        <v>0</v>
      </c>
      <c r="J27" s="253">
        <v>59978.44</v>
      </c>
    </row>
    <row r="28" spans="1:10" ht="12.75">
      <c r="A28" t="s">
        <v>15</v>
      </c>
      <c r="B28" s="263">
        <v>11177.45</v>
      </c>
      <c r="C28" s="279">
        <v>0</v>
      </c>
      <c r="D28" s="279">
        <v>562052</v>
      </c>
      <c r="E28" s="263">
        <v>1320039</v>
      </c>
      <c r="F28" s="279">
        <v>47000</v>
      </c>
      <c r="G28" s="279">
        <v>0</v>
      </c>
      <c r="H28" s="253">
        <v>0</v>
      </c>
      <c r="I28" s="281">
        <v>8587.16</v>
      </c>
      <c r="J28" s="253">
        <v>71253.62</v>
      </c>
    </row>
    <row r="29" spans="1:10" ht="12.75">
      <c r="A29" s="1"/>
      <c r="B29" s="279"/>
      <c r="C29" s="279"/>
      <c r="D29" s="279"/>
      <c r="E29" s="279"/>
      <c r="F29" s="279"/>
      <c r="G29" s="279"/>
      <c r="H29" s="281"/>
      <c r="I29" s="281"/>
      <c r="J29" s="281"/>
    </row>
    <row r="30" spans="1:10" ht="12.75">
      <c r="A30" t="s">
        <v>16</v>
      </c>
      <c r="B30" s="263">
        <v>32771701</v>
      </c>
      <c r="C30" s="263">
        <v>13232445.48</v>
      </c>
      <c r="D30" s="279">
        <v>0</v>
      </c>
      <c r="E30" s="263">
        <v>26292949</v>
      </c>
      <c r="F30" s="279">
        <v>5189000</v>
      </c>
      <c r="G30" s="279">
        <v>0</v>
      </c>
      <c r="H30" s="253">
        <v>0</v>
      </c>
      <c r="I30" s="281">
        <v>8750</v>
      </c>
      <c r="J30" s="253">
        <v>909472.98</v>
      </c>
    </row>
    <row r="31" spans="1:10" ht="12.75">
      <c r="A31" t="s">
        <v>17</v>
      </c>
      <c r="B31" s="263">
        <v>39483362.37</v>
      </c>
      <c r="C31" s="263">
        <v>27629201.39</v>
      </c>
      <c r="D31" s="279">
        <v>0</v>
      </c>
      <c r="E31" s="263">
        <v>30510167.78</v>
      </c>
      <c r="F31" s="279">
        <v>4394166.66</v>
      </c>
      <c r="G31" s="279">
        <v>0</v>
      </c>
      <c r="H31" s="253">
        <v>0</v>
      </c>
      <c r="I31" s="281">
        <v>5847.5</v>
      </c>
      <c r="J31" s="253">
        <v>2565765.73</v>
      </c>
    </row>
    <row r="32" spans="1:10" ht="12.75">
      <c r="A32" t="s">
        <v>18</v>
      </c>
      <c r="B32" s="263">
        <v>1934042</v>
      </c>
      <c r="C32" s="263">
        <v>288225.26</v>
      </c>
      <c r="D32" s="279">
        <v>81182.64</v>
      </c>
      <c r="E32" s="263">
        <v>2777958</v>
      </c>
      <c r="F32" s="279">
        <v>81000</v>
      </c>
      <c r="G32" s="279">
        <v>0</v>
      </c>
      <c r="H32" s="253">
        <v>0</v>
      </c>
      <c r="I32" s="281">
        <v>0</v>
      </c>
      <c r="J32" s="253">
        <v>0</v>
      </c>
    </row>
    <row r="33" spans="1:10" ht="12.75">
      <c r="A33" t="s">
        <v>19</v>
      </c>
      <c r="B33" s="263">
        <v>6349826.8</v>
      </c>
      <c r="C33" s="263">
        <v>445272.27</v>
      </c>
      <c r="D33" s="279">
        <v>0</v>
      </c>
      <c r="E33" s="263">
        <v>5322682</v>
      </c>
      <c r="F33" s="279">
        <v>378000</v>
      </c>
      <c r="G33" s="279">
        <v>0</v>
      </c>
      <c r="H33" s="253">
        <v>0</v>
      </c>
      <c r="I33" s="281">
        <v>7166</v>
      </c>
      <c r="J33" s="253">
        <v>94181.85</v>
      </c>
    </row>
    <row r="34" spans="1:10" ht="12.75">
      <c r="A34" t="s">
        <v>20</v>
      </c>
      <c r="B34" s="263">
        <v>1308944</v>
      </c>
      <c r="C34" s="263">
        <v>0</v>
      </c>
      <c r="D34" s="279">
        <v>20526.5</v>
      </c>
      <c r="E34" s="263">
        <v>1540351</v>
      </c>
      <c r="F34" s="279">
        <v>77000</v>
      </c>
      <c r="G34" s="279">
        <v>35000</v>
      </c>
      <c r="H34" s="253">
        <v>0</v>
      </c>
      <c r="I34" s="279">
        <v>0</v>
      </c>
      <c r="J34" s="281">
        <v>80597.98999999999</v>
      </c>
    </row>
    <row r="35" spans="2:10" ht="12.75">
      <c r="B35" s="279"/>
      <c r="C35" s="263"/>
      <c r="D35" s="279"/>
      <c r="E35" s="279"/>
      <c r="F35" s="279"/>
      <c r="G35" s="279"/>
      <c r="H35" s="281"/>
      <c r="I35" s="281"/>
      <c r="J35" s="281"/>
    </row>
    <row r="36" spans="1:10" ht="12.75">
      <c r="A36" t="s">
        <v>21</v>
      </c>
      <c r="B36" s="263">
        <v>749045</v>
      </c>
      <c r="C36" s="263">
        <v>0</v>
      </c>
      <c r="D36" s="279">
        <v>56046.65</v>
      </c>
      <c r="E36" s="263">
        <v>1331708</v>
      </c>
      <c r="F36" s="279">
        <v>13000</v>
      </c>
      <c r="G36" s="279">
        <v>0</v>
      </c>
      <c r="H36" s="253">
        <v>0</v>
      </c>
      <c r="I36" s="281">
        <v>8739.04</v>
      </c>
      <c r="J36" s="253">
        <v>0</v>
      </c>
    </row>
    <row r="37" spans="1:10" ht="12.75">
      <c r="A37" t="s">
        <v>22</v>
      </c>
      <c r="B37" s="263">
        <v>8056561</v>
      </c>
      <c r="C37" s="263">
        <v>1502622.72</v>
      </c>
      <c r="D37" s="279">
        <v>181236.05</v>
      </c>
      <c r="E37" s="263">
        <v>5608818</v>
      </c>
      <c r="F37" s="263">
        <v>370000</v>
      </c>
      <c r="G37" s="263">
        <v>0</v>
      </c>
      <c r="H37" s="253">
        <v>40905.5</v>
      </c>
      <c r="I37" s="279">
        <v>8750</v>
      </c>
      <c r="J37" s="253">
        <v>11137.25</v>
      </c>
    </row>
    <row r="38" spans="1:10" ht="12.75">
      <c r="A38" t="s">
        <v>23</v>
      </c>
      <c r="B38" s="263">
        <v>5823771</v>
      </c>
      <c r="C38" s="263">
        <v>93876.83</v>
      </c>
      <c r="D38" s="279">
        <v>148683</v>
      </c>
      <c r="E38" s="263">
        <v>3287731</v>
      </c>
      <c r="F38" s="279">
        <v>362000</v>
      </c>
      <c r="G38" s="279">
        <v>0</v>
      </c>
      <c r="H38" s="253">
        <v>89515.16</v>
      </c>
      <c r="I38" s="281">
        <v>8750</v>
      </c>
      <c r="J38" s="253">
        <v>66454.21</v>
      </c>
    </row>
    <row r="39" spans="1:10" ht="12.75">
      <c r="A39" s="12" t="s">
        <v>24</v>
      </c>
      <c r="B39" s="267">
        <v>1379194</v>
      </c>
      <c r="C39" s="254">
        <v>0</v>
      </c>
      <c r="D39" s="254">
        <f>436.03+41047.23</f>
        <v>41483.26</v>
      </c>
      <c r="E39" s="267">
        <v>2517092</v>
      </c>
      <c r="F39" s="254">
        <v>64000</v>
      </c>
      <c r="G39" s="254">
        <v>0</v>
      </c>
      <c r="H39" s="254">
        <v>0</v>
      </c>
      <c r="I39" s="282">
        <v>8750</v>
      </c>
      <c r="J39" s="254">
        <v>0</v>
      </c>
    </row>
    <row r="40" ht="12.75">
      <c r="F40" s="279"/>
    </row>
    <row r="41" ht="12.75">
      <c r="F41" s="279"/>
    </row>
    <row r="42" spans="3:6" ht="12.75">
      <c r="C42" s="266"/>
      <c r="F42" s="279"/>
    </row>
    <row r="43" ht="12.75">
      <c r="F43" s="279"/>
    </row>
    <row r="44" ht="12.75">
      <c r="F44" s="279"/>
    </row>
    <row r="45" ht="12.75">
      <c r="F45" s="279"/>
    </row>
    <row r="46" ht="12.75">
      <c r="F46" s="279"/>
    </row>
    <row r="47" ht="12.75">
      <c r="F47" s="279"/>
    </row>
    <row r="48" ht="12.75">
      <c r="F48" s="279"/>
    </row>
    <row r="49" ht="12.75">
      <c r="F49" s="279"/>
    </row>
    <row r="50" ht="12.75">
      <c r="F50" s="279"/>
    </row>
    <row r="51" ht="12.75">
      <c r="F51" s="279"/>
    </row>
    <row r="52" ht="12.75">
      <c r="F52" s="279"/>
    </row>
    <row r="53" ht="12.75">
      <c r="F53" s="279"/>
    </row>
    <row r="54" ht="12.75">
      <c r="F54" s="279"/>
    </row>
    <row r="55" ht="12.75">
      <c r="F55" s="279"/>
    </row>
    <row r="56" ht="12.75">
      <c r="F56" s="279"/>
    </row>
    <row r="57" ht="12.75">
      <c r="F57" s="279"/>
    </row>
    <row r="58" ht="12.75">
      <c r="F58" s="279"/>
    </row>
    <row r="59" ht="12.75">
      <c r="F59" s="279"/>
    </row>
    <row r="60" ht="12.75">
      <c r="F60" s="279"/>
    </row>
    <row r="61" ht="12.75">
      <c r="F61" s="279"/>
    </row>
    <row r="62" ht="12.75">
      <c r="F62" s="279"/>
    </row>
    <row r="63" ht="12.75">
      <c r="F63" s="279"/>
    </row>
    <row r="64" ht="12.75">
      <c r="F64" s="279"/>
    </row>
    <row r="65" ht="12.75">
      <c r="F65" s="279"/>
    </row>
    <row r="66" ht="12.75">
      <c r="F66" s="279"/>
    </row>
    <row r="67" ht="12.75">
      <c r="F67" s="279"/>
    </row>
    <row r="68" ht="12.75">
      <c r="F68" s="279"/>
    </row>
    <row r="69" ht="12.75">
      <c r="F69" s="279"/>
    </row>
    <row r="70" ht="12.75">
      <c r="F70" s="279"/>
    </row>
    <row r="71" ht="12.75">
      <c r="F71" s="279"/>
    </row>
    <row r="72" ht="12.75">
      <c r="F72" s="279"/>
    </row>
    <row r="73" ht="12.75">
      <c r="F73" s="279"/>
    </row>
    <row r="74" ht="12.75">
      <c r="F74" s="279"/>
    </row>
    <row r="75" ht="12.75">
      <c r="F75" s="279"/>
    </row>
    <row r="76" ht="12.75">
      <c r="F76" s="279"/>
    </row>
    <row r="77" ht="12.75">
      <c r="F77" s="279"/>
    </row>
    <row r="78" ht="12.75">
      <c r="F78" s="279"/>
    </row>
    <row r="79" ht="12.75">
      <c r="F79" s="279"/>
    </row>
    <row r="80" ht="12.75">
      <c r="F80" s="279"/>
    </row>
    <row r="81" ht="12.75">
      <c r="F81" s="279"/>
    </row>
    <row r="82" ht="12.75">
      <c r="F82" s="279"/>
    </row>
    <row r="83" ht="12.75">
      <c r="F83" s="279"/>
    </row>
    <row r="84" ht="12.75">
      <c r="F84" s="279"/>
    </row>
    <row r="85" ht="12.75">
      <c r="F85" s="279"/>
    </row>
    <row r="86" ht="12.75">
      <c r="F86" s="279"/>
    </row>
    <row r="87" ht="12.75">
      <c r="F87" s="279"/>
    </row>
    <row r="88" ht="12.75">
      <c r="F88" s="279"/>
    </row>
    <row r="89" ht="12.75">
      <c r="F89" s="279"/>
    </row>
    <row r="90" ht="12.75">
      <c r="F90" s="279"/>
    </row>
    <row r="91" ht="12.75">
      <c r="F91" s="279"/>
    </row>
    <row r="92" ht="12.75">
      <c r="F92" s="279"/>
    </row>
    <row r="93" ht="12.75">
      <c r="F93" s="279"/>
    </row>
    <row r="94" ht="12.75">
      <c r="F94" s="279"/>
    </row>
    <row r="95" ht="12.75">
      <c r="F95" s="279"/>
    </row>
    <row r="96" ht="12.75">
      <c r="F96" s="279"/>
    </row>
    <row r="97" ht="12.75">
      <c r="F97" s="279"/>
    </row>
    <row r="98" ht="12.75">
      <c r="F98" s="279"/>
    </row>
    <row r="99" ht="12.75">
      <c r="F99" s="279"/>
    </row>
    <row r="100" ht="12.75">
      <c r="F100" s="279"/>
    </row>
    <row r="101" ht="12.75">
      <c r="F101" s="279"/>
    </row>
    <row r="102" ht="12.75">
      <c r="F102" s="279"/>
    </row>
    <row r="103" ht="12.75">
      <c r="F103" s="279"/>
    </row>
    <row r="104" ht="12.75">
      <c r="F104" s="279"/>
    </row>
    <row r="105" ht="12.75">
      <c r="F105" s="279"/>
    </row>
    <row r="106" ht="12.75">
      <c r="F106" s="279"/>
    </row>
    <row r="107" ht="12.75">
      <c r="F107" s="279"/>
    </row>
    <row r="108" ht="12.75">
      <c r="F108" s="279"/>
    </row>
    <row r="109" ht="12.75">
      <c r="F109" s="279"/>
    </row>
    <row r="110" ht="12.75">
      <c r="F110" s="279"/>
    </row>
    <row r="111" ht="12.75">
      <c r="F111" s="279"/>
    </row>
    <row r="112" ht="12.75">
      <c r="F112" s="279"/>
    </row>
    <row r="113" ht="12.75">
      <c r="F113" s="279"/>
    </row>
    <row r="114" ht="12.75">
      <c r="F114" s="279"/>
    </row>
    <row r="115" ht="12.75">
      <c r="F115" s="279"/>
    </row>
    <row r="116" ht="12.75">
      <c r="F116" s="279"/>
    </row>
    <row r="117" ht="12.75">
      <c r="F117" s="279"/>
    </row>
    <row r="118" ht="12.75">
      <c r="F118" s="279"/>
    </row>
    <row r="119" ht="12.75">
      <c r="F119" s="279"/>
    </row>
    <row r="120" ht="12.75">
      <c r="F120" s="279"/>
    </row>
    <row r="121" ht="12.75">
      <c r="F121" s="279"/>
    </row>
    <row r="122" ht="12.75">
      <c r="F122" s="279"/>
    </row>
    <row r="123" ht="12.75">
      <c r="F123" s="279"/>
    </row>
    <row r="124" ht="12.75">
      <c r="F124" s="279"/>
    </row>
    <row r="125" ht="12.75">
      <c r="F125" s="279"/>
    </row>
    <row r="126" ht="12.75">
      <c r="F126" s="279"/>
    </row>
    <row r="127" ht="12.75">
      <c r="F127" s="279"/>
    </row>
    <row r="128" ht="12.75">
      <c r="F128" s="279"/>
    </row>
    <row r="129" ht="12.75">
      <c r="F129" s="279"/>
    </row>
    <row r="130" ht="12.75">
      <c r="F130" s="279"/>
    </row>
    <row r="131" ht="12.75">
      <c r="F131" s="279"/>
    </row>
    <row r="132" ht="12.75">
      <c r="F132" s="279"/>
    </row>
    <row r="133" ht="12.75">
      <c r="F133" s="279"/>
    </row>
    <row r="134" ht="12.75">
      <c r="F134" s="279"/>
    </row>
    <row r="135" ht="12.75">
      <c r="F135" s="279"/>
    </row>
    <row r="136" ht="12.75">
      <c r="F136" s="279"/>
    </row>
    <row r="137" ht="12.75">
      <c r="F137" s="279"/>
    </row>
    <row r="138" ht="12.75">
      <c r="F138" s="279"/>
    </row>
    <row r="139" ht="12.75">
      <c r="F139" s="279"/>
    </row>
    <row r="140" ht="12.75">
      <c r="F140" s="279"/>
    </row>
    <row r="141" ht="12.75">
      <c r="F141" s="279"/>
    </row>
    <row r="142" ht="12.75">
      <c r="F142" s="279"/>
    </row>
    <row r="143" ht="12.75">
      <c r="F143" s="279"/>
    </row>
    <row r="144" ht="12.75">
      <c r="F144" s="279"/>
    </row>
    <row r="145" ht="12.75">
      <c r="F145" s="279"/>
    </row>
    <row r="146" ht="12.75">
      <c r="F146" s="279"/>
    </row>
    <row r="147" ht="12.75">
      <c r="F147" s="279"/>
    </row>
    <row r="148" ht="12.75">
      <c r="F148" s="279"/>
    </row>
    <row r="149" ht="12.75">
      <c r="F149" s="279"/>
    </row>
    <row r="150" ht="12.75">
      <c r="F150" s="279"/>
    </row>
    <row r="151" ht="12.75">
      <c r="F151" s="279"/>
    </row>
    <row r="152" ht="12.75">
      <c r="F152" s="279"/>
    </row>
    <row r="153" ht="12.75">
      <c r="F153" s="279"/>
    </row>
    <row r="154" ht="12.75">
      <c r="F154" s="279"/>
    </row>
    <row r="155" ht="12.75">
      <c r="F155" s="279"/>
    </row>
    <row r="156" ht="12.75">
      <c r="F156" s="279"/>
    </row>
    <row r="157" ht="12.75">
      <c r="F157" s="279"/>
    </row>
    <row r="158" ht="12.75">
      <c r="F158" s="279"/>
    </row>
    <row r="159" ht="12.75">
      <c r="F159" s="279"/>
    </row>
    <row r="160" ht="12.75">
      <c r="F160" s="279"/>
    </row>
    <row r="161" ht="12.75">
      <c r="F161" s="279"/>
    </row>
    <row r="162" ht="12.75">
      <c r="F162" s="279"/>
    </row>
    <row r="163" ht="12.75">
      <c r="F163" s="279"/>
    </row>
    <row r="164" ht="12.75">
      <c r="F164" s="279"/>
    </row>
    <row r="165" ht="12.75">
      <c r="F165" s="279"/>
    </row>
    <row r="166" ht="12.75">
      <c r="F166" s="279"/>
    </row>
    <row r="167" ht="12.75">
      <c r="F167" s="279"/>
    </row>
    <row r="168" ht="12.75">
      <c r="F168" s="279"/>
    </row>
    <row r="169" ht="12.75">
      <c r="F169" s="279"/>
    </row>
    <row r="170" ht="12.75">
      <c r="F170" s="279"/>
    </row>
    <row r="171" ht="12.75">
      <c r="F171" s="279"/>
    </row>
    <row r="172" ht="12.75">
      <c r="F172" s="279"/>
    </row>
    <row r="173" ht="12.75">
      <c r="F173" s="279"/>
    </row>
    <row r="174" ht="12.75">
      <c r="F174" s="279"/>
    </row>
    <row r="175" ht="12.75">
      <c r="F175" s="279"/>
    </row>
    <row r="176" ht="12.75">
      <c r="F176" s="279"/>
    </row>
    <row r="177" ht="12.75">
      <c r="F177" s="279"/>
    </row>
    <row r="178" ht="12.75">
      <c r="F178" s="279"/>
    </row>
    <row r="179" ht="12.75">
      <c r="F179" s="279"/>
    </row>
    <row r="180" ht="12.75">
      <c r="F180" s="279"/>
    </row>
    <row r="181" ht="12.75">
      <c r="F181" s="279"/>
    </row>
    <row r="182" ht="12.75">
      <c r="F182" s="279"/>
    </row>
    <row r="183" ht="12.75">
      <c r="F183" s="279"/>
    </row>
    <row r="184" ht="12.75">
      <c r="F184" s="279"/>
    </row>
    <row r="185" ht="12.75">
      <c r="F185" s="279"/>
    </row>
    <row r="186" ht="12.75">
      <c r="F186" s="279"/>
    </row>
    <row r="187" ht="12.75">
      <c r="F187" s="279"/>
    </row>
    <row r="188" ht="12.75">
      <c r="F188" s="279"/>
    </row>
    <row r="189" ht="12.75">
      <c r="F189" s="279"/>
    </row>
    <row r="190" ht="12.75">
      <c r="F190" s="279"/>
    </row>
    <row r="191" ht="12.75">
      <c r="F191" s="279"/>
    </row>
    <row r="192" ht="12.75">
      <c r="F192" s="279"/>
    </row>
    <row r="193" ht="12.75">
      <c r="F193" s="279"/>
    </row>
    <row r="194" ht="12.75">
      <c r="F194" s="279"/>
    </row>
    <row r="195" ht="12.75">
      <c r="F195" s="279"/>
    </row>
    <row r="196" ht="12.75">
      <c r="F196" s="279"/>
    </row>
    <row r="197" ht="12.75">
      <c r="F197" s="279"/>
    </row>
    <row r="198" ht="12.75">
      <c r="F198" s="279"/>
    </row>
    <row r="199" ht="12.75">
      <c r="F199" s="279"/>
    </row>
    <row r="200" ht="12.75">
      <c r="F200" s="279"/>
    </row>
    <row r="201" ht="12.75">
      <c r="F201" s="279"/>
    </row>
    <row r="202" ht="12.75">
      <c r="F202" s="279"/>
    </row>
    <row r="203" ht="12.75">
      <c r="F203" s="279"/>
    </row>
    <row r="204" ht="12.75">
      <c r="F204" s="279"/>
    </row>
    <row r="205" ht="12.75">
      <c r="F205" s="279"/>
    </row>
    <row r="206" ht="12.75">
      <c r="F206" s="279"/>
    </row>
    <row r="207" ht="12.75">
      <c r="F207" s="279"/>
    </row>
    <row r="208" ht="12.75">
      <c r="F208" s="279"/>
    </row>
    <row r="209" ht="12.75">
      <c r="F209" s="279"/>
    </row>
    <row r="210" ht="12.75">
      <c r="F210" s="279"/>
    </row>
    <row r="211" ht="12.75">
      <c r="F211" s="279"/>
    </row>
    <row r="212" ht="12.75">
      <c r="F212" s="279"/>
    </row>
    <row r="213" ht="12.75">
      <c r="F213" s="279"/>
    </row>
    <row r="214" ht="12.75">
      <c r="F214" s="279"/>
    </row>
    <row r="215" ht="12.75">
      <c r="F215" s="279"/>
    </row>
    <row r="216" ht="12.75">
      <c r="F216" s="279"/>
    </row>
    <row r="217" ht="12.75">
      <c r="F217" s="279"/>
    </row>
    <row r="218" ht="12.75">
      <c r="F218" s="279"/>
    </row>
    <row r="219" ht="12.75">
      <c r="F219" s="279"/>
    </row>
    <row r="220" ht="12.75">
      <c r="F220" s="279"/>
    </row>
    <row r="221" ht="12.75">
      <c r="F221" s="279"/>
    </row>
    <row r="222" ht="12.75">
      <c r="F222" s="279"/>
    </row>
    <row r="223" ht="12.75">
      <c r="F223" s="279"/>
    </row>
    <row r="224" ht="12.75">
      <c r="F224" s="279"/>
    </row>
    <row r="225" ht="12.75">
      <c r="F225" s="279"/>
    </row>
    <row r="226" ht="12.75">
      <c r="F226" s="279"/>
    </row>
    <row r="227" ht="12.75">
      <c r="F227" s="279"/>
    </row>
    <row r="228" ht="12.75">
      <c r="F228" s="279"/>
    </row>
    <row r="229" ht="12.75">
      <c r="F229" s="279"/>
    </row>
    <row r="230" ht="12.75">
      <c r="F230" s="279"/>
    </row>
    <row r="231" ht="12.75">
      <c r="F231" s="279"/>
    </row>
    <row r="232" ht="12.75">
      <c r="F232" s="279"/>
    </row>
    <row r="233" ht="12.75">
      <c r="F233" s="279"/>
    </row>
    <row r="234" ht="12.75">
      <c r="F234" s="279"/>
    </row>
    <row r="235" ht="12.75">
      <c r="F235" s="279"/>
    </row>
    <row r="236" ht="12.75">
      <c r="F236" s="279"/>
    </row>
    <row r="237" ht="12.75">
      <c r="F237" s="279"/>
    </row>
    <row r="238" ht="12.75">
      <c r="F238" s="279"/>
    </row>
    <row r="239" ht="12.75">
      <c r="F239" s="279"/>
    </row>
    <row r="240" ht="12.75">
      <c r="F240" s="279"/>
    </row>
    <row r="241" ht="12.75">
      <c r="F241" s="279"/>
    </row>
    <row r="242" ht="12.75">
      <c r="F242" s="279"/>
    </row>
    <row r="243" ht="12.75">
      <c r="F243" s="279"/>
    </row>
    <row r="244" ht="12.75">
      <c r="F244" s="279"/>
    </row>
    <row r="245" ht="12.75">
      <c r="F245" s="279"/>
    </row>
    <row r="246" ht="12.75">
      <c r="F246" s="279"/>
    </row>
    <row r="247" ht="12.75">
      <c r="F247" s="279"/>
    </row>
    <row r="248" ht="12.75">
      <c r="F248" s="279"/>
    </row>
    <row r="249" ht="12.75">
      <c r="F249" s="279"/>
    </row>
    <row r="250" ht="12.75">
      <c r="F250" s="279"/>
    </row>
    <row r="251" ht="12.75">
      <c r="F251" s="279"/>
    </row>
    <row r="252" ht="12.75">
      <c r="F252" s="279"/>
    </row>
    <row r="253" ht="12.75">
      <c r="F253" s="279"/>
    </row>
    <row r="254" ht="12.75">
      <c r="F254" s="279"/>
    </row>
    <row r="255" ht="12.75">
      <c r="F255" s="279"/>
    </row>
    <row r="256" ht="12.75">
      <c r="F256" s="279"/>
    </row>
    <row r="257" ht="12.75">
      <c r="F257" s="279"/>
    </row>
    <row r="258" ht="12.75">
      <c r="F258" s="279"/>
    </row>
    <row r="259" ht="12.75">
      <c r="F259" s="279"/>
    </row>
    <row r="260" ht="12.75">
      <c r="F260" s="279"/>
    </row>
    <row r="261" ht="12.75">
      <c r="F261" s="279"/>
    </row>
    <row r="262" ht="12.75">
      <c r="F262" s="279"/>
    </row>
    <row r="263" ht="12.75">
      <c r="F263" s="279"/>
    </row>
    <row r="264" ht="12.75">
      <c r="F264" s="279"/>
    </row>
    <row r="265" ht="12.75">
      <c r="F265" s="279"/>
    </row>
    <row r="266" ht="12.75">
      <c r="F266" s="279"/>
    </row>
    <row r="267" ht="12.75">
      <c r="F267" s="279"/>
    </row>
    <row r="268" ht="12.75">
      <c r="F268" s="279"/>
    </row>
    <row r="269" ht="12.75">
      <c r="F269" s="279"/>
    </row>
    <row r="270" ht="12.75">
      <c r="F270" s="279"/>
    </row>
    <row r="271" ht="12.75">
      <c r="F271" s="279"/>
    </row>
    <row r="272" ht="12.75">
      <c r="F272" s="279"/>
    </row>
    <row r="273" ht="12.75">
      <c r="F273" s="279"/>
    </row>
    <row r="274" ht="12.75">
      <c r="F274" s="279"/>
    </row>
    <row r="275" ht="12.75">
      <c r="F275" s="279"/>
    </row>
    <row r="276" ht="12.75">
      <c r="F276" s="279"/>
    </row>
    <row r="277" ht="12.75">
      <c r="F277" s="279"/>
    </row>
    <row r="278" ht="12.75">
      <c r="F278" s="279"/>
    </row>
    <row r="279" ht="12.75">
      <c r="F279" s="279"/>
    </row>
    <row r="280" ht="12.75">
      <c r="F280" s="279"/>
    </row>
    <row r="281" ht="12.75">
      <c r="F281" s="279"/>
    </row>
    <row r="282" ht="12.75">
      <c r="F282" s="279"/>
    </row>
    <row r="283" ht="12.75">
      <c r="F283" s="279"/>
    </row>
    <row r="284" ht="12.75">
      <c r="F284" s="279"/>
    </row>
    <row r="285" ht="12.75">
      <c r="F285" s="279"/>
    </row>
    <row r="286" ht="12.75">
      <c r="F286" s="279"/>
    </row>
    <row r="287" ht="12.75">
      <c r="F287" s="279"/>
    </row>
    <row r="288" ht="12.75">
      <c r="F288" s="279"/>
    </row>
    <row r="289" ht="12.75">
      <c r="F289" s="279"/>
    </row>
    <row r="290" ht="12.75">
      <c r="F290" s="279"/>
    </row>
    <row r="291" ht="12.75">
      <c r="F291" s="279"/>
    </row>
    <row r="292" ht="12.75">
      <c r="F292" s="279"/>
    </row>
    <row r="293" ht="12.75">
      <c r="F293" s="279"/>
    </row>
    <row r="294" ht="12.75">
      <c r="F294" s="279"/>
    </row>
    <row r="295" ht="12.75">
      <c r="F295" s="279"/>
    </row>
    <row r="296" ht="12.75">
      <c r="F296" s="279"/>
    </row>
    <row r="297" ht="12.75">
      <c r="F297" s="279"/>
    </row>
    <row r="298" ht="12.75">
      <c r="F298" s="279"/>
    </row>
    <row r="299" ht="12.75">
      <c r="F299" s="279"/>
    </row>
    <row r="300" ht="12.75">
      <c r="F300" s="279"/>
    </row>
    <row r="301" ht="12.75">
      <c r="F301" s="279"/>
    </row>
    <row r="302" ht="12.75">
      <c r="F302" s="279"/>
    </row>
    <row r="303" ht="12.75">
      <c r="F303" s="279"/>
    </row>
    <row r="304" ht="12.75">
      <c r="F304" s="279"/>
    </row>
    <row r="305" ht="12.75">
      <c r="F305" s="279"/>
    </row>
    <row r="306" ht="12.75">
      <c r="F306" s="279"/>
    </row>
    <row r="307" ht="12.75">
      <c r="F307" s="279"/>
    </row>
    <row r="308" ht="12.75">
      <c r="F308" s="279"/>
    </row>
    <row r="309" ht="12.75">
      <c r="F309" s="279"/>
    </row>
    <row r="310" ht="12.75">
      <c r="F310" s="279"/>
    </row>
    <row r="311" ht="12.75">
      <c r="F311" s="279"/>
    </row>
    <row r="312" ht="12.75">
      <c r="F312" s="279"/>
    </row>
    <row r="313" ht="12.75">
      <c r="F313" s="279"/>
    </row>
    <row r="314" ht="12.75">
      <c r="F314" s="279"/>
    </row>
    <row r="315" ht="12.75">
      <c r="F315" s="279"/>
    </row>
    <row r="316" ht="12.75">
      <c r="F316" s="279"/>
    </row>
    <row r="317" ht="12.75">
      <c r="F317" s="279"/>
    </row>
    <row r="318" ht="12.75">
      <c r="F318" s="279"/>
    </row>
    <row r="319" ht="12.75">
      <c r="F319" s="279"/>
    </row>
    <row r="320" ht="12.75">
      <c r="F320" s="279"/>
    </row>
    <row r="321" ht="12.75">
      <c r="F321" s="279"/>
    </row>
    <row r="322" ht="12.75">
      <c r="F322" s="279"/>
    </row>
    <row r="323" ht="12.75">
      <c r="F323" s="279"/>
    </row>
    <row r="324" ht="12.75">
      <c r="F324" s="279"/>
    </row>
    <row r="325" ht="12.75">
      <c r="F325" s="279"/>
    </row>
    <row r="326" ht="12.75">
      <c r="F326" s="279"/>
    </row>
    <row r="327" ht="12.75">
      <c r="F327" s="279"/>
    </row>
    <row r="328" ht="12.75">
      <c r="F328" s="279"/>
    </row>
    <row r="329" ht="12.75">
      <c r="F329" s="279"/>
    </row>
    <row r="330" ht="12.75">
      <c r="F330" s="279"/>
    </row>
    <row r="331" ht="12.75">
      <c r="F331" s="279"/>
    </row>
    <row r="332" ht="12.75">
      <c r="F332" s="279"/>
    </row>
    <row r="333" ht="12.75">
      <c r="F333" s="279"/>
    </row>
    <row r="334" ht="12.75">
      <c r="F334" s="279"/>
    </row>
    <row r="335" ht="12.75">
      <c r="F335" s="279"/>
    </row>
    <row r="336" ht="12.75">
      <c r="F336" s="279"/>
    </row>
    <row r="337" ht="12.75">
      <c r="F337" s="279"/>
    </row>
    <row r="338" ht="12.75">
      <c r="F338" s="279"/>
    </row>
    <row r="339" ht="12.75">
      <c r="F339" s="279"/>
    </row>
    <row r="340" ht="12.75">
      <c r="F340" s="279"/>
    </row>
  </sheetData>
  <sheetProtection password="CAF5" sheet="1"/>
  <mergeCells count="11">
    <mergeCell ref="E6:G6"/>
    <mergeCell ref="A1:J1"/>
    <mergeCell ref="A3:J3"/>
    <mergeCell ref="H6:J6"/>
    <mergeCell ref="B5:J5"/>
    <mergeCell ref="B6:D6"/>
    <mergeCell ref="D7:D9"/>
    <mergeCell ref="I7:I9"/>
    <mergeCell ref="J7:J9"/>
    <mergeCell ref="E7:E9"/>
    <mergeCell ref="F7:F9"/>
  </mergeCells>
  <printOptions horizontalCentered="1"/>
  <pageMargins left="0.68" right="0.61" top="0.83" bottom="1" header="0.67" footer="0.5"/>
  <pageSetup fitToHeight="1" fitToWidth="1" horizontalDpi="600" verticalDpi="600" orientation="landscape" scale="90" r:id="rId1"/>
  <headerFooter>
    <oddFooter>&amp;L&amp;"Arial,Italic"&amp;9MSDE-LFRO 09 / 2010&amp;C- 8 -&amp;R&amp;"Arial,Italic"&amp;9Selected Financial Data-Part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workbookViewId="0" topLeftCell="A10">
      <selection activeCell="F17" sqref="F17"/>
    </sheetView>
  </sheetViews>
  <sheetFormatPr defaultColWidth="9.140625" defaultRowHeight="12.75"/>
  <cols>
    <col min="1" max="1" width="13.8515625" style="0" customWidth="1"/>
    <col min="2" max="2" width="11.28125" style="307" customWidth="1"/>
    <col min="3" max="3" width="15.00390625" style="307" bestFit="1" customWidth="1"/>
    <col min="4" max="4" width="18.28125" style="307" customWidth="1"/>
    <col min="5" max="5" width="14.421875" style="307" customWidth="1"/>
    <col min="6" max="6" width="14.8515625" style="307" customWidth="1"/>
    <col min="7" max="8" width="15.57421875" style="307" customWidth="1"/>
    <col min="9" max="9" width="17.421875" style="299" customWidth="1"/>
    <col min="10" max="10" width="15.140625" style="0" customWidth="1"/>
    <col min="11" max="11" width="12.421875" style="0" customWidth="1"/>
    <col min="12" max="12" width="13.28125" style="0" customWidth="1"/>
  </cols>
  <sheetData>
    <row r="1" spans="1:12" ht="12.75">
      <c r="A1" s="397" t="s">
        <v>123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</row>
    <row r="3" spans="1:12" ht="12.75">
      <c r="A3" s="392" t="s">
        <v>258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</row>
    <row r="4" spans="1:12" ht="13.5" thickBot="1">
      <c r="A4" s="83"/>
      <c r="B4" s="313"/>
      <c r="C4" s="313"/>
      <c r="D4" s="313"/>
      <c r="E4" s="313"/>
      <c r="F4" s="313"/>
      <c r="G4" s="313"/>
      <c r="H4" s="313"/>
      <c r="I4" s="313"/>
      <c r="J4" s="11"/>
      <c r="K4" s="11"/>
      <c r="L4" s="11"/>
    </row>
    <row r="5" spans="1:12" ht="15" customHeight="1" thickTop="1">
      <c r="A5" s="453" t="s">
        <v>47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</row>
    <row r="6" spans="1:24" ht="12.75" customHeight="1">
      <c r="A6" s="436" t="s">
        <v>170</v>
      </c>
      <c r="B6" s="425" t="s">
        <v>128</v>
      </c>
      <c r="C6" s="426"/>
      <c r="D6" s="426"/>
      <c r="E6" s="426"/>
      <c r="F6" s="426"/>
      <c r="G6" s="442"/>
      <c r="H6" s="439" t="s">
        <v>130</v>
      </c>
      <c r="I6" s="440"/>
      <c r="J6" s="441"/>
      <c r="K6" s="458" t="s">
        <v>257</v>
      </c>
      <c r="L6" s="451" t="s">
        <v>156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12" ht="12.75" customHeight="1">
      <c r="A7" s="436"/>
      <c r="B7" s="435" t="s">
        <v>287</v>
      </c>
      <c r="C7" s="454" t="s">
        <v>171</v>
      </c>
      <c r="D7" s="446" t="s">
        <v>291</v>
      </c>
      <c r="E7" s="446" t="s">
        <v>292</v>
      </c>
      <c r="F7" s="451" t="s">
        <v>173</v>
      </c>
      <c r="G7" s="450" t="s">
        <v>174</v>
      </c>
      <c r="H7" s="443" t="s">
        <v>25</v>
      </c>
      <c r="I7" s="440" t="s">
        <v>169</v>
      </c>
      <c r="J7" s="441"/>
      <c r="K7" s="459"/>
      <c r="L7" s="452"/>
    </row>
    <row r="8" spans="1:12" ht="12.75" customHeight="1">
      <c r="A8" s="436"/>
      <c r="B8" s="436"/>
      <c r="C8" s="455"/>
      <c r="D8" s="447"/>
      <c r="E8" s="447"/>
      <c r="F8" s="456"/>
      <c r="G8" s="415"/>
      <c r="H8" s="445"/>
      <c r="I8" s="443" t="s">
        <v>285</v>
      </c>
      <c r="J8" s="443" t="s">
        <v>286</v>
      </c>
      <c r="K8" s="459"/>
      <c r="L8" s="452"/>
    </row>
    <row r="9" spans="1:12" ht="12.75" customHeight="1" thickBot="1">
      <c r="A9" s="449"/>
      <c r="B9" s="449"/>
      <c r="C9" s="416"/>
      <c r="D9" s="448"/>
      <c r="E9" s="448"/>
      <c r="F9" s="457"/>
      <c r="G9" s="416"/>
      <c r="H9" s="444"/>
      <c r="I9" s="444"/>
      <c r="J9" s="444"/>
      <c r="K9" s="460"/>
      <c r="L9" s="449"/>
    </row>
    <row r="10" spans="1:12" ht="12.75">
      <c r="A10" s="48" t="s">
        <v>0</v>
      </c>
      <c r="B10" s="355">
        <f aca="true" t="shared" si="0" ref="B10:G10">SUM(B12:B39)</f>
        <v>2185370.5</v>
      </c>
      <c r="C10" s="355">
        <f t="shared" si="0"/>
        <v>7603708.36</v>
      </c>
      <c r="D10" s="355">
        <f t="shared" si="0"/>
        <v>38029747</v>
      </c>
      <c r="E10" s="355">
        <f t="shared" si="0"/>
        <v>12281.09</v>
      </c>
      <c r="F10" s="355">
        <f t="shared" si="0"/>
        <v>4601651.6</v>
      </c>
      <c r="G10" s="355">
        <f t="shared" si="0"/>
        <v>4626063.340000002</v>
      </c>
      <c r="H10" s="355">
        <f>SUM(H12:H38)</f>
        <v>141636.14</v>
      </c>
      <c r="I10" s="355">
        <f>SUM(I12:I39)</f>
        <v>121757</v>
      </c>
      <c r="J10" s="355">
        <f>SUM(J12:J39)</f>
        <v>2116356.42</v>
      </c>
      <c r="K10" s="355">
        <f>SUM(K12:K39)</f>
        <v>106202.22</v>
      </c>
      <c r="L10" s="355">
        <f>SUM(L12:L39)</f>
        <v>27692308.02000001</v>
      </c>
    </row>
    <row r="11" spans="1:12" s="44" customFormat="1" ht="12.75">
      <c r="A11" s="3"/>
      <c r="B11" s="279"/>
      <c r="C11" s="279"/>
      <c r="D11" s="342"/>
      <c r="E11" s="342"/>
      <c r="F11" s="279"/>
      <c r="G11" s="279"/>
      <c r="H11" s="279"/>
      <c r="I11" s="279"/>
      <c r="J11" s="279"/>
      <c r="K11" s="279"/>
      <c r="L11" s="307"/>
    </row>
    <row r="12" spans="1:12" ht="12.75">
      <c r="A12" t="s">
        <v>1</v>
      </c>
      <c r="B12" s="279">
        <v>117754.93</v>
      </c>
      <c r="C12" s="279">
        <f>10000+38000</f>
        <v>48000</v>
      </c>
      <c r="D12" s="343">
        <v>0</v>
      </c>
      <c r="E12" s="343">
        <v>0</v>
      </c>
      <c r="F12" s="279">
        <v>334630.33999999997</v>
      </c>
      <c r="G12" s="279">
        <v>0</v>
      </c>
      <c r="H12" s="263">
        <v>37396</v>
      </c>
      <c r="I12" s="263">
        <v>14662</v>
      </c>
      <c r="J12" s="263">
        <v>136020</v>
      </c>
      <c r="K12" s="279">
        <v>19402</v>
      </c>
      <c r="L12" s="279">
        <f>438995.39</f>
        <v>438995.39</v>
      </c>
    </row>
    <row r="13" spans="1:12" ht="12.75">
      <c r="A13" t="s">
        <v>2</v>
      </c>
      <c r="B13" s="279">
        <v>207993.12</v>
      </c>
      <c r="C13" s="279">
        <v>0</v>
      </c>
      <c r="D13" s="268">
        <v>2588349</v>
      </c>
      <c r="E13" s="343">
        <v>0</v>
      </c>
      <c r="F13" s="279">
        <v>65069.39</v>
      </c>
      <c r="G13" s="279">
        <v>0</v>
      </c>
      <c r="H13" s="279">
        <v>17279</v>
      </c>
      <c r="I13" s="279">
        <v>47879</v>
      </c>
      <c r="J13" s="279">
        <v>134929.78</v>
      </c>
      <c r="K13" s="279">
        <v>6000</v>
      </c>
      <c r="L13" s="279">
        <f>290257.59+618690</f>
        <v>908947.5900000001</v>
      </c>
    </row>
    <row r="14" spans="1:12" ht="12.75">
      <c r="A14" t="s">
        <v>3</v>
      </c>
      <c r="B14" s="279">
        <v>64639.56</v>
      </c>
      <c r="C14" s="279">
        <f>5000+1962000+42000</f>
        <v>2009000</v>
      </c>
      <c r="D14" s="268">
        <v>6515753</v>
      </c>
      <c r="E14" s="343">
        <v>0</v>
      </c>
      <c r="F14" s="279">
        <v>63146.16</v>
      </c>
      <c r="G14" s="279">
        <v>800990.2700000001</v>
      </c>
      <c r="H14" s="279">
        <v>0</v>
      </c>
      <c r="I14" s="279">
        <v>0</v>
      </c>
      <c r="J14" s="279">
        <v>0</v>
      </c>
      <c r="K14" s="279">
        <v>0</v>
      </c>
      <c r="L14" s="279">
        <f>65941369.58+35701.98+133510.09+177444.77-37893528-25076647</f>
        <v>3317851.420000002</v>
      </c>
    </row>
    <row r="15" spans="1:12" ht="12.75">
      <c r="A15" t="s">
        <v>4</v>
      </c>
      <c r="B15" s="279">
        <v>50911.01</v>
      </c>
      <c r="C15" s="279">
        <f>150000+604000</f>
        <v>754000</v>
      </c>
      <c r="D15" s="268">
        <v>1606925</v>
      </c>
      <c r="E15" s="268">
        <v>12281.09</v>
      </c>
      <c r="F15" s="279">
        <f>24237.32+18385.16</f>
        <v>42622.479999999996</v>
      </c>
      <c r="G15" s="279">
        <v>340688.38</v>
      </c>
      <c r="H15" s="263">
        <v>36028</v>
      </c>
      <c r="I15" s="263">
        <v>0</v>
      </c>
      <c r="J15" s="279">
        <v>270984</v>
      </c>
      <c r="K15" s="279">
        <v>6000</v>
      </c>
      <c r="L15" s="279">
        <f>2968226+1940972.15+1913155.23-1606925</f>
        <v>5215428.380000001</v>
      </c>
    </row>
    <row r="16" spans="1:12" ht="12.75">
      <c r="A16" t="s">
        <v>5</v>
      </c>
      <c r="B16" s="279">
        <v>64462.69</v>
      </c>
      <c r="C16" s="263">
        <v>0</v>
      </c>
      <c r="D16" s="278">
        <v>714882</v>
      </c>
      <c r="E16" s="343">
        <v>0</v>
      </c>
      <c r="F16" s="263">
        <v>316639.81</v>
      </c>
      <c r="G16" s="279">
        <v>0</v>
      </c>
      <c r="H16" s="263">
        <v>4510</v>
      </c>
      <c r="I16" s="263">
        <v>12249</v>
      </c>
      <c r="J16" s="279">
        <v>183626</v>
      </c>
      <c r="K16" s="279">
        <v>6000</v>
      </c>
      <c r="L16" s="279">
        <f>14403.08+515497.46</f>
        <v>529900.54</v>
      </c>
    </row>
    <row r="17" spans="2:12" ht="12.75">
      <c r="B17" s="279"/>
      <c r="C17" s="279"/>
      <c r="D17" s="268"/>
      <c r="E17" s="268"/>
      <c r="F17" s="279"/>
      <c r="G17" s="279"/>
      <c r="H17" s="279"/>
      <c r="I17" s="279"/>
      <c r="J17" s="279"/>
      <c r="K17" s="279"/>
      <c r="L17" s="279"/>
    </row>
    <row r="18" spans="1:12" ht="12.75">
      <c r="A18" t="s">
        <v>6</v>
      </c>
      <c r="B18" s="279">
        <v>85511.90000000001</v>
      </c>
      <c r="C18" s="292">
        <v>29000</v>
      </c>
      <c r="D18" s="343">
        <v>0</v>
      </c>
      <c r="E18" s="343">
        <v>0</v>
      </c>
      <c r="F18" s="279">
        <v>43216.7</v>
      </c>
      <c r="G18" s="279">
        <v>293636.3</v>
      </c>
      <c r="H18" s="279">
        <v>0</v>
      </c>
      <c r="I18" s="279">
        <v>0</v>
      </c>
      <c r="J18" s="279">
        <v>0</v>
      </c>
      <c r="K18" s="279">
        <v>0</v>
      </c>
      <c r="L18" s="279">
        <f>800+27585.17-4500</f>
        <v>23885.17</v>
      </c>
    </row>
    <row r="19" spans="1:12" ht="12.75">
      <c r="A19" t="s">
        <v>7</v>
      </c>
      <c r="B19" s="279">
        <v>168921.28999999998</v>
      </c>
      <c r="C19" s="279">
        <v>182000</v>
      </c>
      <c r="D19" s="278">
        <v>786912</v>
      </c>
      <c r="E19" s="343">
        <v>0</v>
      </c>
      <c r="F19" s="279">
        <v>52462.07</v>
      </c>
      <c r="G19" s="279">
        <v>361816.48</v>
      </c>
      <c r="H19" s="263">
        <v>0</v>
      </c>
      <c r="I19" s="263">
        <v>0</v>
      </c>
      <c r="J19" s="263">
        <v>0</v>
      </c>
      <c r="K19" s="279">
        <v>0</v>
      </c>
      <c r="L19" s="279">
        <f>338122.36+590.72+50653.85+150+1161.67</f>
        <v>390678.5999999999</v>
      </c>
    </row>
    <row r="20" spans="1:12" ht="12.75">
      <c r="A20" t="s">
        <v>8</v>
      </c>
      <c r="B20" s="263">
        <v>70209.22</v>
      </c>
      <c r="C20" s="279">
        <v>78000</v>
      </c>
      <c r="D20" s="343">
        <v>0</v>
      </c>
      <c r="E20" s="343">
        <v>0</v>
      </c>
      <c r="F20" s="279">
        <v>19820.54</v>
      </c>
      <c r="G20" s="279">
        <v>349332.01</v>
      </c>
      <c r="H20" s="279">
        <v>0</v>
      </c>
      <c r="I20" s="279">
        <v>0</v>
      </c>
      <c r="J20" s="279">
        <v>0</v>
      </c>
      <c r="K20" s="279">
        <v>0</v>
      </c>
      <c r="L20" s="279">
        <f>18536+382575.18</f>
        <v>401111.18</v>
      </c>
    </row>
    <row r="21" spans="1:12" ht="12.75">
      <c r="A21" t="s">
        <v>9</v>
      </c>
      <c r="B21" s="279">
        <v>28637.879999999997</v>
      </c>
      <c r="C21" s="279">
        <v>47000</v>
      </c>
      <c r="D21" s="278">
        <v>1037968</v>
      </c>
      <c r="E21" s="343">
        <v>0</v>
      </c>
      <c r="F21" s="279">
        <v>390901.56</v>
      </c>
      <c r="G21" s="279">
        <v>507498.64</v>
      </c>
      <c r="H21" s="263">
        <v>24390</v>
      </c>
      <c r="I21" s="263">
        <v>28992</v>
      </c>
      <c r="J21" s="263">
        <v>281832.97</v>
      </c>
      <c r="K21" s="279">
        <v>9402</v>
      </c>
      <c r="L21" s="279">
        <f>589408.3+145347.25+138077</f>
        <v>872832.55</v>
      </c>
    </row>
    <row r="22" spans="1:12" ht="12.75">
      <c r="A22" t="s">
        <v>10</v>
      </c>
      <c r="B22" s="279">
        <v>86586.89</v>
      </c>
      <c r="C22" s="279">
        <v>79000</v>
      </c>
      <c r="D22" s="278">
        <v>50000</v>
      </c>
      <c r="E22" s="343">
        <v>0</v>
      </c>
      <c r="F22" s="279">
        <v>346066.84</v>
      </c>
      <c r="G22" s="279">
        <v>1315.35</v>
      </c>
      <c r="H22" s="263">
        <v>0</v>
      </c>
      <c r="I22" s="279">
        <v>0</v>
      </c>
      <c r="J22" s="263">
        <v>0</v>
      </c>
      <c r="K22" s="279">
        <v>0</v>
      </c>
      <c r="L22" s="279">
        <f>584000+77862.06</f>
        <v>661862.06</v>
      </c>
    </row>
    <row r="23" spans="2:12" ht="12.75">
      <c r="B23" s="279"/>
      <c r="C23" s="279"/>
      <c r="D23" s="268"/>
      <c r="E23" s="268"/>
      <c r="F23" s="279"/>
      <c r="G23" s="279"/>
      <c r="H23" s="279"/>
      <c r="I23" s="279"/>
      <c r="J23" s="279"/>
      <c r="K23" s="279"/>
      <c r="L23" s="279"/>
    </row>
    <row r="24" spans="1:12" ht="12.75">
      <c r="A24" t="s">
        <v>11</v>
      </c>
      <c r="B24" s="279">
        <v>28559.09</v>
      </c>
      <c r="C24" s="279">
        <v>49000</v>
      </c>
      <c r="D24" s="268">
        <v>1898641</v>
      </c>
      <c r="E24" s="343">
        <v>0</v>
      </c>
      <c r="F24" s="279">
        <v>336309.32</v>
      </c>
      <c r="G24" s="279">
        <v>62706.96</v>
      </c>
      <c r="H24" s="263">
        <v>0</v>
      </c>
      <c r="I24" s="263">
        <v>10857</v>
      </c>
      <c r="J24" s="263">
        <v>328948</v>
      </c>
      <c r="K24" s="279">
        <v>19402</v>
      </c>
      <c r="L24" s="279">
        <f>708569.56+54344.66+110000</f>
        <v>872914.2200000001</v>
      </c>
    </row>
    <row r="25" spans="1:12" ht="12.75">
      <c r="A25" t="s">
        <v>12</v>
      </c>
      <c r="B25" s="279">
        <v>8615.56</v>
      </c>
      <c r="C25" s="279">
        <v>16000</v>
      </c>
      <c r="D25" s="343">
        <v>0</v>
      </c>
      <c r="E25" s="343">
        <v>0</v>
      </c>
      <c r="F25" s="279">
        <v>14481.51</v>
      </c>
      <c r="G25" s="279">
        <v>359397.63</v>
      </c>
      <c r="H25" s="279">
        <v>0</v>
      </c>
      <c r="I25" s="279">
        <v>0</v>
      </c>
      <c r="J25" s="279">
        <v>0</v>
      </c>
      <c r="K25" s="279">
        <v>0</v>
      </c>
      <c r="L25" s="279">
        <f>604465.74+8750+66766.48+26467+13021.53</f>
        <v>719470.75</v>
      </c>
    </row>
    <row r="26" spans="1:12" ht="12.75">
      <c r="A26" t="s">
        <v>13</v>
      </c>
      <c r="B26" s="263">
        <v>105234.99</v>
      </c>
      <c r="C26" s="279">
        <v>101000</v>
      </c>
      <c r="D26" s="278">
        <v>50000</v>
      </c>
      <c r="E26" s="343">
        <v>0</v>
      </c>
      <c r="F26" s="279">
        <v>60992.31</v>
      </c>
      <c r="G26" s="279">
        <v>0</v>
      </c>
      <c r="H26" s="279">
        <v>0</v>
      </c>
      <c r="I26" s="279">
        <v>0</v>
      </c>
      <c r="J26" s="279">
        <v>0</v>
      </c>
      <c r="K26" s="279">
        <v>0</v>
      </c>
      <c r="L26" s="352">
        <f>16288.52+2471137.89+732332.05+1287429.13+22630.57+540016.54+4672.1+48000-2039950-50000</f>
        <v>3032556.8</v>
      </c>
    </row>
    <row r="27" spans="1:12" ht="12.75">
      <c r="A27" t="s">
        <v>14</v>
      </c>
      <c r="B27" s="279">
        <v>130126.59</v>
      </c>
      <c r="C27" s="279">
        <v>171000</v>
      </c>
      <c r="D27" s="268">
        <v>1461997</v>
      </c>
      <c r="E27" s="343">
        <v>0</v>
      </c>
      <c r="F27" s="279">
        <v>21410.97</v>
      </c>
      <c r="G27" s="279">
        <f>293628.7+9604.11</f>
        <v>303232.81</v>
      </c>
      <c r="H27" s="279">
        <v>0</v>
      </c>
      <c r="I27" s="279">
        <v>0</v>
      </c>
      <c r="J27" s="279">
        <v>0</v>
      </c>
      <c r="K27" s="279">
        <v>0</v>
      </c>
      <c r="L27" s="279">
        <f>507518+1500+80476.03</f>
        <v>589494.03</v>
      </c>
    </row>
    <row r="28" spans="1:12" ht="12.75">
      <c r="A28" t="s">
        <v>15</v>
      </c>
      <c r="B28" s="279">
        <v>79207.79000000001</v>
      </c>
      <c r="C28" s="279">
        <v>0</v>
      </c>
      <c r="D28" s="268">
        <v>43216</v>
      </c>
      <c r="E28" s="343">
        <v>0</v>
      </c>
      <c r="F28" s="279">
        <v>332399.72000000003</v>
      </c>
      <c r="G28" s="279">
        <v>0</v>
      </c>
      <c r="H28" s="263">
        <v>0</v>
      </c>
      <c r="I28" s="279">
        <v>0</v>
      </c>
      <c r="J28" s="263">
        <v>23601.67</v>
      </c>
      <c r="K28" s="279">
        <v>0</v>
      </c>
      <c r="L28" s="279">
        <f>1077794+72641.6+43692.36-169677-482608</f>
        <v>541842.9600000002</v>
      </c>
    </row>
    <row r="29" spans="2:12" ht="12.75">
      <c r="B29" s="279"/>
      <c r="C29" s="279"/>
      <c r="D29" s="268"/>
      <c r="E29" s="268"/>
      <c r="F29" s="279"/>
      <c r="G29" s="279"/>
      <c r="H29" s="279"/>
      <c r="I29" s="279"/>
      <c r="J29" s="279"/>
      <c r="K29" s="279"/>
      <c r="L29" s="279"/>
    </row>
    <row r="30" spans="1:12" ht="12.75">
      <c r="A30" t="s">
        <v>16</v>
      </c>
      <c r="B30" s="279">
        <v>92293.24</v>
      </c>
      <c r="C30" s="280">
        <v>1062429</v>
      </c>
      <c r="D30" s="268">
        <v>9186691</v>
      </c>
      <c r="E30" s="343">
        <v>0</v>
      </c>
      <c r="F30" s="279">
        <v>309323.3</v>
      </c>
      <c r="G30" s="279">
        <v>322000</v>
      </c>
      <c r="H30" s="263">
        <v>0</v>
      </c>
      <c r="I30" s="279">
        <v>0</v>
      </c>
      <c r="J30" s="279">
        <v>0</v>
      </c>
      <c r="K30" s="279">
        <v>0</v>
      </c>
      <c r="L30" s="279">
        <v>1576372.73</v>
      </c>
    </row>
    <row r="31" spans="1:12" ht="12.75">
      <c r="A31" t="s">
        <v>17</v>
      </c>
      <c r="B31" s="279">
        <v>149124.21</v>
      </c>
      <c r="C31" s="279">
        <v>2854000</v>
      </c>
      <c r="D31" s="268">
        <v>11809493</v>
      </c>
      <c r="E31" s="343">
        <v>0</v>
      </c>
      <c r="F31" s="279">
        <v>508531.49</v>
      </c>
      <c r="G31" s="279">
        <v>133315.2</v>
      </c>
      <c r="H31" s="263">
        <v>0</v>
      </c>
      <c r="I31" s="263">
        <v>0</v>
      </c>
      <c r="J31" s="263">
        <v>0</v>
      </c>
      <c r="K31" s="279">
        <v>0</v>
      </c>
      <c r="L31" s="279">
        <f>322984.58+2250863.5+573685.63</f>
        <v>3147533.71</v>
      </c>
    </row>
    <row r="32" spans="1:12" ht="12.75">
      <c r="A32" t="s">
        <v>18</v>
      </c>
      <c r="B32" s="279">
        <v>131889.7</v>
      </c>
      <c r="C32" s="279">
        <v>0</v>
      </c>
      <c r="D32" s="268">
        <v>164566</v>
      </c>
      <c r="E32" s="343">
        <v>0</v>
      </c>
      <c r="F32" s="279">
        <v>338077.22</v>
      </c>
      <c r="G32" s="279">
        <v>0</v>
      </c>
      <c r="H32" s="263">
        <v>7166</v>
      </c>
      <c r="I32" s="263">
        <v>0</v>
      </c>
      <c r="J32" s="263">
        <v>93929</v>
      </c>
      <c r="K32" s="279">
        <v>16000</v>
      </c>
      <c r="L32" s="279">
        <f>12000+500858.4+1359.99+41030.55</f>
        <v>555248.9400000001</v>
      </c>
    </row>
    <row r="33" spans="1:12" ht="12.75">
      <c r="A33" t="s">
        <v>19</v>
      </c>
      <c r="B33" s="263">
        <v>167045.16999999998</v>
      </c>
      <c r="C33" s="279">
        <v>0</v>
      </c>
      <c r="D33" s="268">
        <v>64354</v>
      </c>
      <c r="E33" s="343">
        <v>0</v>
      </c>
      <c r="F33" s="279">
        <v>335890.99</v>
      </c>
      <c r="G33" s="279">
        <v>0</v>
      </c>
      <c r="H33" s="263">
        <v>9311.14</v>
      </c>
      <c r="I33" s="279">
        <v>0</v>
      </c>
      <c r="J33" s="263">
        <v>178120</v>
      </c>
      <c r="K33" s="279">
        <v>6000</v>
      </c>
      <c r="L33" s="279">
        <f>1224287+169587.66+53870-1000-1075287</f>
        <v>371457.6599999999</v>
      </c>
    </row>
    <row r="34" spans="1:12" ht="12.75">
      <c r="A34" t="s">
        <v>20</v>
      </c>
      <c r="B34" s="279">
        <v>733.35</v>
      </c>
      <c r="C34" s="279">
        <v>0</v>
      </c>
      <c r="D34" s="278">
        <v>50000</v>
      </c>
      <c r="E34" s="343">
        <v>0</v>
      </c>
      <c r="F34" s="279">
        <v>10429</v>
      </c>
      <c r="G34" s="279">
        <v>0</v>
      </c>
      <c r="H34" s="263">
        <v>1199</v>
      </c>
      <c r="I34" s="279">
        <v>2904</v>
      </c>
      <c r="J34" s="279">
        <v>128240</v>
      </c>
      <c r="K34" s="279">
        <v>5996.22</v>
      </c>
      <c r="L34" s="279">
        <f>1502291+230716.84-35000-525644-50000</f>
        <v>1122363.84</v>
      </c>
    </row>
    <row r="35" spans="2:12" ht="12.75">
      <c r="B35" s="279"/>
      <c r="C35" s="279"/>
      <c r="D35" s="270"/>
      <c r="E35" s="270"/>
      <c r="F35" s="279"/>
      <c r="G35" s="279"/>
      <c r="H35" s="279"/>
      <c r="I35" s="279"/>
      <c r="J35" s="279"/>
      <c r="K35" s="279"/>
      <c r="L35" s="279"/>
    </row>
    <row r="36" spans="1:12" ht="12.75">
      <c r="A36" t="s">
        <v>21</v>
      </c>
      <c r="B36" s="279">
        <v>30000</v>
      </c>
      <c r="C36" s="280">
        <v>24279.36</v>
      </c>
      <c r="D36" s="364">
        <v>0</v>
      </c>
      <c r="E36" s="343">
        <v>0</v>
      </c>
      <c r="F36" s="279">
        <v>262371.35</v>
      </c>
      <c r="G36" s="279">
        <v>45479.41</v>
      </c>
      <c r="H36" s="279">
        <v>0</v>
      </c>
      <c r="I36" s="279">
        <v>0</v>
      </c>
      <c r="J36" s="279">
        <v>0</v>
      </c>
      <c r="K36" s="279">
        <v>0</v>
      </c>
      <c r="L36" s="279">
        <f>976.22+22517.63</f>
        <v>23493.850000000002</v>
      </c>
    </row>
    <row r="37" spans="1:12" ht="12.75">
      <c r="A37" t="s">
        <v>22</v>
      </c>
      <c r="B37" s="279">
        <v>183217.9</v>
      </c>
      <c r="C37" s="292">
        <v>23000</v>
      </c>
      <c r="D37" s="364">
        <v>0</v>
      </c>
      <c r="E37" s="343">
        <v>0</v>
      </c>
      <c r="F37" s="279">
        <v>348405.75</v>
      </c>
      <c r="G37" s="279">
        <v>0</v>
      </c>
      <c r="H37" s="263">
        <v>0</v>
      </c>
      <c r="I37" s="263">
        <v>0</v>
      </c>
      <c r="J37" s="263">
        <v>0</v>
      </c>
      <c r="K37" s="279">
        <v>0</v>
      </c>
      <c r="L37" s="279">
        <f>3960994+1481625.02+40000-3526618</f>
        <v>1956001.0199999996</v>
      </c>
    </row>
    <row r="38" spans="1:12" ht="12.75">
      <c r="A38" t="s">
        <v>23</v>
      </c>
      <c r="B38" s="279">
        <v>39180.44</v>
      </c>
      <c r="C38" s="279">
        <v>77000</v>
      </c>
      <c r="D38" s="364">
        <v>0</v>
      </c>
      <c r="E38" s="343">
        <v>0</v>
      </c>
      <c r="F38" s="279">
        <f>24298.91+1819.2</f>
        <v>26118.11</v>
      </c>
      <c r="G38" s="279">
        <v>322000</v>
      </c>
      <c r="H38" s="279">
        <v>4357</v>
      </c>
      <c r="I38" s="279">
        <v>4214</v>
      </c>
      <c r="J38" s="279">
        <v>268599</v>
      </c>
      <c r="K38" s="279">
        <v>6000</v>
      </c>
      <c r="L38" s="279">
        <f>6329821+16706.62+20740.96+64573.56-6135465</f>
        <v>296377.13999999966</v>
      </c>
    </row>
    <row r="39" spans="1:12" ht="12.75">
      <c r="A39" s="12" t="s">
        <v>24</v>
      </c>
      <c r="B39" s="254">
        <v>94513.98</v>
      </c>
      <c r="C39" s="254">
        <v>0</v>
      </c>
      <c r="D39" s="365">
        <v>0</v>
      </c>
      <c r="E39" s="386">
        <v>0</v>
      </c>
      <c r="F39" s="254">
        <f>3721.42+18613.25</f>
        <v>22334.67</v>
      </c>
      <c r="G39" s="254">
        <f>58520.73+364133.17</f>
        <v>422653.89999999997</v>
      </c>
      <c r="H39" s="267">
        <v>8160</v>
      </c>
      <c r="I39" s="254">
        <v>0</v>
      </c>
      <c r="J39" s="254">
        <v>87526</v>
      </c>
      <c r="K39" s="254">
        <v>6000</v>
      </c>
      <c r="L39" s="254">
        <f>800+89089.68+35797.81</f>
        <v>125687.48999999999</v>
      </c>
    </row>
  </sheetData>
  <sheetProtection password="CAF5" sheet="1"/>
  <mergeCells count="18">
    <mergeCell ref="A6:A9"/>
    <mergeCell ref="G7:G9"/>
    <mergeCell ref="A1:L1"/>
    <mergeCell ref="A3:L3"/>
    <mergeCell ref="L6:L9"/>
    <mergeCell ref="A5:L5"/>
    <mergeCell ref="B7:B9"/>
    <mergeCell ref="C7:C9"/>
    <mergeCell ref="F7:F9"/>
    <mergeCell ref="K6:K9"/>
    <mergeCell ref="B6:G6"/>
    <mergeCell ref="I8:I9"/>
    <mergeCell ref="H7:H9"/>
    <mergeCell ref="J8:J9"/>
    <mergeCell ref="I7:J7"/>
    <mergeCell ref="H6:J6"/>
    <mergeCell ref="D7:D9"/>
    <mergeCell ref="E7:E9"/>
  </mergeCells>
  <printOptions horizontalCentered="1"/>
  <pageMargins left="0.27" right="0.25" top="0.83" bottom="1" header="0.67" footer="0.5"/>
  <pageSetup fitToHeight="1" fitToWidth="1" horizontalDpi="600" verticalDpi="600" orientation="landscape" scale="77" r:id="rId1"/>
  <headerFooter scaleWithDoc="0">
    <oddFooter>&amp;L&amp;"Arial,Italic"&amp;9MSDE-LFRO  09 / 2010&amp;C- 9 -&amp;R&amp;"Arial,Italic"&amp;9Selected Financial Data-Part 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SFD 2009 PART 1 </dc:title>
  <dc:subject>Updated as of 07-27-2010</dc:subject>
  <dc:creator>Ron Ieng</dc:creator>
  <cp:keywords/>
  <dc:description/>
  <cp:lastModifiedBy>jwalley</cp:lastModifiedBy>
  <cp:lastPrinted>2010-10-06T21:39:41Z</cp:lastPrinted>
  <dcterms:created xsi:type="dcterms:W3CDTF">1998-03-02T22:29:13Z</dcterms:created>
  <dcterms:modified xsi:type="dcterms:W3CDTF">2010-10-19T18:25:55Z</dcterms:modified>
  <cp:category/>
  <cp:version/>
  <cp:contentType/>
  <cp:contentStatus/>
</cp:coreProperties>
</file>