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</sheets>
  <definedNames>
    <definedName name="_xlnm.Print_Area" localSheetId="0">'1'!$A$1:$M$41</definedName>
    <definedName name="_xlnm.Print_Area" localSheetId="9">'10'!$A$1:$M$42</definedName>
    <definedName name="_xlnm.Print_Area" localSheetId="10">'11'!$A$1:$M$41</definedName>
    <definedName name="_xlnm.Print_Area" localSheetId="11">'12'!$A$1:$M$42</definedName>
    <definedName name="_xlnm.Print_Area" localSheetId="12">'13'!$A$1:$M$41</definedName>
    <definedName name="_xlnm.Print_Area" localSheetId="13">'14'!$A$1:$M$42</definedName>
    <definedName name="_xlnm.Print_Area" localSheetId="14">'15'!$A$1:$M$43</definedName>
    <definedName name="_xlnm.Print_Area" localSheetId="15">'16'!$A$1:$M$45</definedName>
    <definedName name="_xlnm.Print_Area" localSheetId="16">'17'!$A$1:$M$41</definedName>
    <definedName name="_xlnm.Print_Area" localSheetId="17">'18'!$A$1:$M$42</definedName>
    <definedName name="_xlnm.Print_Area" localSheetId="18">'19'!$A$1:$M$41</definedName>
    <definedName name="_xlnm.Print_Area" localSheetId="1">'2'!$A$1:$M$40</definedName>
    <definedName name="_xlnm.Print_Area" localSheetId="2">'3'!$A$1:$M$42</definedName>
    <definedName name="_xlnm.Print_Area" localSheetId="3">'4'!$A$1:$M$40</definedName>
    <definedName name="_xlnm.Print_Area" localSheetId="4">'5'!$A$1:$M$42</definedName>
    <definedName name="_xlnm.Print_Area" localSheetId="5">'6'!$A$1:$M$40</definedName>
    <definedName name="_xlnm.Print_Area" localSheetId="6">'7'!$A$1:$M$41</definedName>
    <definedName name="_xlnm.Print_Area" localSheetId="7">'8'!$A$1:$M$43</definedName>
    <definedName name="_xlnm.Print_Area" localSheetId="8">'9'!$A$1:$M$43</definedName>
  </definedNames>
  <calcPr fullCalcOnLoad="1" fullPrecision="0"/>
</workbook>
</file>

<file path=xl/sharedStrings.xml><?xml version="1.0" encoding="utf-8"?>
<sst xmlns="http://schemas.openxmlformats.org/spreadsheetml/2006/main" count="1174" uniqueCount="218">
  <si>
    <t>Expenditures for Elementary/Secondary Instructional Salaries* in Thousands of Dollars</t>
  </si>
  <si>
    <t>Local Unit</t>
  </si>
  <si>
    <t xml:space="preserve">   1984-85</t>
  </si>
  <si>
    <t xml:space="preserve">   1990-91</t>
  </si>
  <si>
    <t xml:space="preserve"> 1991-92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</si>
  <si>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</si>
  <si>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</si>
  <si>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</si>
  <si>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</si>
  <si>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</si>
  <si>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</si>
  <si>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</si>
  <si>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</si>
  <si>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</si>
  <si>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</si>
  <si>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</si>
  <si>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</si>
  <si>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</si>
  <si>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</si>
  <si>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</si>
  <si>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</si>
  <si>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</si>
  <si>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</si>
  <si>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</si>
  <si>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</si>
  <si>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</si>
  <si>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</si>
  <si>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</si>
  <si>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</si>
  <si>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</si>
  <si>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/>
  </si>
  <si>
    <t xml:space="preserve">    1986-87</t>
  </si>
  <si>
    <t xml:space="preserve">    1988-89</t>
  </si>
  <si>
    <t xml:space="preserve">   1992-93</t>
  </si>
  <si>
    <t>Percent Change</t>
  </si>
  <si>
    <t>Revenue From All Sources for Current Expenses, School Construction and Debt Service in Thousands of Dollars</t>
  </si>
  <si>
    <t xml:space="preserve"> 1985-86</t>
  </si>
  <si>
    <t xml:space="preserve"> 1986-87</t>
  </si>
  <si>
    <t xml:space="preserve"> 1987-88</t>
  </si>
  <si>
    <t xml:space="preserve"> 1988-89</t>
  </si>
  <si>
    <t xml:space="preserve"> 1989-90</t>
  </si>
  <si>
    <t xml:space="preserve"> 1990-91</t>
  </si>
  <si>
    <t xml:space="preserve"> 1992-93</t>
  </si>
  <si>
    <t>NOTE:  Includes State share of teachers' retirement</t>
  </si>
  <si>
    <t>::</t>
  </si>
  <si>
    <t xml:space="preserve">Revenue From All Sources for Current Expenses in Thousands of Dollars </t>
  </si>
  <si>
    <t xml:space="preserve">  1984-85</t>
  </si>
  <si>
    <t>Revenue From the State for Current Expenses in Thousands of Dollars</t>
  </si>
  <si>
    <t xml:space="preserve">    1984-85</t>
  </si>
  <si>
    <t>Local Appropriations for Current Expenses in Thousands of Dollars</t>
  </si>
  <si>
    <t>Revenue From the Federal Government for Current Expenses in Thousands of Dollars</t>
  </si>
  <si>
    <t xml:space="preserve">   1989-90</t>
  </si>
  <si>
    <t xml:space="preserve">  1991-92</t>
  </si>
  <si>
    <t>NOTE:  Excludes value of U.S.D.A. commodities</t>
  </si>
  <si>
    <t>Expenditures for Current Expenses, School Construction and Debt Service in Thousands of Dollars</t>
  </si>
  <si>
    <t>1992-93</t>
  </si>
  <si>
    <t>Total Current Expenditures* in Thousands of Dollars</t>
  </si>
  <si>
    <t>*Includes all local expenditures except tuition payments by one Maryland LEA to another;  excludes State share of teachers' retirement</t>
  </si>
  <si>
    <t>Expenditures for Prekindergarten - Grade 12 Instruction* in Thousands of Dollars</t>
  </si>
  <si>
    <t>* Excludes expenditures for adult education and equipment</t>
  </si>
  <si>
    <t>Expenditures for Special Education* in Thousands of Dollars</t>
  </si>
  <si>
    <t xml:space="preserve">   1991-92</t>
  </si>
  <si>
    <t xml:space="preserve">     1984-85</t>
  </si>
  <si>
    <t>*Outgoing transfers and equipment are not included</t>
  </si>
  <si>
    <t>Expenditures for Elementary/Secondary Materials of Instruction* in Thousands of Dollars</t>
  </si>
  <si>
    <t xml:space="preserve">     1985-86</t>
  </si>
  <si>
    <t xml:space="preserve">    1992-93</t>
  </si>
  <si>
    <t xml:space="preserve">      1984-85</t>
  </si>
  <si>
    <t>* Includes regular and special education for prekindergarten - grade 12</t>
  </si>
  <si>
    <t>Expenditures for Elementary/Secondary Textbooks*</t>
  </si>
  <si>
    <t xml:space="preserve">  1985-86</t>
  </si>
  <si>
    <t xml:space="preserve">  1986-87</t>
  </si>
  <si>
    <t xml:space="preserve">  1987-88</t>
  </si>
  <si>
    <t xml:space="preserve">  1988-89</t>
  </si>
  <si>
    <t xml:space="preserve">  1989-90</t>
  </si>
  <si>
    <t xml:space="preserve">  1990-91</t>
  </si>
  <si>
    <t>1991-92</t>
  </si>
  <si>
    <t>Expendiutres for Elementary/Secondary Library Books*</t>
  </si>
  <si>
    <t>Cost per Pupil Belonging for Prekindergarten - Grade 12 Current Expenses*</t>
  </si>
  <si>
    <t>Cost per Pupil Belonging for Prekindergarten - Grade 12 Instruction*</t>
  </si>
  <si>
    <t>Assessed Property Valuation per Pupil in Prekindergarten - Grade 12*</t>
  </si>
  <si>
    <t xml:space="preserve">    1987-88</t>
  </si>
  <si>
    <t>* Includes local special education costs</t>
  </si>
  <si>
    <t xml:space="preserve">     1991-92</t>
  </si>
  <si>
    <t xml:space="preserve">     1992-93</t>
  </si>
  <si>
    <t xml:space="preserve">    1990-91</t>
  </si>
  <si>
    <t xml:space="preserve">       1991-92</t>
  </si>
  <si>
    <t xml:space="preserve">       1992-93</t>
  </si>
  <si>
    <t xml:space="preserve">      1992-93</t>
  </si>
  <si>
    <t xml:space="preserve">      1991-92</t>
  </si>
  <si>
    <t xml:space="preserve">    1989-90</t>
  </si>
  <si>
    <t xml:space="preserve">      1986-87</t>
  </si>
  <si>
    <t xml:space="preserve">      1987-88</t>
  </si>
  <si>
    <t xml:space="preserve">      1988-89</t>
  </si>
  <si>
    <t xml:space="preserve">      1989-90</t>
  </si>
  <si>
    <t xml:space="preserve">      1990-91</t>
  </si>
  <si>
    <t xml:space="preserve">  1992-93</t>
  </si>
  <si>
    <t>Table 8</t>
  </si>
  <si>
    <t>Table 16</t>
  </si>
  <si>
    <t>* Half-time kindergarten pupils are expressed in full-time equivalents in arriving at per pupil costs.</t>
  </si>
  <si>
    <t xml:space="preserve">* Includes expenditures for administration, instruction, student personnel services, health services, transportation services, operation and maintenance of plant, and fixed </t>
  </si>
  <si>
    <t xml:space="preserve">   charges; excludes adult education, food services, community services, equipment, school construction and debt</t>
  </si>
  <si>
    <t>Table 2</t>
  </si>
  <si>
    <t>Table 3</t>
  </si>
  <si>
    <t>Table 4</t>
  </si>
  <si>
    <t>Year</t>
  </si>
  <si>
    <t>One</t>
  </si>
  <si>
    <t>Ten</t>
  </si>
  <si>
    <t xml:space="preserve">Expenditures for Special Education Nonpublic Placements* </t>
  </si>
  <si>
    <t xml:space="preserve">  excludes adult education</t>
  </si>
  <si>
    <t>* Includes salaries for regular and special education teachers, aides, principals, guidance counselors, school psychologists, and others providing instructional services;</t>
  </si>
  <si>
    <t>Table 12</t>
  </si>
  <si>
    <t>Table 11</t>
  </si>
  <si>
    <t>Table 10</t>
  </si>
  <si>
    <t>Table 9</t>
  </si>
  <si>
    <t>Table 7</t>
  </si>
  <si>
    <t>Table 6</t>
  </si>
  <si>
    <t>Table 5</t>
  </si>
  <si>
    <t>Table 1</t>
  </si>
  <si>
    <t>Table 13</t>
  </si>
  <si>
    <t>Table 14</t>
  </si>
  <si>
    <t>Table 15</t>
  </si>
  <si>
    <t>Table 17</t>
  </si>
  <si>
    <t>Table 18</t>
  </si>
  <si>
    <t>Assessed Valuation Taxable at Full Rate for County Purposes in Millions of Dollars</t>
  </si>
  <si>
    <t xml:space="preserve">NOTE:  Beginning July 1, 1997, Instructional expenditures were redefined to exclude expenditures for the Office of the Principal and to include expenditures for </t>
  </si>
  <si>
    <t xml:space="preserve">            instructional staff development.</t>
  </si>
  <si>
    <t>**Percent change cannot be calculated</t>
  </si>
  <si>
    <t>Note:  1997-98 amounts corrected from prior year presentation to exclude equipment costs.</t>
  </si>
  <si>
    <t>1999-2000</t>
  </si>
  <si>
    <t>2000-2001</t>
  </si>
  <si>
    <t>Retirement</t>
  </si>
  <si>
    <t>Less State</t>
  </si>
  <si>
    <t xml:space="preserve">Instruction </t>
  </si>
  <si>
    <t>Adult Ed</t>
  </si>
  <si>
    <t>Equipment</t>
  </si>
  <si>
    <t>Instuction</t>
  </si>
  <si>
    <t>Total</t>
  </si>
  <si>
    <t>Prek -12</t>
  </si>
  <si>
    <t xml:space="preserve">Special Ed </t>
  </si>
  <si>
    <t>Other Transfer</t>
  </si>
  <si>
    <t>Part 4</t>
  </si>
  <si>
    <t>Part 2</t>
  </si>
  <si>
    <t>**</t>
  </si>
  <si>
    <t xml:space="preserve">Part 1 </t>
  </si>
  <si>
    <t>Column 1</t>
  </si>
  <si>
    <t>Part 1</t>
  </si>
  <si>
    <t>Col. 3</t>
  </si>
  <si>
    <t>Instructional</t>
  </si>
  <si>
    <t>Salaries</t>
  </si>
  <si>
    <t>and Wages</t>
  </si>
  <si>
    <t>Textbooks and</t>
  </si>
  <si>
    <t>Supplies</t>
  </si>
  <si>
    <t>Other</t>
  </si>
  <si>
    <t>Costs</t>
  </si>
  <si>
    <t>Special</t>
  </si>
  <si>
    <t>Education</t>
  </si>
  <si>
    <t>Including State</t>
  </si>
  <si>
    <t>Share of Teachers'</t>
  </si>
  <si>
    <t>Cost</t>
  </si>
  <si>
    <t>Rank</t>
  </si>
  <si>
    <t>Library</t>
  </si>
  <si>
    <t>Media and</t>
  </si>
  <si>
    <t xml:space="preserve"> Books</t>
  </si>
  <si>
    <t>Books</t>
  </si>
  <si>
    <t>Textbooks</t>
  </si>
  <si>
    <t>Instruction</t>
  </si>
  <si>
    <t>Special Ed</t>
  </si>
  <si>
    <t>* Includes regular and special education for prekindergarten - grade 12; excludes expenditures for Adult Education and instructional equipment</t>
  </si>
  <si>
    <t xml:space="preserve">Textbooks </t>
  </si>
  <si>
    <t>and Supplies</t>
  </si>
  <si>
    <t>Supplies and</t>
  </si>
  <si>
    <t xml:space="preserve">  Materials</t>
  </si>
  <si>
    <t>Adult Ed.</t>
  </si>
  <si>
    <t>Materials</t>
  </si>
  <si>
    <t>Special Ed.</t>
  </si>
  <si>
    <t>Less Adult Ed.</t>
  </si>
  <si>
    <t>PlusSpecial Ed.</t>
  </si>
  <si>
    <t xml:space="preserve"> Salaries and Wages</t>
  </si>
  <si>
    <t>Adult Educ.</t>
  </si>
  <si>
    <t>Special Education</t>
  </si>
  <si>
    <t>From Part 2 Tables 4,4A,and 5</t>
  </si>
  <si>
    <t>Adjusted Total</t>
  </si>
  <si>
    <t>for Part 4 Table 11</t>
  </si>
  <si>
    <t>Part 2 Table 5</t>
  </si>
  <si>
    <t>Column N</t>
  </si>
  <si>
    <t>Other Transfers</t>
  </si>
  <si>
    <t>2001-2002</t>
  </si>
  <si>
    <t>Table 19</t>
  </si>
  <si>
    <t>Special Educ.</t>
  </si>
  <si>
    <t xml:space="preserve">Part 4 </t>
  </si>
  <si>
    <t>ADM</t>
  </si>
  <si>
    <t>FY 2002</t>
  </si>
  <si>
    <t>SFD Part 3</t>
  </si>
  <si>
    <t xml:space="preserve">*Half-day kindergarten and prekindergarten pupils have been equated to full-time. </t>
  </si>
  <si>
    <t>Full-time Equivalent Average Daily Membership*</t>
  </si>
  <si>
    <t>Maryland Public Schools:  1993-1994 to 2002-2003</t>
  </si>
  <si>
    <t>2002-2003</t>
  </si>
  <si>
    <t>Total Pt2 Table 1 CE</t>
  </si>
  <si>
    <t>FY 2003 Part 3- Table 2 Col. 1</t>
  </si>
  <si>
    <t>Maryland Public Schools: 1993-1994 to 2002-2003</t>
  </si>
  <si>
    <t>SFD Pt2 Tbl 4</t>
  </si>
  <si>
    <t>Col B</t>
  </si>
  <si>
    <t>Col R</t>
  </si>
  <si>
    <t>SFD Pt2 Tbl 4A</t>
  </si>
  <si>
    <t>Col D</t>
  </si>
  <si>
    <t>Col L</t>
  </si>
  <si>
    <t>FY 2002- 2003</t>
  </si>
  <si>
    <t>Total Per Thousand</t>
  </si>
  <si>
    <t>FY2003</t>
  </si>
  <si>
    <t>FY 2003</t>
  </si>
  <si>
    <t xml:space="preserve">     1993-1994</t>
  </si>
  <si>
    <t xml:space="preserve">     1994-1995</t>
  </si>
  <si>
    <t xml:space="preserve">     1995-1996</t>
  </si>
  <si>
    <t xml:space="preserve">     1996-1997</t>
  </si>
  <si>
    <t xml:space="preserve">     1997-1998</t>
  </si>
  <si>
    <t>1998-1999</t>
  </si>
  <si>
    <t>SFD 2003 Part 3 : Table 3  Cost Per Pupil Belonging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</si>
</sst>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&quot;$&quot;#,##0"/>
    <numFmt numFmtId="173" formatCode="_(&quot;$&quot;* #,##0_);_(&quot;$&quot;* \(#,##0\);_(&quot;$&quot;* &quot;-&quot;??_);_(@_)"/>
    <numFmt numFmtId="174" formatCode="_(* #,##0_);_(* \(#,##0\);_(* &quot;-&quot;??_);_(@_)"/>
    <numFmt numFmtId="175" formatCode="&quot;$&quot;#,##0.0\ ;\(&quot;$&quot;#,##0.0\)"/>
    <numFmt numFmtId="176" formatCode="&quot;$&quot;#,##0.00"/>
    <numFmt numFmtId="177" formatCode="0.000%"/>
    <numFmt numFmtId="178" formatCode="#,##0.000"/>
    <numFmt numFmtId="179" formatCode="#,##0.0000"/>
    <numFmt numFmtId="180" formatCode="0.0000%"/>
    <numFmt numFmtId="181" formatCode="0.00000%"/>
    <numFmt numFmtId="182" formatCode="0.000000%"/>
    <numFmt numFmtId="183" formatCode="_(* #,##0.0_);_(* \(#,##0.0\);_(* &quot;-&quot;????_);_(@_)"/>
    <numFmt numFmtId="184" formatCode="_(* #,##0.0_);_(* \(#,##0.0\);_(* &quot;-&quot;??_);_(@_)"/>
    <numFmt numFmtId="185" formatCode="_(* #,##0.000_);_(* \(#,##0.000\);_(* &quot;-&quot;??_);_(@_)"/>
    <numFmt numFmtId="186" formatCode="0.000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  <numFmt numFmtId="190" formatCode="_(&quot;$&quot;* #,##0.0_);_(&quot;$&quot;* \(#,##0.0\);_(&quot;$&quot;* &quot;-&quot;??_);_(@_)"/>
    <numFmt numFmtId="191" formatCode="0.0000"/>
    <numFmt numFmtId="192" formatCode="_(* #,##0.0_);_(* \(#,##0.0\);_(* &quot;-&quot;?_);_(@_)"/>
  </numFmts>
  <fonts count="13"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43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5" fillId="0" borderId="0" xfId="0" applyFont="1" applyAlignment="1">
      <alignment/>
    </xf>
    <xf numFmtId="3" fontId="4" fillId="0" borderId="0" xfId="0" applyFont="1" applyAlignment="1">
      <alignment shrinkToFit="1"/>
    </xf>
    <xf numFmtId="3" fontId="4" fillId="0" borderId="1" xfId="0" applyFont="1" applyBorder="1" applyAlignment="1">
      <alignment/>
    </xf>
    <xf numFmtId="3" fontId="4" fillId="0" borderId="2" xfId="0" applyFont="1" applyBorder="1" applyAlignment="1">
      <alignment horizontal="centerContinuous"/>
    </xf>
    <xf numFmtId="3" fontId="4" fillId="0" borderId="0" xfId="0" applyFont="1" applyBorder="1" applyAlignment="1">
      <alignment/>
    </xf>
    <xf numFmtId="3" fontId="4" fillId="0" borderId="3" xfId="0" applyFont="1" applyBorder="1" applyAlignment="1">
      <alignment/>
    </xf>
    <xf numFmtId="3" fontId="4" fillId="0" borderId="3" xfId="0" applyFont="1" applyBorder="1" applyAlignment="1">
      <alignment horizontal="center"/>
    </xf>
    <xf numFmtId="3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3" fontId="4" fillId="0" borderId="2" xfId="0" applyFont="1" applyBorder="1" applyAlignment="1">
      <alignment/>
    </xf>
    <xf numFmtId="3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6" xfId="0" applyFont="1" applyBorder="1" applyAlignment="1">
      <alignment/>
    </xf>
    <xf numFmtId="172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69" fontId="4" fillId="0" borderId="5" xfId="0" applyNumberFormat="1" applyFont="1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Alignment="1">
      <alignment/>
    </xf>
    <xf numFmtId="3" fontId="5" fillId="0" borderId="0" xfId="0" applyFont="1" applyAlignment="1">
      <alignment horizontal="centerContinuous"/>
    </xf>
    <xf numFmtId="3" fontId="4" fillId="0" borderId="0" xfId="0" applyFont="1" applyAlignment="1">
      <alignment horizontal="center"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4" fillId="0" borderId="1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3" xfId="0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5" xfId="0" applyFont="1" applyBorder="1" applyAlignment="1">
      <alignment/>
    </xf>
    <xf numFmtId="3" fontId="4" fillId="0" borderId="2" xfId="0" applyFont="1" applyBorder="1" applyAlignment="1">
      <alignment horizontal="centerContinuous"/>
    </xf>
    <xf numFmtId="3" fontId="4" fillId="0" borderId="0" xfId="0" applyFont="1" applyBorder="1" applyAlignment="1">
      <alignment horizontal="center"/>
    </xf>
    <xf numFmtId="3" fontId="4" fillId="0" borderId="3" xfId="0" applyFont="1" applyBorder="1" applyAlignment="1">
      <alignment horizontal="center"/>
    </xf>
    <xf numFmtId="174" fontId="4" fillId="0" borderId="0" xfId="15" applyNumberFormat="1" applyFont="1" applyBorder="1" applyAlignment="1">
      <alignment/>
    </xf>
    <xf numFmtId="3" fontId="4" fillId="0" borderId="2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3" xfId="0" applyFont="1" applyBorder="1" applyAlignment="1">
      <alignment/>
    </xf>
    <xf numFmtId="166" fontId="4" fillId="0" borderId="0" xfId="19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4" xfId="19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19" applyNumberFormat="1" applyFont="1" applyAlignment="1">
      <alignment/>
    </xf>
    <xf numFmtId="4" fontId="4" fillId="0" borderId="0" xfId="19" applyNumberFormat="1" applyFont="1" applyAlignment="1">
      <alignment/>
    </xf>
    <xf numFmtId="166" fontId="4" fillId="0" borderId="0" xfId="19" applyFont="1" applyBorder="1" applyAlignment="1">
      <alignment/>
    </xf>
    <xf numFmtId="166" fontId="4" fillId="0" borderId="0" xfId="19" applyFont="1" applyBorder="1" applyAlignment="1">
      <alignment horizontal="center"/>
    </xf>
    <xf numFmtId="166" fontId="4" fillId="0" borderId="0" xfId="0" applyNumberFormat="1" applyFont="1" applyBorder="1" applyAlignment="1">
      <alignment/>
    </xf>
    <xf numFmtId="166" fontId="4" fillId="0" borderId="0" xfId="19" applyFont="1" applyAlignment="1">
      <alignment/>
    </xf>
    <xf numFmtId="166" fontId="4" fillId="0" borderId="4" xfId="19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19" applyNumberFormat="1" applyFont="1" applyAlignment="1">
      <alignment/>
    </xf>
    <xf numFmtId="4" fontId="4" fillId="0" borderId="0" xfId="19" applyNumberFormat="1" applyFont="1" applyAlignment="1">
      <alignment/>
    </xf>
    <xf numFmtId="4" fontId="4" fillId="0" borderId="0" xfId="15" applyFont="1" applyAlignment="1">
      <alignment/>
    </xf>
    <xf numFmtId="4" fontId="4" fillId="0" borderId="2" xfId="15" applyFont="1" applyBorder="1" applyAlignment="1">
      <alignment/>
    </xf>
    <xf numFmtId="166" fontId="4" fillId="0" borderId="0" xfId="19" applyFont="1" applyBorder="1" applyAlignment="1">
      <alignment/>
    </xf>
    <xf numFmtId="3" fontId="4" fillId="0" borderId="0" xfId="15" applyNumberFormat="1" applyFont="1" applyAlignment="1">
      <alignment/>
    </xf>
    <xf numFmtId="3" fontId="4" fillId="0" borderId="1" xfId="15" applyNumberFormat="1" applyFont="1" applyBorder="1" applyAlignment="1">
      <alignment/>
    </xf>
    <xf numFmtId="3" fontId="4" fillId="0" borderId="0" xfId="15" applyNumberFormat="1" applyFont="1" applyAlignment="1">
      <alignment/>
    </xf>
    <xf numFmtId="3" fontId="4" fillId="0" borderId="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4" fillId="0" borderId="5" xfId="15" applyNumberFormat="1" applyFont="1" applyBorder="1" applyAlignment="1">
      <alignment/>
    </xf>
    <xf numFmtId="164" fontId="4" fillId="0" borderId="0" xfId="19" applyNumberFormat="1" applyFont="1" applyBorder="1" applyAlignment="1">
      <alignment/>
    </xf>
    <xf numFmtId="3" fontId="4" fillId="0" borderId="7" xfId="0" applyFont="1" applyBorder="1" applyAlignment="1">
      <alignment horizontal="center"/>
    </xf>
    <xf numFmtId="164" fontId="4" fillId="0" borderId="5" xfId="0" applyNumberFormat="1" applyFont="1" applyBorder="1" applyAlignment="1">
      <alignment/>
    </xf>
    <xf numFmtId="3" fontId="4" fillId="0" borderId="0" xfId="0" applyFont="1" applyAlignment="1">
      <alignment horizontal="left"/>
    </xf>
    <xf numFmtId="174" fontId="4" fillId="0" borderId="0" xfId="15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4" fontId="0" fillId="0" borderId="0" xfId="15" applyNumberFormat="1" applyBorder="1" applyAlignment="1">
      <alignment horizontal="left"/>
    </xf>
    <xf numFmtId="174" fontId="0" fillId="0" borderId="2" xfId="15" applyNumberFormat="1" applyBorder="1" applyAlignment="1">
      <alignment horizontal="left"/>
    </xf>
    <xf numFmtId="172" fontId="0" fillId="0" borderId="0" xfId="19" applyNumberFormat="1" applyAlignment="1">
      <alignment horizontal="right"/>
    </xf>
    <xf numFmtId="3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4" fontId="4" fillId="0" borderId="0" xfId="15" applyFont="1" applyBorder="1" applyAlignment="1">
      <alignment/>
    </xf>
    <xf numFmtId="176" fontId="4" fillId="0" borderId="0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5" xfId="15" applyNumberFormat="1" applyFont="1" applyBorder="1" applyAlignment="1">
      <alignment/>
    </xf>
    <xf numFmtId="174" fontId="4" fillId="0" borderId="0" xfId="15" applyNumberFormat="1" applyFont="1" applyAlignment="1">
      <alignment/>
    </xf>
    <xf numFmtId="171" fontId="4" fillId="0" borderId="0" xfId="0" applyNumberFormat="1" applyFont="1" applyAlignment="1">
      <alignment/>
    </xf>
    <xf numFmtId="169" fontId="4" fillId="0" borderId="0" xfId="0" applyNumberFormat="1" applyFont="1" applyAlignment="1" quotePrefix="1">
      <alignment horizontal="left"/>
    </xf>
    <xf numFmtId="172" fontId="4" fillId="0" borderId="0" xfId="0" applyNumberFormat="1" applyFont="1" applyAlignment="1">
      <alignment/>
    </xf>
    <xf numFmtId="3" fontId="0" fillId="0" borderId="0" xfId="0" applyAlignment="1">
      <alignment/>
    </xf>
    <xf numFmtId="3" fontId="0" fillId="0" borderId="0" xfId="0" applyAlignment="1">
      <alignment horizontal="center"/>
    </xf>
    <xf numFmtId="176" fontId="4" fillId="0" borderId="0" xfId="0" applyNumberFormat="1" applyFont="1" applyAlignment="1">
      <alignment/>
    </xf>
    <xf numFmtId="4" fontId="4" fillId="0" borderId="2" xfId="0" applyNumberFormat="1" applyFont="1" applyBorder="1" applyAlignment="1">
      <alignment/>
    </xf>
    <xf numFmtId="170" fontId="4" fillId="0" borderId="2" xfId="0" applyNumberFormat="1" applyFont="1" applyBorder="1" applyAlignment="1">
      <alignment/>
    </xf>
    <xf numFmtId="10" fontId="4" fillId="0" borderId="0" xfId="30" applyFont="1" applyAlignment="1">
      <alignment/>
    </xf>
    <xf numFmtId="43" fontId="4" fillId="0" borderId="0" xfId="0" applyNumberFormat="1" applyFont="1" applyAlignment="1">
      <alignment/>
    </xf>
    <xf numFmtId="43" fontId="4" fillId="0" borderId="2" xfId="0" applyNumberFormat="1" applyFont="1" applyBorder="1" applyAlignment="1">
      <alignment/>
    </xf>
    <xf numFmtId="4" fontId="4" fillId="0" borderId="0" xfId="15" applyFont="1" applyBorder="1" applyAlignment="1">
      <alignment/>
    </xf>
    <xf numFmtId="174" fontId="4" fillId="0" borderId="0" xfId="15" applyNumberFormat="1" applyFont="1" applyFill="1" applyBorder="1" applyAlignment="1">
      <alignment/>
    </xf>
    <xf numFmtId="174" fontId="4" fillId="0" borderId="2" xfId="15" applyNumberFormat="1" applyFont="1" applyBorder="1" applyAlignment="1">
      <alignment/>
    </xf>
    <xf numFmtId="170" fontId="4" fillId="0" borderId="0" xfId="15" applyNumberFormat="1" applyFont="1" applyAlignment="1">
      <alignment/>
    </xf>
    <xf numFmtId="3" fontId="4" fillId="0" borderId="0" xfId="0" applyFont="1" applyAlignment="1">
      <alignment/>
    </xf>
    <xf numFmtId="166" fontId="0" fillId="0" borderId="0" xfId="19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3" fontId="0" fillId="0" borderId="1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2" xfId="0" applyBorder="1" applyAlignment="1">
      <alignment horizontal="center"/>
    </xf>
    <xf numFmtId="2" fontId="5" fillId="0" borderId="0" xfId="0" applyNumberFormat="1" applyFont="1" applyAlignment="1">
      <alignment/>
    </xf>
    <xf numFmtId="3" fontId="4" fillId="0" borderId="0" xfId="0" applyFont="1" applyBorder="1" applyAlignment="1">
      <alignment horizontal="right"/>
    </xf>
    <xf numFmtId="3" fontId="6" fillId="0" borderId="0" xfId="0" applyFont="1" applyAlignment="1">
      <alignment horizontal="center"/>
    </xf>
    <xf numFmtId="4" fontId="4" fillId="0" borderId="2" xfId="15" applyFont="1" applyBorder="1" applyAlignment="1">
      <alignment/>
    </xf>
    <xf numFmtId="172" fontId="4" fillId="0" borderId="0" xfId="19" applyNumberFormat="1" applyFont="1" applyFill="1" applyBorder="1" applyAlignment="1">
      <alignment/>
    </xf>
    <xf numFmtId="3" fontId="4" fillId="0" borderId="0" xfId="0" applyFont="1" applyFill="1" applyBorder="1" applyAlignment="1">
      <alignment/>
    </xf>
    <xf numFmtId="173" fontId="4" fillId="0" borderId="0" xfId="19" applyNumberFormat="1" applyFont="1" applyAlignment="1">
      <alignment/>
    </xf>
    <xf numFmtId="174" fontId="4" fillId="0" borderId="2" xfId="15" applyNumberFormat="1" applyFont="1" applyFill="1" applyBorder="1" applyAlignment="1">
      <alignment/>
    </xf>
    <xf numFmtId="3" fontId="4" fillId="0" borderId="3" xfId="0" applyFont="1" applyBorder="1" applyAlignment="1">
      <alignment horizontal="left" indent="2"/>
    </xf>
    <xf numFmtId="3" fontId="7" fillId="0" borderId="0" xfId="0" applyFont="1" applyAlignment="1">
      <alignment/>
    </xf>
    <xf numFmtId="3" fontId="7" fillId="0" borderId="0" xfId="0" applyFont="1" applyAlignment="1">
      <alignment horizontal="center"/>
    </xf>
    <xf numFmtId="3" fontId="4" fillId="0" borderId="0" xfId="0" applyFont="1" applyAlignment="1">
      <alignment horizontal="center" vertical="center"/>
    </xf>
    <xf numFmtId="3" fontId="4" fillId="0" borderId="0" xfId="15" applyNumberFormat="1" applyFont="1" applyAlignment="1">
      <alignment horizontal="center"/>
    </xf>
    <xf numFmtId="3" fontId="5" fillId="0" borderId="0" xfId="0" applyFont="1" applyBorder="1" applyAlignment="1">
      <alignment/>
    </xf>
    <xf numFmtId="3" fontId="5" fillId="0" borderId="2" xfId="0" applyFont="1" applyBorder="1" applyAlignment="1">
      <alignment horizontal="center"/>
    </xf>
    <xf numFmtId="3" fontId="4" fillId="0" borderId="0" xfId="0" applyFont="1" applyAlignment="1">
      <alignment horizontal="centerContinuous" vertical="center"/>
    </xf>
    <xf numFmtId="3" fontId="4" fillId="0" borderId="0" xfId="0" applyFont="1" applyAlignment="1">
      <alignment horizontal="centerContinuous" vertical="center"/>
    </xf>
    <xf numFmtId="3" fontId="4" fillId="0" borderId="0" xfId="15" applyNumberFormat="1" applyFont="1" applyAlignment="1">
      <alignment horizontal="centerContinuous" vertical="center"/>
    </xf>
    <xf numFmtId="3" fontId="4" fillId="0" borderId="0" xfId="15" applyNumberFormat="1" applyFont="1" applyAlignment="1">
      <alignment horizontal="centerContinuous" vertical="center"/>
    </xf>
    <xf numFmtId="3" fontId="0" fillId="0" borderId="0" xfId="0" applyAlignment="1">
      <alignment horizontal="centerContinuous" vertical="center"/>
    </xf>
    <xf numFmtId="174" fontId="4" fillId="0" borderId="0" xfId="15" applyNumberFormat="1" applyFont="1" applyAlignment="1">
      <alignment/>
    </xf>
    <xf numFmtId="3" fontId="4" fillId="0" borderId="0" xfId="0" applyFont="1" applyFill="1" applyBorder="1" applyAlignment="1">
      <alignment horizontal="center"/>
    </xf>
    <xf numFmtId="174" fontId="4" fillId="0" borderId="2" xfId="15" applyNumberFormat="1" applyFont="1" applyBorder="1" applyAlignment="1">
      <alignment/>
    </xf>
    <xf numFmtId="10" fontId="4" fillId="0" borderId="0" xfId="30" applyNumberFormat="1" applyFont="1" applyBorder="1" applyAlignment="1">
      <alignment/>
    </xf>
    <xf numFmtId="171" fontId="4" fillId="0" borderId="0" xfId="30" applyNumberFormat="1" applyFont="1" applyBorder="1" applyAlignment="1">
      <alignment/>
    </xf>
    <xf numFmtId="170" fontId="4" fillId="0" borderId="0" xfId="15" applyNumberFormat="1" applyFont="1" applyBorder="1" applyAlignment="1">
      <alignment/>
    </xf>
    <xf numFmtId="170" fontId="4" fillId="0" borderId="2" xfId="15" applyNumberFormat="1" applyFont="1" applyBorder="1" applyAlignment="1">
      <alignment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/>
    </xf>
    <xf numFmtId="3" fontId="4" fillId="0" borderId="0" xfId="0" applyFont="1" applyAlignment="1">
      <alignment vertical="center"/>
    </xf>
    <xf numFmtId="174" fontId="4" fillId="0" borderId="0" xfId="15" applyNumberFormat="1" applyFont="1" applyFill="1" applyBorder="1" applyAlignment="1">
      <alignment/>
    </xf>
    <xf numFmtId="174" fontId="4" fillId="0" borderId="2" xfId="15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42" fontId="4" fillId="0" borderId="0" xfId="19" applyNumberFormat="1" applyFont="1" applyFill="1" applyBorder="1" applyAlignment="1">
      <alignment horizontal="center"/>
    </xf>
    <xf numFmtId="0" fontId="4" fillId="0" borderId="0" xfId="29" applyFont="1" applyAlignment="1">
      <alignment horizontal="centerContinuous" vertical="center"/>
      <protection/>
    </xf>
    <xf numFmtId="0" fontId="4" fillId="0" borderId="0" xfId="29" applyFont="1">
      <alignment/>
      <protection/>
    </xf>
    <xf numFmtId="0" fontId="4" fillId="0" borderId="0" xfId="29">
      <alignment/>
      <protection/>
    </xf>
    <xf numFmtId="0" fontId="4" fillId="0" borderId="1" xfId="29" applyFont="1" applyBorder="1">
      <alignment/>
      <protection/>
    </xf>
    <xf numFmtId="0" fontId="4" fillId="0" borderId="0" xfId="29" applyFont="1" applyBorder="1">
      <alignment/>
      <protection/>
    </xf>
    <xf numFmtId="0" fontId="4" fillId="0" borderId="0" xfId="29" applyFont="1">
      <alignment/>
      <protection/>
    </xf>
    <xf numFmtId="0" fontId="4" fillId="0" borderId="2" xfId="29" applyFont="1" applyBorder="1" applyAlignment="1">
      <alignment horizontal="centerContinuous"/>
      <protection/>
    </xf>
    <xf numFmtId="0" fontId="4" fillId="0" borderId="0" xfId="29" applyFont="1" applyBorder="1">
      <alignment/>
      <protection/>
    </xf>
    <xf numFmtId="0" fontId="4" fillId="0" borderId="0" xfId="29" applyFont="1" applyAlignment="1">
      <alignment horizontal="center"/>
      <protection/>
    </xf>
    <xf numFmtId="0" fontId="4" fillId="0" borderId="3" xfId="29" applyFont="1" applyBorder="1">
      <alignment/>
      <protection/>
    </xf>
    <xf numFmtId="0" fontId="4" fillId="0" borderId="3" xfId="29" applyFont="1" applyBorder="1" applyAlignment="1">
      <alignment horizontal="center"/>
      <protection/>
    </xf>
    <xf numFmtId="0" fontId="4" fillId="0" borderId="3" xfId="29" applyFont="1" applyBorder="1" applyAlignment="1">
      <alignment horizontal="center"/>
      <protection/>
    </xf>
    <xf numFmtId="170" fontId="4" fillId="0" borderId="0" xfId="17" applyNumberFormat="1" applyFont="1" applyAlignment="1">
      <alignment/>
    </xf>
    <xf numFmtId="171" fontId="4" fillId="0" borderId="0" xfId="29" applyNumberFormat="1" applyFont="1" applyBorder="1">
      <alignment/>
      <protection/>
    </xf>
    <xf numFmtId="3" fontId="4" fillId="0" borderId="0" xfId="29" applyNumberFormat="1" applyFont="1">
      <alignment/>
      <protection/>
    </xf>
    <xf numFmtId="184" fontId="4" fillId="0" borderId="0" xfId="21" applyNumberFormat="1" applyFont="1" applyAlignment="1">
      <alignment/>
    </xf>
    <xf numFmtId="184" fontId="4" fillId="0" borderId="0" xfId="17" applyNumberFormat="1" applyFont="1" applyAlignment="1">
      <alignment/>
    </xf>
    <xf numFmtId="170" fontId="4" fillId="0" borderId="0" xfId="21" applyNumberFormat="1" applyFont="1" applyAlignment="1">
      <alignment/>
    </xf>
    <xf numFmtId="170" fontId="4" fillId="0" borderId="0" xfId="29" applyNumberFormat="1" applyFont="1">
      <alignment/>
      <protection/>
    </xf>
    <xf numFmtId="183" fontId="4" fillId="0" borderId="0" xfId="17" applyNumberFormat="1" applyFont="1" applyBorder="1" applyAlignment="1">
      <alignment/>
    </xf>
    <xf numFmtId="169" fontId="4" fillId="0" borderId="0" xfId="29" applyNumberFormat="1" applyFont="1">
      <alignment/>
      <protection/>
    </xf>
    <xf numFmtId="4" fontId="4" fillId="0" borderId="0" xfId="21" applyNumberFormat="1" applyFont="1" applyAlignment="1">
      <alignment/>
    </xf>
    <xf numFmtId="183" fontId="4" fillId="0" borderId="0" xfId="17" applyNumberFormat="1" applyFont="1" applyAlignment="1">
      <alignment/>
    </xf>
    <xf numFmtId="184" fontId="4" fillId="0" borderId="0" xfId="29" applyNumberFormat="1" applyFont="1">
      <alignment/>
      <protection/>
    </xf>
    <xf numFmtId="0" fontId="4" fillId="0" borderId="2" xfId="29" applyFont="1" applyBorder="1">
      <alignment/>
      <protection/>
    </xf>
    <xf numFmtId="184" fontId="4" fillId="0" borderId="2" xfId="21" applyNumberFormat="1" applyFont="1" applyBorder="1" applyAlignment="1">
      <alignment/>
    </xf>
    <xf numFmtId="184" fontId="4" fillId="0" borderId="2" xfId="17" applyNumberFormat="1" applyFont="1" applyBorder="1" applyAlignment="1">
      <alignment/>
    </xf>
    <xf numFmtId="4" fontId="4" fillId="0" borderId="2" xfId="21" applyNumberFormat="1" applyFont="1" applyBorder="1" applyAlignment="1">
      <alignment/>
    </xf>
    <xf numFmtId="170" fontId="4" fillId="0" borderId="2" xfId="29" applyNumberFormat="1" applyFont="1" applyBorder="1">
      <alignment/>
      <protection/>
    </xf>
    <xf numFmtId="170" fontId="4" fillId="0" borderId="2" xfId="17" applyNumberFormat="1" applyFont="1" applyBorder="1" applyAlignment="1">
      <alignment/>
    </xf>
    <xf numFmtId="183" fontId="4" fillId="0" borderId="2" xfId="17" applyNumberFormat="1" applyFont="1" applyBorder="1" applyAlignment="1">
      <alignment/>
    </xf>
    <xf numFmtId="169" fontId="4" fillId="0" borderId="2" xfId="29" applyNumberFormat="1" applyFont="1" applyBorder="1">
      <alignment/>
      <protection/>
    </xf>
    <xf numFmtId="173" fontId="4" fillId="0" borderId="0" xfId="19" applyNumberFormat="1" applyFont="1" applyFill="1" applyAlignment="1">
      <alignment horizontal="right"/>
    </xf>
    <xf numFmtId="174" fontId="4" fillId="0" borderId="0" xfId="15" applyNumberFormat="1" applyFont="1" applyFill="1" applyAlignment="1">
      <alignment/>
    </xf>
    <xf numFmtId="4" fontId="4" fillId="0" borderId="0" xfId="15" applyFont="1" applyBorder="1" applyAlignment="1">
      <alignment horizontal="center"/>
    </xf>
    <xf numFmtId="4" fontId="4" fillId="0" borderId="2" xfId="15" applyFont="1" applyBorder="1" applyAlignment="1">
      <alignment horizontal="center"/>
    </xf>
    <xf numFmtId="174" fontId="4" fillId="0" borderId="0" xfId="15" applyNumberFormat="1" applyFont="1" applyBorder="1" applyAlignment="1">
      <alignment horizontal="center" vertical="center"/>
    </xf>
    <xf numFmtId="174" fontId="4" fillId="0" borderId="0" xfId="15" applyNumberFormat="1" applyFont="1" applyFill="1" applyAlignment="1">
      <alignment/>
    </xf>
    <xf numFmtId="174" fontId="10" fillId="0" borderId="0" xfId="15" applyNumberFormat="1" applyFont="1" applyFill="1" applyBorder="1" applyAlignment="1">
      <alignment/>
    </xf>
    <xf numFmtId="174" fontId="4" fillId="0" borderId="0" xfId="15" applyNumberFormat="1" applyFont="1" applyFill="1" applyAlignment="1">
      <alignment/>
    </xf>
    <xf numFmtId="174" fontId="4" fillId="0" borderId="0" xfId="15" applyNumberFormat="1" applyFont="1" applyFill="1" applyAlignment="1" applyProtection="1">
      <alignment/>
      <protection locked="0"/>
    </xf>
    <xf numFmtId="174" fontId="4" fillId="0" borderId="2" xfId="15" applyNumberFormat="1" applyFont="1" applyFill="1" applyBorder="1" applyAlignment="1">
      <alignment/>
    </xf>
    <xf numFmtId="4" fontId="4" fillId="0" borderId="2" xfId="0" applyNumberFormat="1" applyFont="1" applyBorder="1" applyAlignment="1">
      <alignment/>
    </xf>
    <xf numFmtId="166" fontId="5" fillId="0" borderId="0" xfId="19" applyFont="1" applyAlignment="1">
      <alignment/>
    </xf>
    <xf numFmtId="4" fontId="5" fillId="0" borderId="0" xfId="15" applyFont="1" applyAlignment="1">
      <alignment/>
    </xf>
    <xf numFmtId="174" fontId="4" fillId="0" borderId="0" xfId="15" applyNumberFormat="1" applyFont="1" applyFill="1" applyAlignment="1">
      <alignment/>
    </xf>
    <xf numFmtId="184" fontId="0" fillId="0" borderId="0" xfId="15" applyNumberFormat="1" applyAlignment="1">
      <alignment horizontal="right"/>
    </xf>
    <xf numFmtId="184" fontId="0" fillId="0" borderId="0" xfId="15" applyNumberFormat="1" applyAlignment="1">
      <alignment/>
    </xf>
    <xf numFmtId="184" fontId="4" fillId="0" borderId="0" xfId="15" applyNumberFormat="1" applyFont="1" applyBorder="1" applyAlignment="1">
      <alignment/>
    </xf>
    <xf numFmtId="184" fontId="4" fillId="0" borderId="0" xfId="15" applyNumberFormat="1" applyFont="1" applyAlignment="1">
      <alignment/>
    </xf>
    <xf numFmtId="184" fontId="4" fillId="0" borderId="2" xfId="15" applyNumberFormat="1" applyFont="1" applyBorder="1" applyAlignment="1">
      <alignment/>
    </xf>
    <xf numFmtId="0" fontId="4" fillId="0" borderId="0" xfId="29" applyFont="1" applyAlignment="1">
      <alignment horizontal="center"/>
      <protection/>
    </xf>
    <xf numFmtId="3" fontId="8" fillId="0" borderId="0" xfId="0" applyFont="1" applyBorder="1" applyAlignment="1">
      <alignment/>
    </xf>
    <xf numFmtId="3" fontId="4" fillId="0" borderId="1" xfId="0" applyFont="1" applyBorder="1" applyAlignment="1">
      <alignment/>
    </xf>
    <xf numFmtId="3" fontId="4" fillId="0" borderId="0" xfId="0" applyFont="1" applyBorder="1" applyAlignment="1">
      <alignment/>
    </xf>
    <xf numFmtId="174" fontId="4" fillId="0" borderId="2" xfId="15" applyNumberFormat="1" applyFont="1" applyBorder="1" applyAlignment="1">
      <alignment horizontal="center" vertical="center"/>
    </xf>
    <xf numFmtId="170" fontId="4" fillId="0" borderId="0" xfId="15" applyNumberFormat="1" applyAlignment="1">
      <alignment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center" vertical="center"/>
    </xf>
    <xf numFmtId="3" fontId="7" fillId="0" borderId="3" xfId="0" applyFont="1" applyBorder="1" applyAlignment="1">
      <alignment horizontal="center"/>
    </xf>
    <xf numFmtId="3" fontId="7" fillId="0" borderId="8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0" xfId="0" applyFont="1" applyAlignment="1">
      <alignment horizontal="center" vertical="center" wrapText="1"/>
    </xf>
    <xf numFmtId="3" fontId="4" fillId="0" borderId="0" xfId="0" applyFont="1" applyAlignment="1">
      <alignment horizontal="center"/>
    </xf>
    <xf numFmtId="3" fontId="0" fillId="0" borderId="0" xfId="0" applyAlignment="1">
      <alignment/>
    </xf>
    <xf numFmtId="3" fontId="5" fillId="0" borderId="7" xfId="0" applyFont="1" applyBorder="1" applyAlignment="1">
      <alignment horizontal="center"/>
    </xf>
    <xf numFmtId="3" fontId="5" fillId="0" borderId="5" xfId="0" applyFont="1" applyBorder="1" applyAlignment="1">
      <alignment horizontal="center" vertical="center" wrapText="1"/>
    </xf>
    <xf numFmtId="3" fontId="5" fillId="0" borderId="0" xfId="0" applyFont="1" applyBorder="1" applyAlignment="1">
      <alignment horizontal="center" vertical="center" wrapText="1"/>
    </xf>
    <xf numFmtId="3" fontId="5" fillId="0" borderId="2" xfId="0" applyFont="1" applyBorder="1" applyAlignment="1">
      <alignment horizontal="center" vertical="center" wrapText="1"/>
    </xf>
    <xf numFmtId="3" fontId="5" fillId="0" borderId="0" xfId="0" applyFont="1" applyAlignment="1">
      <alignment horizontal="center"/>
    </xf>
    <xf numFmtId="3" fontId="4" fillId="0" borderId="2" xfId="0" applyFont="1" applyBorder="1" applyAlignment="1">
      <alignment horizontal="center"/>
    </xf>
    <xf numFmtId="3" fontId="4" fillId="0" borderId="2" xfId="0" applyFont="1" applyBorder="1" applyAlignment="1">
      <alignment horizontal="center"/>
    </xf>
    <xf numFmtId="3" fontId="0" fillId="0" borderId="2" xfId="0" applyBorder="1" applyAlignment="1">
      <alignment/>
    </xf>
    <xf numFmtId="174" fontId="4" fillId="0" borderId="0" xfId="17" applyNumberFormat="1" applyFont="1" applyBorder="1" applyAlignment="1">
      <alignment horizontal="center"/>
    </xf>
    <xf numFmtId="10" fontId="4" fillId="0" borderId="0" xfId="30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4" fontId="4" fillId="0" borderId="2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84" fontId="4" fillId="0" borderId="0" xfId="15" applyNumberFormat="1" applyFont="1" applyAlignment="1">
      <alignment horizontal="right"/>
    </xf>
    <xf numFmtId="183" fontId="4" fillId="0" borderId="0" xfId="29" applyNumberFormat="1" applyFont="1">
      <alignment/>
      <protection/>
    </xf>
    <xf numFmtId="169" fontId="4" fillId="0" borderId="2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0" fontId="4" fillId="0" borderId="0" xfId="15" applyNumberFormat="1" applyFont="1" applyBorder="1" applyAlignment="1">
      <alignment/>
    </xf>
    <xf numFmtId="170" fontId="4" fillId="0" borderId="2" xfId="15" applyNumberFormat="1" applyFont="1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3" xfId="0" applyFont="1" applyBorder="1" applyAlignment="1">
      <alignment horizontal="center"/>
    </xf>
    <xf numFmtId="176" fontId="4" fillId="0" borderId="0" xfId="0" applyNumberFormat="1" applyFont="1" applyAlignment="1">
      <alignment/>
    </xf>
    <xf numFmtId="3" fontId="4" fillId="0" borderId="0" xfId="0" applyFont="1" applyAlignment="1">
      <alignment horizontal="center" vertical="center"/>
    </xf>
    <xf numFmtId="3" fontId="4" fillId="0" borderId="0" xfId="0" applyFont="1" applyAlignment="1">
      <alignment horizontal="left" vertical="center"/>
    </xf>
    <xf numFmtId="3" fontId="4" fillId="0" borderId="6" xfId="0" applyFont="1" applyBorder="1" applyAlignment="1">
      <alignment/>
    </xf>
    <xf numFmtId="3" fontId="6" fillId="0" borderId="0" xfId="0" applyFont="1" applyAlignment="1">
      <alignment/>
    </xf>
    <xf numFmtId="3" fontId="4" fillId="0" borderId="0" xfId="18" applyFont="1" applyAlignment="1">
      <alignment/>
    </xf>
    <xf numFmtId="3" fontId="4" fillId="0" borderId="0" xfId="18" applyFont="1" applyAlignment="1">
      <alignment/>
    </xf>
    <xf numFmtId="3" fontId="4" fillId="0" borderId="0" xfId="0" applyFont="1" applyAlignment="1" quotePrefix="1">
      <alignment/>
    </xf>
  </cellXfs>
  <cellStyles count="18">
    <cellStyle name="Normal" xfId="0"/>
    <cellStyle name="Comma" xfId="15"/>
    <cellStyle name="Comma [0]" xfId="16"/>
    <cellStyle name="Comma_SFD2001PT4 TB19" xfId="17"/>
    <cellStyle name="Comma0" xfId="18"/>
    <cellStyle name="Currency" xfId="19"/>
    <cellStyle name="Currency [0]" xfId="20"/>
    <cellStyle name="Currency_SFD2001PT4 TB19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Normal_SFD2001PT4 TB19" xfId="29"/>
    <cellStyle name="Percent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tabSelected="1" workbookViewId="0" topLeftCell="A1">
      <selection activeCell="G7" sqref="G7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3" width="6.625" style="1" customWidth="1"/>
    <col min="14" max="14" width="10.50390625" style="1" customWidth="1"/>
    <col min="15" max="17" width="9.375" style="1" bestFit="1" customWidth="1"/>
    <col min="18" max="19" width="9.375" style="3" bestFit="1" customWidth="1"/>
    <col min="20" max="21" width="12.00390625" style="3" customWidth="1"/>
    <col min="22" max="22" width="10.125" style="1" customWidth="1"/>
    <col min="23" max="23" width="5.50390625" style="3" customWidth="1"/>
    <col min="24" max="24" width="12.375" style="0" bestFit="1" customWidth="1"/>
    <col min="26" max="16384" width="12.00390625" style="3" customWidth="1"/>
  </cols>
  <sheetData>
    <row r="1" spans="1:22" ht="15.75" customHeight="1">
      <c r="A1" s="128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"/>
      <c r="P1" s="2"/>
      <c r="Q1" s="2"/>
      <c r="V1" s="128"/>
    </row>
    <row r="2" spans="1:22" ht="15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2"/>
      <c r="P2" s="2"/>
      <c r="Q2" s="2"/>
      <c r="V2" s="128"/>
    </row>
    <row r="3" spans="1:25" s="141" customFormat="1" ht="15.75">
      <c r="A3" s="128" t="s">
        <v>35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42"/>
      <c r="O3" s="106"/>
      <c r="P3" s="2"/>
      <c r="Q3" s="2"/>
      <c r="V3" s="128"/>
      <c r="X3" s="94"/>
      <c r="Y3" s="94"/>
    </row>
    <row r="4" spans="1:22" ht="15.75">
      <c r="A4" s="128" t="s">
        <v>196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0"/>
      <c r="P4" s="2"/>
      <c r="Q4" s="2"/>
      <c r="V4" s="128"/>
    </row>
    <row r="5" spans="1:22" ht="16.5" thickBot="1">
      <c r="A5" s="4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V5" s="106"/>
    </row>
    <row r="6" spans="1:22" ht="16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S6" s="5"/>
      <c r="T6" s="1"/>
      <c r="U6" s="5"/>
      <c r="V6" s="5"/>
    </row>
    <row r="7" spans="12:21" ht="15.75">
      <c r="L7" s="6" t="s">
        <v>34</v>
      </c>
      <c r="M7" s="6"/>
      <c r="S7" s="1"/>
      <c r="T7" s="1"/>
      <c r="U7" s="1"/>
    </row>
    <row r="8" spans="1:22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106</v>
      </c>
      <c r="M8" s="10" t="s">
        <v>107</v>
      </c>
      <c r="O8" s="7"/>
      <c r="P8" s="7"/>
      <c r="Q8" s="7"/>
      <c r="S8" s="7"/>
      <c r="T8" s="1"/>
      <c r="U8" s="7"/>
      <c r="V8" s="7"/>
    </row>
    <row r="9" spans="1:31" ht="13.5" thickBot="1">
      <c r="A9" s="8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42" t="s">
        <v>105</v>
      </c>
      <c r="M9" s="42" t="s">
        <v>105</v>
      </c>
      <c r="N9" s="10" t="s">
        <v>2</v>
      </c>
      <c r="O9" s="9" t="s">
        <v>36</v>
      </c>
      <c r="P9" s="9" t="s">
        <v>71</v>
      </c>
      <c r="Q9" s="9" t="s">
        <v>72</v>
      </c>
      <c r="R9" s="9" t="s">
        <v>73</v>
      </c>
      <c r="S9" s="9" t="s">
        <v>74</v>
      </c>
      <c r="T9" s="9" t="s">
        <v>75</v>
      </c>
      <c r="U9" s="8" t="s">
        <v>89</v>
      </c>
      <c r="V9" s="8" t="s">
        <v>84</v>
      </c>
      <c r="X9" s="9" t="s">
        <v>129</v>
      </c>
      <c r="Y9" s="9" t="s">
        <v>129</v>
      </c>
      <c r="Z9" s="9" t="s">
        <v>130</v>
      </c>
      <c r="AA9" s="9" t="s">
        <v>130</v>
      </c>
      <c r="AB9" s="140" t="s">
        <v>187</v>
      </c>
      <c r="AC9" s="140" t="s">
        <v>187</v>
      </c>
      <c r="AD9" s="21" t="s">
        <v>197</v>
      </c>
      <c r="AE9" s="21" t="s">
        <v>197</v>
      </c>
    </row>
    <row r="10" spans="1:31" ht="13.5" thickTop="1">
      <c r="A10" s="7" t="s">
        <v>5</v>
      </c>
      <c r="B10" s="37">
        <f aca="true" t="shared" si="0" ref="B10:K10">SUM(B12:B43)</f>
        <v>5232243</v>
      </c>
      <c r="C10" s="37">
        <f t="shared" si="0"/>
        <v>5617081</v>
      </c>
      <c r="D10" s="37">
        <f t="shared" si="0"/>
        <v>5825906</v>
      </c>
      <c r="E10" s="37">
        <f t="shared" si="0"/>
        <v>6192537</v>
      </c>
      <c r="F10" s="37">
        <f t="shared" si="0"/>
        <v>6508317</v>
      </c>
      <c r="G10" s="37">
        <f t="shared" si="0"/>
        <v>6888280</v>
      </c>
      <c r="H10" s="37">
        <f t="shared" si="0"/>
        <v>7380283</v>
      </c>
      <c r="I10" s="37">
        <f t="shared" si="0"/>
        <v>7970074</v>
      </c>
      <c r="J10" s="37">
        <f t="shared" si="0"/>
        <v>8486727</v>
      </c>
      <c r="K10" s="37">
        <f t="shared" si="0"/>
        <v>8796946</v>
      </c>
      <c r="L10" s="222">
        <f>(K10-J10)/J10</f>
        <v>0.0366</v>
      </c>
      <c r="M10" s="222">
        <f>(K10-V10)/V10</f>
        <v>0.7693</v>
      </c>
      <c r="N10" s="14">
        <f>SUM(N12:N39)</f>
        <v>2708782</v>
      </c>
      <c r="O10" s="14">
        <f aca="true" t="shared" si="1" ref="O10:U10">SUM(O12:O39)</f>
        <v>2924289</v>
      </c>
      <c r="P10" s="14">
        <f t="shared" si="1"/>
        <v>3241664</v>
      </c>
      <c r="Q10" s="14">
        <f t="shared" si="1"/>
        <v>3533901</v>
      </c>
      <c r="R10" s="14">
        <f t="shared" si="1"/>
        <v>3853453</v>
      </c>
      <c r="S10" s="14">
        <f t="shared" si="1"/>
        <v>4337276</v>
      </c>
      <c r="T10" s="14">
        <f t="shared" si="1"/>
        <v>4603016</v>
      </c>
      <c r="U10" s="14">
        <f t="shared" si="1"/>
        <v>4671600</v>
      </c>
      <c r="V10" s="11">
        <f>SUM(V12:V43)</f>
        <v>4971938</v>
      </c>
      <c r="X10" s="68">
        <f aca="true" t="shared" si="2" ref="X10:AC10">SUM(X12:X43)</f>
        <v>7380281738</v>
      </c>
      <c r="Y10" s="68">
        <f t="shared" si="2"/>
        <v>7380283</v>
      </c>
      <c r="Z10" s="68">
        <f t="shared" si="2"/>
        <v>7970072299</v>
      </c>
      <c r="AA10" s="68">
        <f t="shared" si="2"/>
        <v>7970074</v>
      </c>
      <c r="AB10" s="68">
        <f t="shared" si="2"/>
        <v>8486725629</v>
      </c>
      <c r="AC10" s="68">
        <f t="shared" si="2"/>
        <v>8486727</v>
      </c>
      <c r="AD10" s="3">
        <v>8796944155</v>
      </c>
      <c r="AE10" s="3">
        <f>AD10/1000</f>
        <v>8796944</v>
      </c>
    </row>
    <row r="11" spans="2:25" ht="15.75">
      <c r="B11" s="32"/>
      <c r="C11" s="38"/>
      <c r="D11" s="38"/>
      <c r="E11" s="38"/>
      <c r="F11" s="38"/>
      <c r="G11" s="38"/>
      <c r="H11" s="38"/>
      <c r="I11" s="38"/>
      <c r="J11" s="38"/>
      <c r="K11" s="38"/>
      <c r="L11" s="223"/>
      <c r="M11" s="224"/>
      <c r="O11" s="15"/>
      <c r="R11" s="15"/>
      <c r="S11" s="15"/>
      <c r="T11" s="1"/>
      <c r="U11" s="1"/>
      <c r="Y11" s="3"/>
    </row>
    <row r="12" spans="1:31" ht="15.75">
      <c r="A12" s="1" t="s">
        <v>6</v>
      </c>
      <c r="B12" s="38">
        <v>65486</v>
      </c>
      <c r="C12" s="38">
        <v>69064</v>
      </c>
      <c r="D12" s="38">
        <v>73297</v>
      </c>
      <c r="E12" s="38">
        <v>77600</v>
      </c>
      <c r="F12" s="38">
        <v>78292</v>
      </c>
      <c r="G12" s="38">
        <v>84288</v>
      </c>
      <c r="H12" s="85">
        <v>88134</v>
      </c>
      <c r="I12" s="85">
        <v>86729</v>
      </c>
      <c r="J12" s="85">
        <v>89967</v>
      </c>
      <c r="K12" s="85">
        <v>96068</v>
      </c>
      <c r="L12" s="223">
        <f>(K12-J12)*100/J12</f>
        <v>6.8</v>
      </c>
      <c r="M12" s="224">
        <f>(K12-V12)*100/V12</f>
        <v>56.2</v>
      </c>
      <c r="N12" s="15">
        <v>40216</v>
      </c>
      <c r="O12" s="15">
        <v>44130</v>
      </c>
      <c r="P12" s="15">
        <v>43732</v>
      </c>
      <c r="Q12" s="15">
        <v>46910</v>
      </c>
      <c r="R12" s="15">
        <v>50090</v>
      </c>
      <c r="S12" s="15">
        <v>52425</v>
      </c>
      <c r="T12" s="15">
        <v>56429</v>
      </c>
      <c r="U12" s="15">
        <v>67849</v>
      </c>
      <c r="V12" s="15">
        <v>61522</v>
      </c>
      <c r="X12">
        <v>88133764</v>
      </c>
      <c r="Y12" s="3">
        <f>X12/1000</f>
        <v>88134</v>
      </c>
      <c r="Z12" s="3">
        <v>86728743</v>
      </c>
      <c r="AA12" s="3">
        <f>Z12/1000</f>
        <v>86729</v>
      </c>
      <c r="AB12" s="3">
        <v>89967487</v>
      </c>
      <c r="AC12" s="3">
        <f>AB12/1000</f>
        <v>89967</v>
      </c>
      <c r="AD12" s="3">
        <v>96068479</v>
      </c>
      <c r="AE12" s="3">
        <f>AD12/1000</f>
        <v>96068</v>
      </c>
    </row>
    <row r="13" spans="1:31" ht="15.75">
      <c r="A13" s="1" t="s">
        <v>7</v>
      </c>
      <c r="B13" s="38">
        <v>452325</v>
      </c>
      <c r="C13" s="38">
        <v>491436</v>
      </c>
      <c r="D13" s="38">
        <v>507045</v>
      </c>
      <c r="E13" s="38">
        <v>535596</v>
      </c>
      <c r="F13" s="38">
        <v>550200</v>
      </c>
      <c r="G13" s="38">
        <v>564022</v>
      </c>
      <c r="H13" s="85">
        <v>619799</v>
      </c>
      <c r="I13" s="85">
        <v>681194</v>
      </c>
      <c r="J13" s="85">
        <v>712514</v>
      </c>
      <c r="K13" s="85">
        <v>708910</v>
      </c>
      <c r="L13" s="223">
        <f>(K13-J13)*100/J13</f>
        <v>-0.5</v>
      </c>
      <c r="M13" s="224">
        <f>(K13-V13)*100/V13</f>
        <v>64.4</v>
      </c>
      <c r="N13" s="15">
        <v>245797</v>
      </c>
      <c r="O13" s="15">
        <v>266658</v>
      </c>
      <c r="P13" s="15">
        <v>301791</v>
      </c>
      <c r="Q13" s="15">
        <v>317808</v>
      </c>
      <c r="R13" s="15">
        <v>337324</v>
      </c>
      <c r="S13" s="15">
        <v>371453</v>
      </c>
      <c r="T13" s="15">
        <v>403374</v>
      </c>
      <c r="U13" s="15">
        <v>405915</v>
      </c>
      <c r="V13" s="15">
        <v>431330</v>
      </c>
      <c r="X13">
        <v>619799327</v>
      </c>
      <c r="Y13" s="3">
        <f>X13/1000</f>
        <v>619799</v>
      </c>
      <c r="Z13" s="3">
        <v>681193515</v>
      </c>
      <c r="AA13" s="3">
        <f>Z13/1000</f>
        <v>681194</v>
      </c>
      <c r="AB13" s="3">
        <v>712513879</v>
      </c>
      <c r="AC13" s="3">
        <f>AB13/1000</f>
        <v>712514</v>
      </c>
      <c r="AD13" s="3">
        <v>708909564</v>
      </c>
      <c r="AE13" s="3">
        <f>AD13/1000</f>
        <v>708910</v>
      </c>
    </row>
    <row r="14" spans="1:31" ht="15.75">
      <c r="A14" s="1" t="s">
        <v>8</v>
      </c>
      <c r="B14" s="38">
        <v>684951</v>
      </c>
      <c r="C14" s="38">
        <v>698404</v>
      </c>
      <c r="D14" s="38">
        <v>733243</v>
      </c>
      <c r="E14" s="38">
        <v>762726</v>
      </c>
      <c r="F14" s="38">
        <v>830744</v>
      </c>
      <c r="G14" s="38">
        <v>888189</v>
      </c>
      <c r="H14" s="85">
        <v>921335</v>
      </c>
      <c r="I14" s="85">
        <v>997820</v>
      </c>
      <c r="J14" s="85">
        <v>1001470</v>
      </c>
      <c r="K14" s="85">
        <v>1076059</v>
      </c>
      <c r="L14" s="223">
        <f>(K14-J14)*100/J14</f>
        <v>7.4</v>
      </c>
      <c r="M14" s="224">
        <f>(K14-V14)*100/V14</f>
        <v>58.8</v>
      </c>
      <c r="N14" s="15">
        <v>402602</v>
      </c>
      <c r="O14" s="15">
        <v>431547</v>
      </c>
      <c r="P14" s="15">
        <v>453401</v>
      </c>
      <c r="Q14" s="15">
        <v>479472</v>
      </c>
      <c r="R14" s="15">
        <v>533182</v>
      </c>
      <c r="S14" s="15">
        <v>565707</v>
      </c>
      <c r="T14" s="15">
        <v>605864</v>
      </c>
      <c r="U14" s="15">
        <v>621887</v>
      </c>
      <c r="V14" s="15">
        <v>677728</v>
      </c>
      <c r="X14">
        <v>921334959</v>
      </c>
      <c r="Y14" s="3">
        <f>X14/1000</f>
        <v>921335</v>
      </c>
      <c r="Z14" s="3">
        <v>997820032</v>
      </c>
      <c r="AA14" s="3">
        <f>Z14/1000</f>
        <v>997820</v>
      </c>
      <c r="AB14" s="3">
        <v>1001469957</v>
      </c>
      <c r="AC14" s="3">
        <f>AB14/1000</f>
        <v>1001470</v>
      </c>
      <c r="AD14" s="3">
        <v>1076059114</v>
      </c>
      <c r="AE14" s="3">
        <f>AD14/1000</f>
        <v>1076059</v>
      </c>
    </row>
    <row r="15" spans="1:31" ht="15.75">
      <c r="A15" s="1" t="s">
        <v>9</v>
      </c>
      <c r="B15" s="38">
        <v>638189</v>
      </c>
      <c r="C15" s="38">
        <v>704416</v>
      </c>
      <c r="D15" s="38">
        <v>709758</v>
      </c>
      <c r="E15" s="38">
        <v>760873</v>
      </c>
      <c r="F15" s="38">
        <v>819191</v>
      </c>
      <c r="G15" s="38">
        <v>849132</v>
      </c>
      <c r="H15" s="85">
        <v>898621</v>
      </c>
      <c r="I15" s="85">
        <v>1017545</v>
      </c>
      <c r="J15" s="85">
        <v>1117149</v>
      </c>
      <c r="K15" s="85">
        <v>1102163</v>
      </c>
      <c r="L15" s="223">
        <f>(K15-J15)*100/J15</f>
        <v>-1.3</v>
      </c>
      <c r="M15" s="224">
        <f>(K15-V15)*100/V15</f>
        <v>78.4</v>
      </c>
      <c r="N15" s="15">
        <v>372872</v>
      </c>
      <c r="O15" s="15">
        <v>393270</v>
      </c>
      <c r="P15" s="15">
        <v>420581</v>
      </c>
      <c r="Q15" s="15">
        <v>440904</v>
      </c>
      <c r="R15" s="15">
        <v>494175</v>
      </c>
      <c r="S15" s="15">
        <v>553595</v>
      </c>
      <c r="T15" s="15">
        <v>562784</v>
      </c>
      <c r="U15" s="15">
        <v>586465</v>
      </c>
      <c r="V15" s="15">
        <v>617863</v>
      </c>
      <c r="X15">
        <v>898620977</v>
      </c>
      <c r="Y15" s="3">
        <f>X15/1000</f>
        <v>898621</v>
      </c>
      <c r="Z15" s="3">
        <v>1017544972</v>
      </c>
      <c r="AA15" s="3">
        <f>Z15/1000</f>
        <v>1017545</v>
      </c>
      <c r="AB15" s="3">
        <v>1117148975</v>
      </c>
      <c r="AC15" s="3">
        <f>AB15/1000</f>
        <v>1117149</v>
      </c>
      <c r="AD15" s="3">
        <v>1102162883</v>
      </c>
      <c r="AE15" s="3">
        <f>AD15/1000</f>
        <v>1102163</v>
      </c>
    </row>
    <row r="16" spans="1:31" ht="15.75">
      <c r="A16" s="1" t="s">
        <v>10</v>
      </c>
      <c r="B16" s="38">
        <v>92305</v>
      </c>
      <c r="C16" s="38">
        <v>83839</v>
      </c>
      <c r="D16" s="38">
        <v>95631</v>
      </c>
      <c r="E16" s="38">
        <v>100862</v>
      </c>
      <c r="F16" s="38">
        <v>98672</v>
      </c>
      <c r="G16" s="38">
        <v>110946</v>
      </c>
      <c r="H16" s="85">
        <v>124370</v>
      </c>
      <c r="I16" s="85">
        <v>125232</v>
      </c>
      <c r="J16" s="85">
        <v>137158</v>
      </c>
      <c r="K16" s="85">
        <v>184379</v>
      </c>
      <c r="L16" s="223">
        <f>(K16-J16)*100/J16</f>
        <v>34.4</v>
      </c>
      <c r="M16" s="224">
        <f>(K16-V16)*100/V16</f>
        <v>163.4</v>
      </c>
      <c r="N16" s="15">
        <v>30406</v>
      </c>
      <c r="O16" s="15">
        <v>36206</v>
      </c>
      <c r="P16" s="15">
        <v>35373</v>
      </c>
      <c r="Q16" s="15">
        <v>44557</v>
      </c>
      <c r="R16" s="15">
        <v>48491</v>
      </c>
      <c r="S16" s="15">
        <v>54724</v>
      </c>
      <c r="T16" s="15">
        <v>71576</v>
      </c>
      <c r="U16" s="15">
        <v>68097</v>
      </c>
      <c r="V16" s="15">
        <v>69997</v>
      </c>
      <c r="X16">
        <v>124369630</v>
      </c>
      <c r="Y16" s="3">
        <f>X16/1000</f>
        <v>124370</v>
      </c>
      <c r="Z16" s="3">
        <v>125231801</v>
      </c>
      <c r="AA16" s="3">
        <f>Z16/1000</f>
        <v>125232</v>
      </c>
      <c r="AB16" s="3">
        <v>137157725</v>
      </c>
      <c r="AC16" s="3">
        <f>AB16/1000</f>
        <v>137158</v>
      </c>
      <c r="AD16" s="3">
        <v>184378688</v>
      </c>
      <c r="AE16" s="3">
        <f>AD16/1000</f>
        <v>184379</v>
      </c>
    </row>
    <row r="17" spans="2:25" ht="15.75">
      <c r="B17" s="38"/>
      <c r="C17" s="38"/>
      <c r="D17" s="38"/>
      <c r="E17" s="38"/>
      <c r="F17" s="38"/>
      <c r="G17" s="38"/>
      <c r="H17" s="85"/>
      <c r="I17" s="85"/>
      <c r="J17" s="85"/>
      <c r="K17" s="85"/>
      <c r="L17" s="223"/>
      <c r="M17" s="224"/>
      <c r="N17" s="15"/>
      <c r="P17" s="15"/>
      <c r="Q17" s="15"/>
      <c r="R17" s="15"/>
      <c r="S17" s="15"/>
      <c r="T17" s="15"/>
      <c r="U17" s="15"/>
      <c r="V17" s="15"/>
      <c r="Y17" s="3"/>
    </row>
    <row r="18" spans="1:31" ht="15.75">
      <c r="A18" s="1" t="s">
        <v>11</v>
      </c>
      <c r="B18" s="38">
        <v>28462</v>
      </c>
      <c r="C18" s="38">
        <v>32190</v>
      </c>
      <c r="D18" s="38">
        <v>33055</v>
      </c>
      <c r="E18" s="38">
        <v>35188</v>
      </c>
      <c r="F18" s="38">
        <v>37083</v>
      </c>
      <c r="G18" s="38">
        <v>39270</v>
      </c>
      <c r="H18" s="85">
        <v>41059</v>
      </c>
      <c r="I18" s="85">
        <v>41718</v>
      </c>
      <c r="J18" s="85">
        <v>49947</v>
      </c>
      <c r="K18" s="85">
        <v>47195</v>
      </c>
      <c r="L18" s="223">
        <f>(K18-J18)*100/J18</f>
        <v>-5.5</v>
      </c>
      <c r="M18" s="224">
        <f>(K18-V18)*100/V18</f>
        <v>74.4</v>
      </c>
      <c r="N18" s="15">
        <v>14046</v>
      </c>
      <c r="O18" s="15">
        <v>15132</v>
      </c>
      <c r="P18" s="15">
        <v>16526</v>
      </c>
      <c r="Q18" s="15">
        <v>18279</v>
      </c>
      <c r="R18" s="15">
        <v>20044</v>
      </c>
      <c r="S18" s="15">
        <v>22471</v>
      </c>
      <c r="T18" s="15">
        <v>24085</v>
      </c>
      <c r="U18" s="15">
        <v>25273</v>
      </c>
      <c r="V18" s="15">
        <v>27067</v>
      </c>
      <c r="X18">
        <v>41058687</v>
      </c>
      <c r="Y18" s="3">
        <f>X18/1000</f>
        <v>41059</v>
      </c>
      <c r="Z18" s="3">
        <v>41717949</v>
      </c>
      <c r="AA18" s="3">
        <f>Z18/1000</f>
        <v>41718</v>
      </c>
      <c r="AB18" s="3">
        <v>49946742</v>
      </c>
      <c r="AC18" s="3">
        <f>AB18/1000</f>
        <v>49947</v>
      </c>
      <c r="AD18" s="3">
        <v>47195128</v>
      </c>
      <c r="AE18" s="3">
        <f>AD18/1000</f>
        <v>47195</v>
      </c>
    </row>
    <row r="19" spans="1:31" ht="15.75">
      <c r="A19" s="1" t="s">
        <v>12</v>
      </c>
      <c r="B19" s="38">
        <v>147099</v>
      </c>
      <c r="C19" s="38">
        <v>165651</v>
      </c>
      <c r="D19" s="38">
        <v>167603</v>
      </c>
      <c r="E19" s="38">
        <v>185377</v>
      </c>
      <c r="F19" s="38">
        <v>197513</v>
      </c>
      <c r="G19" s="38">
        <v>208721</v>
      </c>
      <c r="H19" s="85">
        <v>227382</v>
      </c>
      <c r="I19" s="85">
        <v>241049</v>
      </c>
      <c r="J19" s="85">
        <v>230735</v>
      </c>
      <c r="K19" s="85">
        <v>244433</v>
      </c>
      <c r="L19" s="223">
        <f>(K19-J19)*100/J19</f>
        <v>5.9</v>
      </c>
      <c r="M19" s="224">
        <f>(K19-V19)*100/V19</f>
        <v>77.9</v>
      </c>
      <c r="N19" s="15">
        <v>65616</v>
      </c>
      <c r="O19" s="15">
        <v>69747</v>
      </c>
      <c r="P19" s="15">
        <v>76961</v>
      </c>
      <c r="Q19" s="15">
        <v>87045</v>
      </c>
      <c r="R19" s="15">
        <v>97206</v>
      </c>
      <c r="S19" s="15">
        <v>107803</v>
      </c>
      <c r="T19" s="15">
        <v>126615</v>
      </c>
      <c r="U19" s="15">
        <v>136371</v>
      </c>
      <c r="V19" s="15">
        <v>137367</v>
      </c>
      <c r="X19">
        <v>227382303</v>
      </c>
      <c r="Y19" s="3">
        <f>X19/1000</f>
        <v>227382</v>
      </c>
      <c r="Z19" s="3">
        <v>241048911</v>
      </c>
      <c r="AA19" s="3">
        <f>Z19/1000</f>
        <v>241049</v>
      </c>
      <c r="AB19" s="3">
        <v>230735282</v>
      </c>
      <c r="AC19" s="3">
        <f>AB19/1000</f>
        <v>230735</v>
      </c>
      <c r="AD19" s="3">
        <v>244433303</v>
      </c>
      <c r="AE19" s="3">
        <f>AD19/1000</f>
        <v>244433</v>
      </c>
    </row>
    <row r="20" spans="1:31" ht="15.75">
      <c r="A20" s="1" t="s">
        <v>13</v>
      </c>
      <c r="B20" s="38">
        <v>81203</v>
      </c>
      <c r="C20" s="38">
        <v>92745</v>
      </c>
      <c r="D20" s="38">
        <v>97954</v>
      </c>
      <c r="E20" s="38">
        <v>101723</v>
      </c>
      <c r="F20" s="38">
        <v>106122</v>
      </c>
      <c r="G20" s="38">
        <v>114794</v>
      </c>
      <c r="H20" s="85">
        <v>122521</v>
      </c>
      <c r="I20" s="85">
        <v>132351</v>
      </c>
      <c r="J20" s="85">
        <v>133875</v>
      </c>
      <c r="K20" s="85">
        <v>142445</v>
      </c>
      <c r="L20" s="223">
        <f>(K20-J20)*100/J20</f>
        <v>6.4</v>
      </c>
      <c r="M20" s="224">
        <f>(K20-V20)*100/V20</f>
        <v>96.7</v>
      </c>
      <c r="N20" s="15">
        <v>38811</v>
      </c>
      <c r="O20" s="15">
        <v>41544</v>
      </c>
      <c r="P20" s="15">
        <v>45594</v>
      </c>
      <c r="Q20" s="15">
        <v>49203</v>
      </c>
      <c r="R20" s="15">
        <v>55304</v>
      </c>
      <c r="S20" s="15">
        <v>82183</v>
      </c>
      <c r="T20" s="15">
        <v>71413</v>
      </c>
      <c r="U20" s="15">
        <v>75427</v>
      </c>
      <c r="V20" s="15">
        <v>72434</v>
      </c>
      <c r="X20">
        <v>122521384</v>
      </c>
      <c r="Y20" s="3">
        <f>X20/1000</f>
        <v>122521</v>
      </c>
      <c r="Z20" s="3">
        <v>132350788</v>
      </c>
      <c r="AA20" s="3">
        <f>Z20/1000</f>
        <v>132351</v>
      </c>
      <c r="AB20" s="3">
        <v>133875046</v>
      </c>
      <c r="AC20" s="3">
        <f>AB20/1000</f>
        <v>133875</v>
      </c>
      <c r="AD20" s="3">
        <v>142444881</v>
      </c>
      <c r="AE20" s="3">
        <f>AD20/1000</f>
        <v>142445</v>
      </c>
    </row>
    <row r="21" spans="1:31" ht="15.75">
      <c r="A21" s="1" t="s">
        <v>14</v>
      </c>
      <c r="B21" s="38">
        <v>126190</v>
      </c>
      <c r="C21" s="38">
        <v>146710</v>
      </c>
      <c r="D21" s="38">
        <v>142478</v>
      </c>
      <c r="E21" s="38">
        <v>155131</v>
      </c>
      <c r="F21" s="38">
        <v>158622</v>
      </c>
      <c r="G21" s="38">
        <v>162290</v>
      </c>
      <c r="H21" s="85">
        <v>178448</v>
      </c>
      <c r="I21" s="85">
        <v>183411</v>
      </c>
      <c r="J21" s="85">
        <v>202299</v>
      </c>
      <c r="K21" s="85">
        <v>213472</v>
      </c>
      <c r="L21" s="223">
        <f>(K21-J21)*100/J21</f>
        <v>5.5</v>
      </c>
      <c r="M21" s="224">
        <f>(K21-V21)*100/V21</f>
        <v>81</v>
      </c>
      <c r="N21" s="15">
        <v>58940</v>
      </c>
      <c r="O21" s="15">
        <v>63642</v>
      </c>
      <c r="P21" s="15">
        <v>74083</v>
      </c>
      <c r="Q21" s="15">
        <v>79906</v>
      </c>
      <c r="R21" s="15">
        <v>91145</v>
      </c>
      <c r="S21" s="15">
        <v>99257</v>
      </c>
      <c r="T21" s="15">
        <v>112191</v>
      </c>
      <c r="U21" s="15">
        <v>127781</v>
      </c>
      <c r="V21" s="15">
        <v>117957</v>
      </c>
      <c r="X21">
        <v>178448190</v>
      </c>
      <c r="Y21" s="3">
        <f>X21/1000</f>
        <v>178448</v>
      </c>
      <c r="Z21" s="3">
        <v>183410574</v>
      </c>
      <c r="AA21" s="3">
        <f>Z21/1000</f>
        <v>183411</v>
      </c>
      <c r="AB21" s="3">
        <v>202298924</v>
      </c>
      <c r="AC21" s="3">
        <f>AB21/1000</f>
        <v>202299</v>
      </c>
      <c r="AD21" s="3">
        <v>213471620</v>
      </c>
      <c r="AE21" s="3">
        <f>AD21/1000</f>
        <v>213472</v>
      </c>
    </row>
    <row r="22" spans="1:31" ht="15.75">
      <c r="A22" s="1" t="s">
        <v>15</v>
      </c>
      <c r="B22" s="38">
        <v>30077</v>
      </c>
      <c r="C22" s="38">
        <v>32284</v>
      </c>
      <c r="D22" s="38">
        <v>34087</v>
      </c>
      <c r="E22" s="38">
        <v>39956</v>
      </c>
      <c r="F22" s="38">
        <v>38844</v>
      </c>
      <c r="G22" s="38">
        <v>38234</v>
      </c>
      <c r="H22" s="85">
        <v>40215</v>
      </c>
      <c r="I22" s="85">
        <v>48463</v>
      </c>
      <c r="J22" s="85">
        <v>44172</v>
      </c>
      <c r="K22" s="85">
        <v>51215</v>
      </c>
      <c r="L22" s="223">
        <f>(K22-J22)*100/J22</f>
        <v>15.9</v>
      </c>
      <c r="M22" s="224">
        <f>(K22-V22)*100/V22</f>
        <v>84.6</v>
      </c>
      <c r="N22" s="15">
        <v>19055</v>
      </c>
      <c r="O22" s="15">
        <v>19758</v>
      </c>
      <c r="P22" s="15">
        <v>20386</v>
      </c>
      <c r="Q22" s="15">
        <v>21755</v>
      </c>
      <c r="R22" s="15">
        <v>23686</v>
      </c>
      <c r="S22" s="15">
        <v>26044</v>
      </c>
      <c r="T22" s="15">
        <v>27478</v>
      </c>
      <c r="U22" s="15">
        <v>27194</v>
      </c>
      <c r="V22" s="15">
        <v>27751</v>
      </c>
      <c r="X22">
        <v>40214954</v>
      </c>
      <c r="Y22" s="3">
        <f>X22/1000</f>
        <v>40215</v>
      </c>
      <c r="Z22" s="3">
        <v>48463211</v>
      </c>
      <c r="AA22" s="3">
        <f>Z22/1000</f>
        <v>48463</v>
      </c>
      <c r="AB22" s="3">
        <v>44171501</v>
      </c>
      <c r="AC22" s="3">
        <f>AB22/1000</f>
        <v>44172</v>
      </c>
      <c r="AD22" s="3">
        <v>51214929</v>
      </c>
      <c r="AE22" s="3">
        <f>AD22/1000</f>
        <v>51215</v>
      </c>
    </row>
    <row r="23" spans="2:25" ht="15.75">
      <c r="B23" s="38"/>
      <c r="C23" s="38"/>
      <c r="D23" s="38"/>
      <c r="E23" s="38"/>
      <c r="F23" s="38"/>
      <c r="G23" s="38"/>
      <c r="H23" s="85"/>
      <c r="I23" s="85"/>
      <c r="J23" s="85"/>
      <c r="K23" s="85"/>
      <c r="L23" s="223"/>
      <c r="M23" s="224"/>
      <c r="N23" s="15"/>
      <c r="P23" s="15"/>
      <c r="Q23" s="15"/>
      <c r="R23" s="15"/>
      <c r="S23" s="15"/>
      <c r="T23" s="15"/>
      <c r="U23" s="15"/>
      <c r="V23" s="15"/>
      <c r="Y23" s="3"/>
    </row>
    <row r="24" spans="1:31" ht="15.75">
      <c r="A24" s="1" t="s">
        <v>16</v>
      </c>
      <c r="B24" s="38">
        <v>184573</v>
      </c>
      <c r="C24" s="38">
        <v>223325</v>
      </c>
      <c r="D24" s="38">
        <v>221656</v>
      </c>
      <c r="E24" s="38">
        <v>223304</v>
      </c>
      <c r="F24" s="38">
        <v>246399</v>
      </c>
      <c r="G24" s="38">
        <v>253938</v>
      </c>
      <c r="H24" s="85">
        <v>295404</v>
      </c>
      <c r="I24" s="85">
        <v>349660</v>
      </c>
      <c r="J24" s="85">
        <v>361907</v>
      </c>
      <c r="K24" s="85">
        <v>356238</v>
      </c>
      <c r="L24" s="223">
        <f>(K24-J24)*100/J24</f>
        <v>-1.6</v>
      </c>
      <c r="M24" s="224">
        <f>(K24-V24)*100/V24</f>
        <v>91</v>
      </c>
      <c r="N24" s="15">
        <v>87248</v>
      </c>
      <c r="O24" s="15">
        <v>92511</v>
      </c>
      <c r="P24" s="15">
        <v>99321</v>
      </c>
      <c r="Q24" s="15">
        <v>114024</v>
      </c>
      <c r="R24" s="15">
        <v>126525</v>
      </c>
      <c r="S24" s="15">
        <v>150355</v>
      </c>
      <c r="T24" s="15">
        <v>162739</v>
      </c>
      <c r="U24" s="15">
        <v>167845</v>
      </c>
      <c r="V24" s="15">
        <v>186522</v>
      </c>
      <c r="X24">
        <v>295403703</v>
      </c>
      <c r="Y24" s="3">
        <f>X24/1000</f>
        <v>295404</v>
      </c>
      <c r="Z24" s="3">
        <v>349659863</v>
      </c>
      <c r="AA24" s="3">
        <f>Z24/1000</f>
        <v>349660</v>
      </c>
      <c r="AB24" s="3">
        <v>361906587</v>
      </c>
      <c r="AC24" s="3">
        <f>AB24/1000</f>
        <v>361907</v>
      </c>
      <c r="AD24" s="3">
        <v>356237592</v>
      </c>
      <c r="AE24" s="3">
        <f>AD24/1000</f>
        <v>356238</v>
      </c>
    </row>
    <row r="25" spans="1:31" ht="15.75">
      <c r="A25" s="1" t="s">
        <v>17</v>
      </c>
      <c r="B25" s="38">
        <v>30635</v>
      </c>
      <c r="C25" s="38">
        <v>31887</v>
      </c>
      <c r="D25" s="38">
        <v>33506</v>
      </c>
      <c r="E25" s="38">
        <v>34557</v>
      </c>
      <c r="F25" s="38">
        <v>35762</v>
      </c>
      <c r="G25" s="38">
        <v>37874</v>
      </c>
      <c r="H25" s="85">
        <v>38969</v>
      </c>
      <c r="I25" s="85">
        <v>41581</v>
      </c>
      <c r="J25" s="85">
        <v>41953</v>
      </c>
      <c r="K25" s="85">
        <v>44551</v>
      </c>
      <c r="L25" s="223">
        <f>(K25-J25)*100/J25</f>
        <v>6.2</v>
      </c>
      <c r="M25" s="224">
        <f>(K25-V25)*100/V25</f>
        <v>52.9</v>
      </c>
      <c r="N25" s="15">
        <v>16961</v>
      </c>
      <c r="O25" s="15">
        <v>21659</v>
      </c>
      <c r="P25" s="15">
        <v>22194</v>
      </c>
      <c r="Q25" s="15">
        <v>21641</v>
      </c>
      <c r="R25" s="15">
        <v>23604</v>
      </c>
      <c r="S25" s="15">
        <v>25695</v>
      </c>
      <c r="T25" s="15">
        <v>34595</v>
      </c>
      <c r="U25" s="15">
        <v>29138</v>
      </c>
      <c r="V25" s="15">
        <v>29145</v>
      </c>
      <c r="X25">
        <v>38968532</v>
      </c>
      <c r="Y25" s="3">
        <f>X25/1000</f>
        <v>38969</v>
      </c>
      <c r="Z25" s="3">
        <v>41580699</v>
      </c>
      <c r="AA25" s="3">
        <f>Z25/1000</f>
        <v>41581</v>
      </c>
      <c r="AB25" s="3">
        <v>41953306</v>
      </c>
      <c r="AC25" s="3">
        <f>AB25/1000</f>
        <v>41953</v>
      </c>
      <c r="AD25" s="3">
        <v>44550907</v>
      </c>
      <c r="AE25" s="3">
        <f>AD25/1000</f>
        <v>44551</v>
      </c>
    </row>
    <row r="26" spans="1:31" ht="15.75">
      <c r="A26" s="1" t="s">
        <v>18</v>
      </c>
      <c r="B26" s="38">
        <v>207522</v>
      </c>
      <c r="C26" s="38">
        <v>219788</v>
      </c>
      <c r="D26" s="38">
        <v>232610</v>
      </c>
      <c r="E26" s="38">
        <v>247380</v>
      </c>
      <c r="F26" s="38">
        <v>257645</v>
      </c>
      <c r="G26" s="38">
        <v>269878</v>
      </c>
      <c r="H26" s="85">
        <v>284858</v>
      </c>
      <c r="I26" s="85">
        <v>305934</v>
      </c>
      <c r="J26" s="85">
        <v>324907</v>
      </c>
      <c r="K26" s="85">
        <v>376881</v>
      </c>
      <c r="L26" s="223">
        <f>(K26-J26)*100/J26</f>
        <v>16</v>
      </c>
      <c r="M26" s="224">
        <f>(K26-V26)*100/V26</f>
        <v>94.8</v>
      </c>
      <c r="N26" s="15">
        <v>93303</v>
      </c>
      <c r="O26" s="15">
        <v>100389</v>
      </c>
      <c r="P26" s="15">
        <v>109732</v>
      </c>
      <c r="Q26" s="15">
        <v>118746</v>
      </c>
      <c r="R26" s="15">
        <v>130251</v>
      </c>
      <c r="S26" s="15">
        <v>147359</v>
      </c>
      <c r="T26" s="15">
        <v>164684</v>
      </c>
      <c r="U26" s="15">
        <v>171805</v>
      </c>
      <c r="V26" s="15">
        <v>193514</v>
      </c>
      <c r="X26">
        <v>284858060</v>
      </c>
      <c r="Y26" s="3">
        <f>X26/1000</f>
        <v>284858</v>
      </c>
      <c r="Z26" s="3">
        <v>305934323</v>
      </c>
      <c r="AA26" s="3">
        <f>Z26/1000</f>
        <v>305934</v>
      </c>
      <c r="AB26" s="3">
        <v>324906965</v>
      </c>
      <c r="AC26" s="3">
        <f>AB26/1000</f>
        <v>324907</v>
      </c>
      <c r="AD26" s="3">
        <v>376880895</v>
      </c>
      <c r="AE26" s="3">
        <f>AD26/1000</f>
        <v>376881</v>
      </c>
    </row>
    <row r="27" spans="1:31" ht="15.75">
      <c r="A27" s="1" t="s">
        <v>19</v>
      </c>
      <c r="B27" s="38">
        <v>279507</v>
      </c>
      <c r="C27" s="38">
        <v>303793</v>
      </c>
      <c r="D27" s="38">
        <v>327273</v>
      </c>
      <c r="E27" s="38">
        <v>331368</v>
      </c>
      <c r="F27" s="38">
        <v>338686</v>
      </c>
      <c r="G27" s="38">
        <v>370505</v>
      </c>
      <c r="H27" s="85">
        <v>390008</v>
      </c>
      <c r="I27" s="85">
        <v>475042</v>
      </c>
      <c r="J27" s="85">
        <v>493745</v>
      </c>
      <c r="K27" s="85">
        <v>493284</v>
      </c>
      <c r="L27" s="223">
        <f>(K27-J27)*100/J27</f>
        <v>-0.1</v>
      </c>
      <c r="M27" s="224">
        <f>(K27-V27)*100/V27</f>
        <v>90.4</v>
      </c>
      <c r="N27" s="15">
        <v>108609</v>
      </c>
      <c r="O27" s="15">
        <v>124104</v>
      </c>
      <c r="P27" s="15">
        <v>142534</v>
      </c>
      <c r="Q27" s="15">
        <v>159984</v>
      </c>
      <c r="R27" s="15">
        <v>185947</v>
      </c>
      <c r="S27" s="15">
        <v>212475</v>
      </c>
      <c r="T27" s="15">
        <v>240167</v>
      </c>
      <c r="U27" s="15">
        <v>243113</v>
      </c>
      <c r="V27" s="15">
        <v>259138</v>
      </c>
      <c r="X27">
        <v>390007967</v>
      </c>
      <c r="Y27" s="3">
        <f>X27/1000</f>
        <v>390008</v>
      </c>
      <c r="Z27" s="3">
        <v>475042394</v>
      </c>
      <c r="AA27" s="3">
        <f>Z27/1000</f>
        <v>475042</v>
      </c>
      <c r="AB27" s="3">
        <v>493744658</v>
      </c>
      <c r="AC27" s="3">
        <f>AB27/1000</f>
        <v>493745</v>
      </c>
      <c r="AD27" s="3">
        <v>493283944</v>
      </c>
      <c r="AE27" s="3">
        <f>AD27/1000</f>
        <v>493284</v>
      </c>
    </row>
    <row r="28" spans="1:31" ht="15.75">
      <c r="A28" s="1" t="s">
        <v>20</v>
      </c>
      <c r="B28" s="38">
        <v>18705</v>
      </c>
      <c r="C28" s="38">
        <v>19408</v>
      </c>
      <c r="D28" s="38">
        <v>20272</v>
      </c>
      <c r="E28" s="38">
        <v>20487</v>
      </c>
      <c r="F28" s="38">
        <v>21847</v>
      </c>
      <c r="G28" s="38">
        <v>23100</v>
      </c>
      <c r="H28" s="85">
        <v>23824</v>
      </c>
      <c r="I28" s="85">
        <v>25269</v>
      </c>
      <c r="J28" s="85">
        <v>28095</v>
      </c>
      <c r="K28" s="85">
        <v>28046</v>
      </c>
      <c r="L28" s="223">
        <f>(K28-J28)*100/J28</f>
        <v>-0.2</v>
      </c>
      <c r="M28" s="224">
        <f>(K28-V28)*100/V28</f>
        <v>69.7</v>
      </c>
      <c r="N28" s="15">
        <v>9077</v>
      </c>
      <c r="O28" s="15">
        <v>10200</v>
      </c>
      <c r="P28" s="15">
        <v>10898</v>
      </c>
      <c r="Q28" s="15">
        <v>11428</v>
      </c>
      <c r="R28" s="15">
        <v>13146</v>
      </c>
      <c r="S28" s="15">
        <v>14534</v>
      </c>
      <c r="T28" s="15">
        <v>15329</v>
      </c>
      <c r="U28" s="15">
        <v>16373</v>
      </c>
      <c r="V28" s="15">
        <v>16530</v>
      </c>
      <c r="X28">
        <v>23824378</v>
      </c>
      <c r="Y28" s="3">
        <f>X28/1000</f>
        <v>23824</v>
      </c>
      <c r="Z28" s="3">
        <v>25269456</v>
      </c>
      <c r="AA28" s="3">
        <f>Z28/1000</f>
        <v>25269</v>
      </c>
      <c r="AB28" s="3">
        <v>28094780</v>
      </c>
      <c r="AC28" s="3">
        <f>AB28/1000</f>
        <v>28095</v>
      </c>
      <c r="AD28" s="3">
        <v>28046280</v>
      </c>
      <c r="AE28" s="3">
        <f>AD28/1000</f>
        <v>28046</v>
      </c>
    </row>
    <row r="29" spans="2:25" ht="15.75">
      <c r="B29" s="38"/>
      <c r="C29" s="38"/>
      <c r="D29" s="38"/>
      <c r="E29" s="38"/>
      <c r="F29" s="38"/>
      <c r="G29" s="38"/>
      <c r="H29" s="85"/>
      <c r="I29" s="85"/>
      <c r="J29" s="85"/>
      <c r="K29" s="85"/>
      <c r="L29" s="223"/>
      <c r="M29" s="224"/>
      <c r="N29" s="15"/>
      <c r="O29" s="15"/>
      <c r="P29" s="15"/>
      <c r="Q29" s="15"/>
      <c r="R29" s="15"/>
      <c r="S29" s="15"/>
      <c r="T29" s="15"/>
      <c r="U29" s="15"/>
      <c r="V29" s="15"/>
      <c r="Y29" s="3"/>
    </row>
    <row r="30" spans="1:31" ht="15.75">
      <c r="A30" s="1" t="s">
        <v>21</v>
      </c>
      <c r="B30" s="38">
        <v>996233</v>
      </c>
      <c r="C30" s="38">
        <v>1040473</v>
      </c>
      <c r="D30" s="38">
        <v>1132305</v>
      </c>
      <c r="E30" s="38">
        <v>1213594</v>
      </c>
      <c r="F30" s="38">
        <v>1215231</v>
      </c>
      <c r="G30" s="38">
        <v>1274645</v>
      </c>
      <c r="H30" s="85">
        <v>1418909</v>
      </c>
      <c r="I30" s="85">
        <v>1461746</v>
      </c>
      <c r="J30" s="85">
        <v>1637600</v>
      </c>
      <c r="K30" s="85">
        <v>1688146</v>
      </c>
      <c r="L30" s="223">
        <f>(K30-J30)*100/J30</f>
        <v>3.1</v>
      </c>
      <c r="M30" s="224">
        <f>(K30-V30)*100/V30</f>
        <v>78.9</v>
      </c>
      <c r="N30" s="15">
        <v>497437</v>
      </c>
      <c r="O30" s="15">
        <v>529557</v>
      </c>
      <c r="P30" s="15">
        <v>649037</v>
      </c>
      <c r="Q30" s="15">
        <v>715716</v>
      </c>
      <c r="R30" s="15">
        <v>755075</v>
      </c>
      <c r="S30" s="15">
        <v>894849</v>
      </c>
      <c r="T30" s="15">
        <v>888191</v>
      </c>
      <c r="U30" s="15">
        <v>866525</v>
      </c>
      <c r="V30" s="15">
        <v>943519</v>
      </c>
      <c r="X30">
        <v>1418908737</v>
      </c>
      <c r="Y30" s="3">
        <f>X30/1000</f>
        <v>1418909</v>
      </c>
      <c r="Z30" s="3">
        <v>1461746322</v>
      </c>
      <c r="AA30" s="3">
        <f>Z30/1000</f>
        <v>1461746</v>
      </c>
      <c r="AB30" s="3">
        <v>1637599508</v>
      </c>
      <c r="AC30" s="3">
        <f>AB30/1000</f>
        <v>1637600</v>
      </c>
      <c r="AD30" s="3">
        <v>1688146434</v>
      </c>
      <c r="AE30" s="3">
        <f>AD30/1000</f>
        <v>1688146</v>
      </c>
    </row>
    <row r="31" spans="1:31" ht="15.75">
      <c r="A31" s="1" t="s">
        <v>22</v>
      </c>
      <c r="B31" s="38">
        <v>766266</v>
      </c>
      <c r="C31" s="38">
        <v>831351</v>
      </c>
      <c r="D31" s="38">
        <v>826167</v>
      </c>
      <c r="E31" s="38">
        <v>862397</v>
      </c>
      <c r="F31" s="38">
        <v>957375</v>
      </c>
      <c r="G31" s="38">
        <v>1034618</v>
      </c>
      <c r="H31" s="85">
        <v>1090606</v>
      </c>
      <c r="I31" s="85">
        <v>1154200</v>
      </c>
      <c r="J31" s="85">
        <v>1240972</v>
      </c>
      <c r="K31" s="85">
        <v>1292812</v>
      </c>
      <c r="L31" s="223">
        <f>(K31-J31)*100/J31</f>
        <v>4.2</v>
      </c>
      <c r="M31" s="224">
        <f>(K31-V31)*100/V31</f>
        <v>80.5</v>
      </c>
      <c r="N31" s="15">
        <v>403765</v>
      </c>
      <c r="O31" s="15">
        <v>438759</v>
      </c>
      <c r="P31" s="15">
        <v>479793</v>
      </c>
      <c r="Q31" s="15">
        <v>543449</v>
      </c>
      <c r="R31" s="15">
        <v>581601</v>
      </c>
      <c r="S31" s="15">
        <v>637644</v>
      </c>
      <c r="T31" s="15">
        <v>678857</v>
      </c>
      <c r="U31" s="15">
        <v>667315</v>
      </c>
      <c r="V31" s="15">
        <v>716045</v>
      </c>
      <c r="X31">
        <v>1090606222</v>
      </c>
      <c r="Y31" s="3">
        <f>X31/1000</f>
        <v>1090606</v>
      </c>
      <c r="Z31" s="3">
        <v>1154200359</v>
      </c>
      <c r="AA31" s="3">
        <f>Z31/1000</f>
        <v>1154200</v>
      </c>
      <c r="AB31" s="3">
        <v>1240971760</v>
      </c>
      <c r="AC31" s="3">
        <f>AB31/1000</f>
        <v>1240972</v>
      </c>
      <c r="AD31" s="3">
        <v>1292811992</v>
      </c>
      <c r="AE31" s="3">
        <f>AD31/1000</f>
        <v>1292812</v>
      </c>
    </row>
    <row r="32" spans="1:31" ht="15.75">
      <c r="A32" s="1" t="s">
        <v>23</v>
      </c>
      <c r="B32" s="38">
        <v>37868</v>
      </c>
      <c r="C32" s="38">
        <v>44542</v>
      </c>
      <c r="D32" s="38">
        <v>42347</v>
      </c>
      <c r="E32" s="38">
        <v>51200</v>
      </c>
      <c r="F32" s="38">
        <v>60333</v>
      </c>
      <c r="G32" s="38">
        <v>57843</v>
      </c>
      <c r="H32" s="85">
        <v>54864</v>
      </c>
      <c r="I32" s="85">
        <v>67190</v>
      </c>
      <c r="J32" s="85">
        <v>66235</v>
      </c>
      <c r="K32" s="85">
        <v>81588</v>
      </c>
      <c r="L32" s="223">
        <f>(K32-J32)*100/J32</f>
        <v>23.2</v>
      </c>
      <c r="M32" s="224">
        <f>(K32-V32)*100/V32</f>
        <v>131.6</v>
      </c>
      <c r="N32" s="15">
        <v>16679</v>
      </c>
      <c r="O32" s="15">
        <v>19717</v>
      </c>
      <c r="P32" s="15">
        <v>21114</v>
      </c>
      <c r="Q32" s="15">
        <v>22766</v>
      </c>
      <c r="R32" s="15">
        <v>24162</v>
      </c>
      <c r="S32" s="15">
        <v>28581</v>
      </c>
      <c r="T32" s="15">
        <v>37309</v>
      </c>
      <c r="U32" s="15">
        <v>35214</v>
      </c>
      <c r="V32" s="15">
        <v>35226</v>
      </c>
      <c r="X32">
        <v>54863644</v>
      </c>
      <c r="Y32" s="3">
        <f>X32/1000</f>
        <v>54864</v>
      </c>
      <c r="Z32" s="3">
        <v>67189601</v>
      </c>
      <c r="AA32" s="3">
        <f>Z32/1000</f>
        <v>67190</v>
      </c>
      <c r="AB32" s="3">
        <v>66235213</v>
      </c>
      <c r="AC32" s="3">
        <f>AB32/1000</f>
        <v>66235</v>
      </c>
      <c r="AD32" s="3">
        <v>81587679</v>
      </c>
      <c r="AE32" s="3">
        <f>AD32/1000</f>
        <v>81588</v>
      </c>
    </row>
    <row r="33" spans="1:31" ht="15.75">
      <c r="A33" s="1" t="s">
        <v>24</v>
      </c>
      <c r="B33" s="38">
        <v>83711</v>
      </c>
      <c r="C33" s="38">
        <v>84891</v>
      </c>
      <c r="D33" s="38">
        <v>92725</v>
      </c>
      <c r="E33" s="38">
        <v>107660</v>
      </c>
      <c r="F33" s="38">
        <v>112297</v>
      </c>
      <c r="G33" s="38">
        <v>119745</v>
      </c>
      <c r="H33" s="85">
        <v>129322</v>
      </c>
      <c r="I33" s="85">
        <v>135038</v>
      </c>
      <c r="J33" s="85">
        <v>158477</v>
      </c>
      <c r="K33" s="85">
        <v>147632</v>
      </c>
      <c r="L33" s="223">
        <f>(K33-J33)*100/J33</f>
        <v>-6.8</v>
      </c>
      <c r="M33" s="224">
        <f>(K33-V33)*100/V33</f>
        <v>78</v>
      </c>
      <c r="N33" s="15">
        <v>39635</v>
      </c>
      <c r="O33" s="15">
        <v>42096</v>
      </c>
      <c r="P33" s="15">
        <v>47050</v>
      </c>
      <c r="Q33" s="15">
        <v>51717</v>
      </c>
      <c r="R33" s="15">
        <v>58344</v>
      </c>
      <c r="S33" s="15">
        <v>61969</v>
      </c>
      <c r="T33" s="15">
        <v>70136</v>
      </c>
      <c r="U33" s="15">
        <v>79809</v>
      </c>
      <c r="V33" s="15">
        <v>82925</v>
      </c>
      <c r="X33">
        <v>129322048</v>
      </c>
      <c r="Y33" s="3">
        <f>X33/1000</f>
        <v>129322</v>
      </c>
      <c r="Z33" s="3">
        <v>135037910</v>
      </c>
      <c r="AA33" s="3">
        <f>Z33/1000</f>
        <v>135038</v>
      </c>
      <c r="AB33" s="3">
        <v>158477458</v>
      </c>
      <c r="AC33" s="3">
        <f>AB33/1000</f>
        <v>158477</v>
      </c>
      <c r="AD33" s="3">
        <v>147631560</v>
      </c>
      <c r="AE33" s="3">
        <f>AD33/1000</f>
        <v>147632</v>
      </c>
    </row>
    <row r="34" spans="1:31" ht="15.75">
      <c r="A34" s="1" t="s">
        <v>25</v>
      </c>
      <c r="B34" s="38">
        <v>20331</v>
      </c>
      <c r="C34" s="38">
        <v>21504</v>
      </c>
      <c r="D34" s="38">
        <v>24092</v>
      </c>
      <c r="E34" s="38">
        <v>24917</v>
      </c>
      <c r="F34" s="38">
        <v>25084</v>
      </c>
      <c r="G34" s="38">
        <v>25351</v>
      </c>
      <c r="H34" s="85">
        <v>26133</v>
      </c>
      <c r="I34" s="85">
        <v>26872</v>
      </c>
      <c r="J34" s="85">
        <v>27993</v>
      </c>
      <c r="K34" s="85">
        <v>29284</v>
      </c>
      <c r="L34" s="223">
        <f>(K34-J34)*100/J34</f>
        <v>4.6</v>
      </c>
      <c r="M34" s="224">
        <f>(K34-V34)*100/V34</f>
        <v>50.8</v>
      </c>
      <c r="N34" s="15">
        <v>10996</v>
      </c>
      <c r="O34" s="15">
        <v>11873</v>
      </c>
      <c r="P34" s="15">
        <v>12636</v>
      </c>
      <c r="Q34" s="15">
        <v>13723</v>
      </c>
      <c r="R34" s="15">
        <v>15797</v>
      </c>
      <c r="S34" s="15">
        <v>16903</v>
      </c>
      <c r="T34" s="15">
        <v>18099</v>
      </c>
      <c r="U34" s="15">
        <v>18097</v>
      </c>
      <c r="V34" s="15">
        <v>19414</v>
      </c>
      <c r="X34">
        <v>26133445</v>
      </c>
      <c r="Y34" s="3">
        <f>X34/1000</f>
        <v>26133</v>
      </c>
      <c r="Z34" s="3">
        <v>26871577</v>
      </c>
      <c r="AA34" s="3">
        <f>Z34/1000</f>
        <v>26872</v>
      </c>
      <c r="AB34" s="3">
        <v>27993216</v>
      </c>
      <c r="AC34" s="3">
        <f>AB34/1000</f>
        <v>27993</v>
      </c>
      <c r="AD34" s="3">
        <v>29283953</v>
      </c>
      <c r="AE34" s="3">
        <f>AD34/1000</f>
        <v>29284</v>
      </c>
    </row>
    <row r="35" spans="2:25" ht="15.75">
      <c r="B35" s="38"/>
      <c r="C35" s="38"/>
      <c r="D35" s="38"/>
      <c r="E35" s="38"/>
      <c r="F35" s="38"/>
      <c r="G35" s="38"/>
      <c r="H35" s="85"/>
      <c r="I35" s="85"/>
      <c r="J35" s="85"/>
      <c r="K35" s="85"/>
      <c r="L35" s="223"/>
      <c r="M35" s="224"/>
      <c r="O35" s="15"/>
      <c r="P35" s="15"/>
      <c r="R35" s="15"/>
      <c r="S35" s="15"/>
      <c r="T35" s="15"/>
      <c r="U35" s="15"/>
      <c r="V35" s="15"/>
      <c r="Y35" s="3"/>
    </row>
    <row r="36" spans="1:31" ht="15.75">
      <c r="A36" s="1" t="s">
        <v>26</v>
      </c>
      <c r="B36" s="38">
        <v>28789</v>
      </c>
      <c r="C36" s="38">
        <v>28246</v>
      </c>
      <c r="D36" s="38">
        <v>29745</v>
      </c>
      <c r="E36" s="38">
        <v>35255</v>
      </c>
      <c r="F36" s="38">
        <v>34685</v>
      </c>
      <c r="G36" s="38">
        <v>34231</v>
      </c>
      <c r="H36" s="85">
        <v>33549</v>
      </c>
      <c r="I36" s="85">
        <v>39166</v>
      </c>
      <c r="J36" s="85">
        <v>41303</v>
      </c>
      <c r="K36" s="85">
        <v>40821</v>
      </c>
      <c r="L36" s="223">
        <f>(K36-J36)*100/J36</f>
        <v>-1.2</v>
      </c>
      <c r="M36" s="224">
        <f>(K36-V36)*100/V36</f>
        <v>74</v>
      </c>
      <c r="N36" s="15">
        <v>13502</v>
      </c>
      <c r="O36" s="15">
        <v>14178</v>
      </c>
      <c r="P36" s="15">
        <v>14839</v>
      </c>
      <c r="Q36" s="15">
        <v>17209</v>
      </c>
      <c r="R36" s="15">
        <v>18468</v>
      </c>
      <c r="S36" s="15">
        <v>22385</v>
      </c>
      <c r="T36" s="15">
        <v>27255</v>
      </c>
      <c r="U36" s="15">
        <v>24286</v>
      </c>
      <c r="V36" s="15">
        <v>23465</v>
      </c>
      <c r="X36">
        <v>33548537</v>
      </c>
      <c r="Y36" s="3">
        <f>X36/1000</f>
        <v>33549</v>
      </c>
      <c r="Z36" s="3">
        <v>39165548</v>
      </c>
      <c r="AA36" s="3">
        <f>Z36/1000</f>
        <v>39166</v>
      </c>
      <c r="AB36" s="3">
        <v>41302720</v>
      </c>
      <c r="AC36" s="3">
        <f>AB36/1000</f>
        <v>41303</v>
      </c>
      <c r="AD36" s="3">
        <v>40820872</v>
      </c>
      <c r="AE36" s="3">
        <f>AD36/1000</f>
        <v>40821</v>
      </c>
    </row>
    <row r="37" spans="1:31" ht="15.75">
      <c r="A37" s="1" t="s">
        <v>27</v>
      </c>
      <c r="B37" s="38">
        <v>114433</v>
      </c>
      <c r="C37" s="38">
        <v>125303</v>
      </c>
      <c r="D37" s="38">
        <v>124531</v>
      </c>
      <c r="E37" s="38">
        <v>133691</v>
      </c>
      <c r="F37" s="38">
        <v>136896</v>
      </c>
      <c r="G37" s="38">
        <v>144029</v>
      </c>
      <c r="H37" s="85">
        <v>155275</v>
      </c>
      <c r="I37" s="85">
        <v>155567</v>
      </c>
      <c r="J37" s="85">
        <v>160302</v>
      </c>
      <c r="K37" s="85">
        <v>163128</v>
      </c>
      <c r="L37" s="223">
        <f>(K37-J37)*100/J37</f>
        <v>1.8</v>
      </c>
      <c r="M37" s="224">
        <f>(K37-V37)*100/V37</f>
        <v>40.4</v>
      </c>
      <c r="N37" s="15">
        <v>63400</v>
      </c>
      <c r="O37" s="15">
        <v>69534</v>
      </c>
      <c r="P37" s="15">
        <v>74080</v>
      </c>
      <c r="Q37" s="15">
        <v>81377</v>
      </c>
      <c r="R37" s="15">
        <v>85996</v>
      </c>
      <c r="S37" s="15">
        <v>94108</v>
      </c>
      <c r="T37" s="15">
        <v>101700</v>
      </c>
      <c r="U37" s="15">
        <v>106274</v>
      </c>
      <c r="V37" s="15">
        <v>116212</v>
      </c>
      <c r="X37">
        <v>155274906</v>
      </c>
      <c r="Y37" s="3">
        <f>X37/1000</f>
        <v>155275</v>
      </c>
      <c r="Z37" s="3">
        <v>155567344</v>
      </c>
      <c r="AA37" s="3">
        <f>Z37/1000</f>
        <v>155567</v>
      </c>
      <c r="AB37" s="3">
        <v>160301528</v>
      </c>
      <c r="AC37" s="3">
        <f>AB37/1000</f>
        <v>160302</v>
      </c>
      <c r="AD37" s="3">
        <v>163127760</v>
      </c>
      <c r="AE37" s="3">
        <f>AD37/1000</f>
        <v>163128</v>
      </c>
    </row>
    <row r="38" spans="1:31" ht="15.75">
      <c r="A38" s="1" t="s">
        <v>28</v>
      </c>
      <c r="B38" s="38">
        <v>76567</v>
      </c>
      <c r="C38" s="38">
        <v>83378</v>
      </c>
      <c r="D38" s="38">
        <v>80904</v>
      </c>
      <c r="E38" s="38">
        <v>97738</v>
      </c>
      <c r="F38" s="38">
        <v>98556</v>
      </c>
      <c r="G38" s="38">
        <v>126669</v>
      </c>
      <c r="H38" s="85">
        <v>111711</v>
      </c>
      <c r="I38" s="85">
        <v>115354</v>
      </c>
      <c r="J38" s="85">
        <v>118450</v>
      </c>
      <c r="K38" s="85">
        <v>125587</v>
      </c>
      <c r="L38" s="223">
        <f>(K38-J38)*100/J38</f>
        <v>6</v>
      </c>
      <c r="M38" s="224">
        <f>(K38-V38)*100/V38</f>
        <v>76.8</v>
      </c>
      <c r="N38" s="15">
        <v>39222</v>
      </c>
      <c r="O38" s="15">
        <v>44137</v>
      </c>
      <c r="P38" s="15">
        <v>43510</v>
      </c>
      <c r="Q38" s="15">
        <v>48993</v>
      </c>
      <c r="R38" s="15">
        <v>54917</v>
      </c>
      <c r="S38" s="15">
        <v>61929</v>
      </c>
      <c r="T38" s="15">
        <v>67035</v>
      </c>
      <c r="U38" s="15">
        <v>66835</v>
      </c>
      <c r="V38" s="15">
        <v>71025</v>
      </c>
      <c r="X38">
        <v>111710883</v>
      </c>
      <c r="Y38" s="3">
        <f>X38/1000</f>
        <v>111711</v>
      </c>
      <c r="Z38" s="3">
        <v>115353865</v>
      </c>
      <c r="AA38" s="3">
        <f>Z38/1000</f>
        <v>115354</v>
      </c>
      <c r="AB38" s="3">
        <v>118450279</v>
      </c>
      <c r="AC38" s="3">
        <f>AB38/1000</f>
        <v>118450</v>
      </c>
      <c r="AD38" s="3">
        <v>125586955</v>
      </c>
      <c r="AE38" s="3">
        <f>AD38/1000</f>
        <v>125587</v>
      </c>
    </row>
    <row r="39" spans="1:31" ht="15.75">
      <c r="A39" s="18" t="s">
        <v>29</v>
      </c>
      <c r="B39" s="38">
        <v>40816</v>
      </c>
      <c r="C39" s="38">
        <v>42453</v>
      </c>
      <c r="D39" s="38">
        <v>43622</v>
      </c>
      <c r="E39" s="38">
        <v>53957</v>
      </c>
      <c r="F39" s="38">
        <v>52238</v>
      </c>
      <c r="G39" s="38">
        <v>55968</v>
      </c>
      <c r="H39" s="225">
        <v>64967</v>
      </c>
      <c r="I39" s="226">
        <v>61943</v>
      </c>
      <c r="J39" s="226">
        <v>65502</v>
      </c>
      <c r="K39" s="226">
        <v>62609</v>
      </c>
      <c r="L39" s="223">
        <f>(K39-J39)*100/J39</f>
        <v>-4.4</v>
      </c>
      <c r="M39" s="224">
        <f>(K39-V39)*100/V39</f>
        <v>63.7</v>
      </c>
      <c r="N39" s="15">
        <v>20587</v>
      </c>
      <c r="O39" s="15">
        <v>23941</v>
      </c>
      <c r="P39" s="15">
        <v>26498</v>
      </c>
      <c r="Q39" s="15">
        <v>27289</v>
      </c>
      <c r="R39" s="15">
        <v>28973</v>
      </c>
      <c r="S39" s="15">
        <v>32828</v>
      </c>
      <c r="T39" s="15">
        <v>35111</v>
      </c>
      <c r="U39" s="15">
        <v>36712</v>
      </c>
      <c r="V39" s="15">
        <v>38242</v>
      </c>
      <c r="X39">
        <v>64966501</v>
      </c>
      <c r="Y39" s="3">
        <f>X39/1000</f>
        <v>64967</v>
      </c>
      <c r="Z39" s="3">
        <v>61942542</v>
      </c>
      <c r="AA39" s="3">
        <f>Z39/1000</f>
        <v>61943</v>
      </c>
      <c r="AB39" s="3">
        <v>65502133</v>
      </c>
      <c r="AC39" s="3">
        <f>AB39/1000</f>
        <v>65502</v>
      </c>
      <c r="AD39" s="3">
        <v>62608743</v>
      </c>
      <c r="AE39" s="3">
        <f>AD39/1000</f>
        <v>62609</v>
      </c>
    </row>
    <row r="40" spans="1:31" ht="15.75">
      <c r="A40" s="1" t="s">
        <v>43</v>
      </c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P40" s="19"/>
      <c r="Q40" s="19"/>
      <c r="V40" s="19"/>
      <c r="AE40" s="3">
        <f>SUM(AE12:AE39)</f>
        <v>8796946</v>
      </c>
    </row>
    <row r="41" spans="2:12" ht="15.75">
      <c r="B41" s="15"/>
      <c r="L41" s="16"/>
    </row>
    <row r="42" spans="1:22" ht="15.75">
      <c r="A42" s="3" t="s">
        <v>44</v>
      </c>
      <c r="B42" s="15"/>
      <c r="P42" s="15"/>
      <c r="Q42" s="15"/>
      <c r="V42" s="15"/>
    </row>
    <row r="43" spans="2:22" ht="15.75">
      <c r="B43" s="15"/>
      <c r="P43" s="15"/>
      <c r="Q43" s="15"/>
      <c r="V43" s="15"/>
    </row>
    <row r="44" spans="2:22" ht="15.75">
      <c r="B44" s="15"/>
      <c r="P44" s="15"/>
      <c r="Q44" s="15"/>
      <c r="V44" s="15"/>
    </row>
    <row r="45" spans="2:22" ht="15.75">
      <c r="B45" s="15"/>
      <c r="P45" s="15"/>
      <c r="Q45" s="15"/>
      <c r="V45" s="15"/>
    </row>
    <row r="46" spans="2:22" ht="15.75">
      <c r="B46" s="15"/>
      <c r="P46" s="15"/>
      <c r="Q46" s="15"/>
      <c r="V46" s="15"/>
    </row>
    <row r="47" spans="2:22" ht="15.75">
      <c r="B47" s="15"/>
      <c r="V47" s="15"/>
    </row>
    <row r="48" spans="2:22" ht="15.75">
      <c r="B48" s="15"/>
      <c r="V48" s="15"/>
    </row>
    <row r="49" spans="2:22" ht="15.75">
      <c r="B49" s="15"/>
      <c r="V49" s="15"/>
    </row>
    <row r="50" spans="2:22" ht="15.75">
      <c r="B50" s="15"/>
      <c r="V50" s="15"/>
    </row>
    <row r="51" spans="2:22" ht="15.75">
      <c r="B51" s="15"/>
      <c r="V51" s="15"/>
    </row>
    <row r="52" ht="15.75">
      <c r="B52" s="15"/>
    </row>
    <row r="53" ht="15.75">
      <c r="B53" s="15"/>
    </row>
  </sheetData>
  <printOptions horizontalCentered="1"/>
  <pageMargins left="0.34" right="0.36" top="1" bottom="0.93" header="0.5" footer="0.52"/>
  <pageSetup fitToHeight="1" fitToWidth="1" horizontalDpi="600" verticalDpi="600" orientation="landscape" scale="73" r:id="rId1"/>
  <headerFooter alignWithMargins="0">
    <oddFooter>&amp;L&amp;"Lucida Sans,Italic"&amp;10MSDE-DBS 11 / 2004&amp;C- 1 -&amp;R&amp;"Lucida Sans,Italic"&amp;10Selected Financial Data - Part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workbookViewId="0" topLeftCell="E1">
      <selection activeCell="J5" sqref="J5"/>
    </sheetView>
  </sheetViews>
  <sheetFormatPr defaultColWidth="9.00390625" defaultRowHeight="15.75"/>
  <cols>
    <col min="1" max="1" width="12.875" style="32" customWidth="1"/>
    <col min="2" max="11" width="12.625" style="32" customWidth="1"/>
    <col min="12" max="13" width="7.125" style="32" customWidth="1"/>
    <col min="14" max="21" width="10.125" style="32" customWidth="1"/>
    <col min="22" max="22" width="11.75390625" style="32" customWidth="1"/>
    <col min="23" max="23" width="11.625" style="32" bestFit="1" customWidth="1"/>
    <col min="24" max="24" width="12.875" style="32" customWidth="1"/>
    <col min="25" max="53" width="10.125" style="32" customWidth="1"/>
    <col min="54" max="16384" width="10.00390625" style="32" customWidth="1"/>
  </cols>
  <sheetData>
    <row r="1" spans="1:13" ht="15.75" customHeight="1">
      <c r="A1" s="211" t="s">
        <v>113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7:12" ht="12.75">
      <c r="G2" s="33"/>
      <c r="H2" s="33"/>
      <c r="I2" s="33"/>
      <c r="J2" s="33"/>
      <c r="K2" s="33"/>
      <c r="L2" s="33"/>
    </row>
    <row r="3" spans="1:13" s="94" customFormat="1" ht="12.75" customHeight="1">
      <c r="A3" s="211" t="s">
        <v>108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7" ht="12.75" customHeight="1">
      <c r="A4" s="205" t="s">
        <v>196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P4" s="33"/>
      <c r="Q4" s="33"/>
    </row>
    <row r="5" ht="13.5" thickBot="1"/>
    <row r="6" spans="1:24" ht="13.5" thickTop="1">
      <c r="A6" s="34"/>
      <c r="B6" s="34"/>
      <c r="C6" s="34"/>
      <c r="D6" s="34"/>
      <c r="E6" s="34"/>
      <c r="F6" s="34"/>
      <c r="G6" s="34"/>
      <c r="H6" s="34"/>
      <c r="I6" s="34"/>
      <c r="J6" s="5"/>
      <c r="K6" s="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X6" s="32" t="s">
        <v>184</v>
      </c>
    </row>
    <row r="7" spans="1:24" ht="12.75">
      <c r="A7" s="35"/>
      <c r="B7" s="35"/>
      <c r="C7" s="35"/>
      <c r="D7" s="35"/>
      <c r="E7" s="35"/>
      <c r="J7" s="1"/>
      <c r="K7" s="1"/>
      <c r="L7" s="40" t="s">
        <v>34</v>
      </c>
      <c r="M7" s="40"/>
      <c r="O7" s="35"/>
      <c r="P7" s="35"/>
      <c r="Q7" s="35"/>
      <c r="R7" s="35"/>
      <c r="T7" s="35"/>
      <c r="U7" s="35"/>
      <c r="V7" s="35"/>
      <c r="X7" s="32" t="s">
        <v>185</v>
      </c>
    </row>
    <row r="8" spans="1:24" ht="12.75">
      <c r="A8" s="35"/>
      <c r="B8" s="35"/>
      <c r="C8" s="35"/>
      <c r="D8" s="35"/>
      <c r="E8" s="35"/>
      <c r="F8" s="35"/>
      <c r="G8" s="35"/>
      <c r="H8" s="35"/>
      <c r="I8" s="35"/>
      <c r="J8" s="7"/>
      <c r="K8" s="7"/>
      <c r="L8" s="41" t="s">
        <v>106</v>
      </c>
      <c r="M8" s="41" t="s">
        <v>107</v>
      </c>
      <c r="O8" s="35"/>
      <c r="P8" s="35"/>
      <c r="Q8" s="35"/>
      <c r="R8" s="35"/>
      <c r="T8" s="35"/>
      <c r="U8" s="35"/>
      <c r="V8" s="35"/>
      <c r="X8" s="32" t="s">
        <v>186</v>
      </c>
    </row>
    <row r="9" spans="1:22" ht="13.5" thickBot="1">
      <c r="A9" s="36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42" t="s">
        <v>105</v>
      </c>
      <c r="M9" s="42" t="s">
        <v>105</v>
      </c>
      <c r="N9" s="42" t="s">
        <v>62</v>
      </c>
      <c r="O9" s="42" t="s">
        <v>36</v>
      </c>
      <c r="P9" s="42" t="s">
        <v>31</v>
      </c>
      <c r="Q9" s="46" t="s">
        <v>81</v>
      </c>
      <c r="R9" s="42" t="s">
        <v>32</v>
      </c>
      <c r="S9" s="42" t="s">
        <v>90</v>
      </c>
      <c r="T9" s="42" t="s">
        <v>85</v>
      </c>
      <c r="U9" s="42" t="s">
        <v>86</v>
      </c>
      <c r="V9" s="42" t="s">
        <v>87</v>
      </c>
    </row>
    <row r="10" spans="1:24" ht="12.75">
      <c r="A10" s="35" t="s">
        <v>5</v>
      </c>
      <c r="B10" s="37">
        <f aca="true" t="shared" si="0" ref="B10:I10">SUM(B12:B43)</f>
        <v>83988741</v>
      </c>
      <c r="C10" s="37">
        <f t="shared" si="0"/>
        <v>89974121</v>
      </c>
      <c r="D10" s="37">
        <f t="shared" si="0"/>
        <v>103377197</v>
      </c>
      <c r="E10" s="37">
        <f t="shared" si="0"/>
        <v>116431397</v>
      </c>
      <c r="F10" s="37">
        <f t="shared" si="0"/>
        <v>140544581</v>
      </c>
      <c r="G10" s="37">
        <f t="shared" si="0"/>
        <v>149634198</v>
      </c>
      <c r="H10" s="37">
        <f t="shared" si="0"/>
        <v>156732080</v>
      </c>
      <c r="I10" s="37">
        <f t="shared" si="0"/>
        <v>161235754</v>
      </c>
      <c r="J10" s="37">
        <f>SUM(J12:J43)</f>
        <v>178761001</v>
      </c>
      <c r="K10" s="37">
        <f>SUM(K12:K43)</f>
        <v>203920665</v>
      </c>
      <c r="L10" s="12">
        <f>(K10-J10)/J10</f>
        <v>0.141</v>
      </c>
      <c r="M10" s="12">
        <f>(K10-V10)/V10</f>
        <v>1.856</v>
      </c>
      <c r="N10" s="37">
        <f aca="true" t="shared" si="1" ref="N10:S10">SUM(N12:N39)</f>
        <v>22792625</v>
      </c>
      <c r="O10" s="37">
        <f t="shared" si="1"/>
        <v>23124421</v>
      </c>
      <c r="P10" s="37">
        <f t="shared" si="1"/>
        <v>29051067</v>
      </c>
      <c r="Q10" s="37">
        <f t="shared" si="1"/>
        <v>35412503</v>
      </c>
      <c r="R10" s="37">
        <f t="shared" si="1"/>
        <v>40133251</v>
      </c>
      <c r="S10" s="37">
        <f t="shared" si="1"/>
        <v>52753434</v>
      </c>
      <c r="T10" s="37">
        <f>SUM(T12:T43)</f>
        <v>67177443</v>
      </c>
      <c r="U10" s="37">
        <f>SUM(U12:U43)</f>
        <v>75222362</v>
      </c>
      <c r="V10" s="37">
        <f>SUM(V12:V43)</f>
        <v>71391331</v>
      </c>
      <c r="X10" s="37">
        <f>SUM(X12:X43)</f>
        <v>203920665</v>
      </c>
    </row>
    <row r="11" spans="3:24" ht="12.75">
      <c r="C11" s="38"/>
      <c r="D11" s="38"/>
      <c r="E11" s="43"/>
      <c r="F11" s="35"/>
      <c r="G11" s="35"/>
      <c r="H11" s="35"/>
      <c r="I11" s="35"/>
      <c r="J11" s="35"/>
      <c r="K11" s="35"/>
      <c r="L11" s="1"/>
      <c r="M11" s="15"/>
      <c r="O11" s="38"/>
      <c r="R11" s="38"/>
      <c r="S11" s="38"/>
      <c r="X11" s="35"/>
    </row>
    <row r="12" spans="1:24" ht="12.75">
      <c r="A12" s="32" t="s">
        <v>6</v>
      </c>
      <c r="B12" s="38">
        <v>92019</v>
      </c>
      <c r="C12" s="38">
        <v>191126</v>
      </c>
      <c r="D12" s="38">
        <v>160311</v>
      </c>
      <c r="E12" s="43">
        <v>281020</v>
      </c>
      <c r="F12" s="83">
        <v>643797</v>
      </c>
      <c r="G12" s="83">
        <v>976023</v>
      </c>
      <c r="H12" s="83">
        <v>1522014</v>
      </c>
      <c r="I12" s="83">
        <v>1241064.67</v>
      </c>
      <c r="J12" s="83">
        <v>1341555.09</v>
      </c>
      <c r="K12" s="83">
        <v>1468133</v>
      </c>
      <c r="L12" s="102">
        <f>(K12-J12)*100/J12</f>
        <v>9.44</v>
      </c>
      <c r="M12" s="17">
        <f>(K12-V12)*100/V12</f>
        <v>598.6</v>
      </c>
      <c r="N12" s="38">
        <v>0</v>
      </c>
      <c r="O12" s="38">
        <v>16669</v>
      </c>
      <c r="P12" s="38">
        <v>35044</v>
      </c>
      <c r="Q12" s="38">
        <v>32587</v>
      </c>
      <c r="R12" s="38">
        <v>39369</v>
      </c>
      <c r="S12" s="38">
        <v>34701</v>
      </c>
      <c r="T12" s="38">
        <v>50054</v>
      </c>
      <c r="U12" s="38">
        <v>143690</v>
      </c>
      <c r="V12" s="38">
        <v>210139</v>
      </c>
      <c r="X12" s="90">
        <v>1468133</v>
      </c>
    </row>
    <row r="13" spans="1:24" ht="12.75">
      <c r="A13" s="32" t="s">
        <v>7</v>
      </c>
      <c r="B13" s="38">
        <v>7261753</v>
      </c>
      <c r="C13" s="38">
        <v>7649506</v>
      </c>
      <c r="D13" s="38">
        <v>8006561</v>
      </c>
      <c r="E13" s="43">
        <v>8361332</v>
      </c>
      <c r="F13" s="83">
        <v>10846922</v>
      </c>
      <c r="G13" s="83">
        <v>10128026</v>
      </c>
      <c r="H13" s="83">
        <v>9809359</v>
      </c>
      <c r="I13" s="83">
        <v>9411406</v>
      </c>
      <c r="J13" s="83">
        <v>16227234</v>
      </c>
      <c r="K13" s="83">
        <v>16779698</v>
      </c>
      <c r="L13" s="102">
        <f>(K13-J13)*100/J13</f>
        <v>3.4</v>
      </c>
      <c r="M13" s="17">
        <f>(K13-V13)*100/V13</f>
        <v>143.6</v>
      </c>
      <c r="N13" s="38">
        <v>1517984</v>
      </c>
      <c r="O13" s="38">
        <v>1767732</v>
      </c>
      <c r="P13" s="38">
        <v>1905586</v>
      </c>
      <c r="Q13" s="38">
        <v>2124742</v>
      </c>
      <c r="R13" s="38">
        <v>2561350</v>
      </c>
      <c r="S13" s="38">
        <v>3412380</v>
      </c>
      <c r="T13" s="38">
        <v>5486225</v>
      </c>
      <c r="U13" s="38">
        <v>6081875</v>
      </c>
      <c r="V13" s="38">
        <v>6887093</v>
      </c>
      <c r="X13" s="103">
        <v>16779698</v>
      </c>
    </row>
    <row r="14" spans="1:24" ht="12.75">
      <c r="A14" s="32" t="s">
        <v>8</v>
      </c>
      <c r="B14" s="38">
        <v>22748212</v>
      </c>
      <c r="C14" s="38">
        <v>23868338</v>
      </c>
      <c r="D14" s="38">
        <v>30556484</v>
      </c>
      <c r="E14" s="43">
        <v>37170905</v>
      </c>
      <c r="F14" s="83">
        <v>51823235</v>
      </c>
      <c r="G14" s="83">
        <v>49125659</v>
      </c>
      <c r="H14" s="83">
        <v>49291512</v>
      </c>
      <c r="I14" s="83">
        <v>47103119</v>
      </c>
      <c r="J14" s="83">
        <v>44372489</v>
      </c>
      <c r="K14" s="83">
        <v>46173731</v>
      </c>
      <c r="L14" s="102">
        <f>(K14-J14)*100/J14</f>
        <v>4.06</v>
      </c>
      <c r="M14" s="17">
        <f>(K14-V14)*100/V14</f>
        <v>98.7</v>
      </c>
      <c r="N14" s="38">
        <v>7772664</v>
      </c>
      <c r="O14" s="38">
        <f>6456766+1827</f>
        <v>6458593</v>
      </c>
      <c r="P14" s="38">
        <f>8509699+215</f>
        <v>8509914</v>
      </c>
      <c r="Q14" s="38">
        <v>9661899</v>
      </c>
      <c r="R14" s="38">
        <v>10587442</v>
      </c>
      <c r="S14" s="38">
        <v>13200881</v>
      </c>
      <c r="T14" s="38">
        <v>17744650</v>
      </c>
      <c r="U14" s="38">
        <v>20532167</v>
      </c>
      <c r="V14" s="38">
        <v>23243276</v>
      </c>
      <c r="X14" s="103">
        <v>46173731</v>
      </c>
    </row>
    <row r="15" spans="1:24" ht="12.75">
      <c r="A15" s="32" t="s">
        <v>9</v>
      </c>
      <c r="B15" s="38">
        <v>8182438</v>
      </c>
      <c r="C15" s="38">
        <v>7312671</v>
      </c>
      <c r="D15" s="38">
        <v>9065154</v>
      </c>
      <c r="E15" s="43">
        <v>10411190</v>
      </c>
      <c r="F15" s="83">
        <v>15428413</v>
      </c>
      <c r="G15" s="83">
        <v>22378649</v>
      </c>
      <c r="H15" s="83">
        <v>17660925</v>
      </c>
      <c r="I15" s="83">
        <v>19995561</v>
      </c>
      <c r="J15" s="83">
        <v>22906210</v>
      </c>
      <c r="K15" s="83">
        <v>28000070</v>
      </c>
      <c r="L15" s="102">
        <f>(K15-J15)*100/J15</f>
        <v>22.24</v>
      </c>
      <c r="M15" s="17">
        <f>(K15-V15)*100/V15</f>
        <v>19217.1</v>
      </c>
      <c r="N15" s="38">
        <v>2594804</v>
      </c>
      <c r="O15" s="38">
        <v>3157048</v>
      </c>
      <c r="P15" s="38">
        <v>3885797</v>
      </c>
      <c r="Q15" s="38">
        <v>4934450</v>
      </c>
      <c r="R15" s="38">
        <f>38601+5887828</f>
        <v>5926429</v>
      </c>
      <c r="S15" s="38">
        <v>6592425</v>
      </c>
      <c r="T15" s="38">
        <v>8149736</v>
      </c>
      <c r="U15" s="38">
        <v>8134672</v>
      </c>
      <c r="V15" s="38">
        <v>144950</v>
      </c>
      <c r="X15" s="103">
        <v>28000070</v>
      </c>
    </row>
    <row r="16" spans="1:24" ht="12.75">
      <c r="A16" s="32" t="s">
        <v>10</v>
      </c>
      <c r="B16" s="38">
        <v>458902</v>
      </c>
      <c r="C16" s="38">
        <v>449857</v>
      </c>
      <c r="D16" s="38">
        <v>584576</v>
      </c>
      <c r="E16" s="43">
        <v>663875</v>
      </c>
      <c r="F16" s="83">
        <v>820639</v>
      </c>
      <c r="G16" s="83">
        <v>864468</v>
      </c>
      <c r="H16" s="83">
        <v>1114523</v>
      </c>
      <c r="I16" s="83">
        <v>1664781.9</v>
      </c>
      <c r="J16" s="83">
        <v>2052000.04</v>
      </c>
      <c r="K16" s="83">
        <v>2241887.14</v>
      </c>
      <c r="L16" s="102">
        <f>(K16-J16)*100/J16</f>
        <v>9.25</v>
      </c>
      <c r="M16" s="17">
        <f>(K16-V16)*100/V16</f>
        <v>343</v>
      </c>
      <c r="N16" s="38">
        <v>45757</v>
      </c>
      <c r="O16" s="38">
        <v>67131</v>
      </c>
      <c r="P16" s="38">
        <v>126419</v>
      </c>
      <c r="Q16" s="38">
        <v>105034</v>
      </c>
      <c r="R16" s="38">
        <v>0</v>
      </c>
      <c r="S16" s="38">
        <v>165266</v>
      </c>
      <c r="T16" s="38">
        <v>220284</v>
      </c>
      <c r="U16" s="38">
        <v>400892</v>
      </c>
      <c r="V16" s="38">
        <v>506089</v>
      </c>
      <c r="X16" s="103">
        <v>2241887.14</v>
      </c>
    </row>
    <row r="17" spans="2:24" ht="12.75">
      <c r="B17" s="38"/>
      <c r="C17" s="38"/>
      <c r="D17" s="38"/>
      <c r="E17" s="43"/>
      <c r="F17" s="83"/>
      <c r="G17" s="83"/>
      <c r="H17" s="83"/>
      <c r="I17" s="83"/>
      <c r="J17" s="83"/>
      <c r="K17" s="83"/>
      <c r="L17" s="16"/>
      <c r="M17" s="17"/>
      <c r="N17" s="38"/>
      <c r="P17" s="38"/>
      <c r="Q17" s="38"/>
      <c r="R17" s="38"/>
      <c r="S17" s="38"/>
      <c r="T17" s="38"/>
      <c r="U17" s="38"/>
      <c r="V17" s="38"/>
      <c r="X17" s="103"/>
    </row>
    <row r="18" spans="1:24" ht="12.75">
      <c r="A18" s="32" t="s">
        <v>11</v>
      </c>
      <c r="B18" s="38">
        <v>149508</v>
      </c>
      <c r="C18" s="38">
        <v>157339</v>
      </c>
      <c r="D18" s="38">
        <v>143878</v>
      </c>
      <c r="E18" s="43">
        <v>143053</v>
      </c>
      <c r="F18" s="83">
        <v>199524</v>
      </c>
      <c r="G18" s="83">
        <v>224303</v>
      </c>
      <c r="H18" s="83">
        <v>200873</v>
      </c>
      <c r="I18" s="83">
        <v>262868.63</v>
      </c>
      <c r="J18" s="83">
        <v>322174.26</v>
      </c>
      <c r="K18" s="83">
        <v>338090.18</v>
      </c>
      <c r="L18" s="102">
        <f>(K18-J18)*100/J18</f>
        <v>4.94</v>
      </c>
      <c r="M18" s="17">
        <f>(K18-V18)*100/V18</f>
        <v>105.2</v>
      </c>
      <c r="N18" s="38">
        <v>121103</v>
      </c>
      <c r="O18" s="38">
        <v>184756</v>
      </c>
      <c r="P18" s="38">
        <v>250226</v>
      </c>
      <c r="Q18" s="38">
        <v>228941</v>
      </c>
      <c r="R18" s="38">
        <v>131956</v>
      </c>
      <c r="S18" s="38">
        <v>167079</v>
      </c>
      <c r="T18" s="38">
        <v>255893</v>
      </c>
      <c r="U18" s="38">
        <v>193436</v>
      </c>
      <c r="V18" s="38">
        <v>164788</v>
      </c>
      <c r="X18" s="103">
        <v>338090.18</v>
      </c>
    </row>
    <row r="19" spans="1:24" ht="12.75">
      <c r="A19" s="32" t="s">
        <v>12</v>
      </c>
      <c r="B19" s="38">
        <v>1234230</v>
      </c>
      <c r="C19" s="38">
        <v>1513701</v>
      </c>
      <c r="D19" s="38">
        <v>1453077</v>
      </c>
      <c r="E19" s="43">
        <v>1538802</v>
      </c>
      <c r="F19" s="83">
        <v>2127540</v>
      </c>
      <c r="G19" s="83">
        <v>2884568</v>
      </c>
      <c r="H19" s="83">
        <v>3253543</v>
      </c>
      <c r="I19" s="83">
        <v>4117736.74</v>
      </c>
      <c r="J19" s="83">
        <v>4687278.71</v>
      </c>
      <c r="K19" s="83">
        <v>5271942.49</v>
      </c>
      <c r="L19" s="102">
        <f>(K19-J19)*100/J19</f>
        <v>12.47</v>
      </c>
      <c r="M19" s="17">
        <f>(K19-V19)*100/V19</f>
        <v>198.5</v>
      </c>
      <c r="N19" s="38">
        <v>181781</v>
      </c>
      <c r="O19" s="38">
        <v>145083</v>
      </c>
      <c r="P19" s="38">
        <v>287239</v>
      </c>
      <c r="Q19" s="38">
        <v>390340</v>
      </c>
      <c r="R19" s="38">
        <v>484747</v>
      </c>
      <c r="S19" s="38">
        <v>1071070</v>
      </c>
      <c r="T19" s="38">
        <v>1309347</v>
      </c>
      <c r="U19" s="38">
        <v>1659865</v>
      </c>
      <c r="V19" s="38">
        <v>1765997</v>
      </c>
      <c r="X19" s="103">
        <v>5271942.49</v>
      </c>
    </row>
    <row r="20" spans="1:24" ht="12.75">
      <c r="A20" s="32" t="s">
        <v>13</v>
      </c>
      <c r="B20" s="38">
        <v>497511</v>
      </c>
      <c r="C20" s="38">
        <v>431503</v>
      </c>
      <c r="D20" s="38">
        <v>581970</v>
      </c>
      <c r="E20" s="43">
        <v>721794</v>
      </c>
      <c r="F20" s="83">
        <v>657215</v>
      </c>
      <c r="G20" s="83">
        <v>723817</v>
      </c>
      <c r="H20" s="83">
        <v>884360</v>
      </c>
      <c r="I20" s="83">
        <v>1341863.93</v>
      </c>
      <c r="J20" s="83">
        <v>1837268.47</v>
      </c>
      <c r="K20" s="83">
        <v>1996941.53</v>
      </c>
      <c r="L20" s="102">
        <f>(K20-J20)*100/J20</f>
        <v>8.69</v>
      </c>
      <c r="M20" s="17">
        <f>(K20-V20)*100/V20</f>
        <v>270.4</v>
      </c>
      <c r="N20" s="38">
        <v>179330</v>
      </c>
      <c r="O20" s="38">
        <v>109835</v>
      </c>
      <c r="P20" s="38">
        <v>177766</v>
      </c>
      <c r="Q20" s="38">
        <v>253429</v>
      </c>
      <c r="R20" s="38">
        <v>320346</v>
      </c>
      <c r="S20" s="38">
        <v>307692</v>
      </c>
      <c r="T20" s="38">
        <v>425132</v>
      </c>
      <c r="U20" s="38">
        <v>452140</v>
      </c>
      <c r="V20" s="38">
        <v>539188</v>
      </c>
      <c r="X20" s="103">
        <v>1996941.53</v>
      </c>
    </row>
    <row r="21" spans="1:24" ht="12.75">
      <c r="A21" s="32" t="s">
        <v>14</v>
      </c>
      <c r="B21" s="38">
        <v>1034116</v>
      </c>
      <c r="C21" s="38">
        <v>702142</v>
      </c>
      <c r="D21" s="38">
        <v>1079942</v>
      </c>
      <c r="E21" s="43">
        <v>1695340</v>
      </c>
      <c r="F21" s="83">
        <v>2180167</v>
      </c>
      <c r="G21" s="83">
        <v>1919332</v>
      </c>
      <c r="H21" s="83">
        <v>2602218</v>
      </c>
      <c r="I21" s="83">
        <v>2595986.17</v>
      </c>
      <c r="J21" s="83">
        <v>2422764.43</v>
      </c>
      <c r="K21" s="83">
        <v>2453526.58</v>
      </c>
      <c r="L21" s="102">
        <f>(K21-J21)*100/J21</f>
        <v>1.27</v>
      </c>
      <c r="M21" s="17">
        <f>(K21-V21)*100/V21</f>
        <v>126.5</v>
      </c>
      <c r="N21" s="38">
        <v>150526</v>
      </c>
      <c r="O21" s="38">
        <v>94954</v>
      </c>
      <c r="P21" s="38">
        <v>215374</v>
      </c>
      <c r="Q21" s="38">
        <v>299312</v>
      </c>
      <c r="R21" s="38">
        <v>388379</v>
      </c>
      <c r="S21" s="38">
        <v>856539</v>
      </c>
      <c r="T21" s="38">
        <v>1094396</v>
      </c>
      <c r="U21" s="38">
        <v>1202585</v>
      </c>
      <c r="V21" s="38">
        <v>1083193</v>
      </c>
      <c r="X21" s="103">
        <v>2453526.58</v>
      </c>
    </row>
    <row r="22" spans="1:24" ht="12.75">
      <c r="A22" s="32" t="s">
        <v>15</v>
      </c>
      <c r="B22" s="43">
        <v>0</v>
      </c>
      <c r="C22" s="38">
        <v>36257</v>
      </c>
      <c r="D22" s="38">
        <v>9012</v>
      </c>
      <c r="E22" s="43">
        <v>-17769</v>
      </c>
      <c r="F22" s="83">
        <v>7883</v>
      </c>
      <c r="G22" s="83">
        <v>70811</v>
      </c>
      <c r="H22" s="83">
        <v>57045</v>
      </c>
      <c r="I22" s="184">
        <v>0</v>
      </c>
      <c r="J22" s="184">
        <v>0</v>
      </c>
      <c r="K22" s="184">
        <v>0</v>
      </c>
      <c r="L22" s="182" t="s">
        <v>143</v>
      </c>
      <c r="M22" s="182" t="s">
        <v>143</v>
      </c>
      <c r="N22" s="38">
        <v>48031</v>
      </c>
      <c r="O22" s="38">
        <v>49884</v>
      </c>
      <c r="P22" s="38">
        <v>4649</v>
      </c>
      <c r="Q22" s="38">
        <v>52811</v>
      </c>
      <c r="R22" s="38">
        <v>56187</v>
      </c>
      <c r="S22" s="38">
        <v>66560</v>
      </c>
      <c r="T22" s="38">
        <v>98653</v>
      </c>
      <c r="U22" s="38">
        <v>31491</v>
      </c>
      <c r="V22" s="43">
        <v>0</v>
      </c>
      <c r="X22" s="103">
        <v>0</v>
      </c>
    </row>
    <row r="23" spans="2:24" ht="12.75">
      <c r="B23" s="38"/>
      <c r="C23" s="38"/>
      <c r="D23" s="38"/>
      <c r="E23" s="43"/>
      <c r="F23" s="83"/>
      <c r="G23" s="83"/>
      <c r="H23" s="83"/>
      <c r="I23" s="83"/>
      <c r="J23" s="83"/>
      <c r="K23" s="83"/>
      <c r="L23" s="16"/>
      <c r="M23" s="17"/>
      <c r="N23" s="38"/>
      <c r="P23" s="38"/>
      <c r="Q23" s="38"/>
      <c r="R23" s="38"/>
      <c r="S23" s="38"/>
      <c r="T23" s="38"/>
      <c r="U23" s="38"/>
      <c r="V23" s="38"/>
      <c r="X23" s="103"/>
    </row>
    <row r="24" spans="1:24" ht="12.75">
      <c r="A24" s="32" t="s">
        <v>16</v>
      </c>
      <c r="B24" s="38">
        <v>1086657</v>
      </c>
      <c r="C24" s="38">
        <v>1247218</v>
      </c>
      <c r="D24" s="38">
        <v>1426190</v>
      </c>
      <c r="E24" s="43">
        <v>2605232</v>
      </c>
      <c r="F24" s="83">
        <v>2549045</v>
      </c>
      <c r="G24" s="83">
        <v>2562879</v>
      </c>
      <c r="H24" s="83">
        <v>2259436</v>
      </c>
      <c r="I24" s="83">
        <v>1686186.95</v>
      </c>
      <c r="J24" s="83">
        <v>1988703.58</v>
      </c>
      <c r="K24" s="83">
        <v>2629812.05</v>
      </c>
      <c r="L24" s="102">
        <f>(K24-J24)*100/J24</f>
        <v>32.24</v>
      </c>
      <c r="M24" s="17">
        <f>(K24-V24)*100/V24</f>
        <v>428.3</v>
      </c>
      <c r="N24" s="38">
        <v>328177</v>
      </c>
      <c r="O24" s="38">
        <v>150315</v>
      </c>
      <c r="P24" s="38">
        <v>131216</v>
      </c>
      <c r="Q24" s="38">
        <v>268296</v>
      </c>
      <c r="R24" s="38">
        <v>332961</v>
      </c>
      <c r="S24" s="38">
        <v>624832</v>
      </c>
      <c r="T24" s="38">
        <v>435158</v>
      </c>
      <c r="U24" s="38">
        <v>421635</v>
      </c>
      <c r="V24" s="38">
        <v>497751</v>
      </c>
      <c r="X24" s="103">
        <v>2629812.05</v>
      </c>
    </row>
    <row r="25" spans="1:24" ht="12.75">
      <c r="A25" s="32" t="s">
        <v>17</v>
      </c>
      <c r="B25" s="38">
        <v>36456</v>
      </c>
      <c r="C25" s="38">
        <v>136142</v>
      </c>
      <c r="D25" s="38">
        <v>145987</v>
      </c>
      <c r="E25" s="43">
        <v>22079</v>
      </c>
      <c r="F25" s="83">
        <v>34624</v>
      </c>
      <c r="G25" s="83">
        <v>80166</v>
      </c>
      <c r="H25" s="184">
        <v>0</v>
      </c>
      <c r="I25" s="83">
        <v>100947.23</v>
      </c>
      <c r="J25" s="83">
        <v>110086.24</v>
      </c>
      <c r="K25" s="83">
        <v>147840.74</v>
      </c>
      <c r="L25" s="102">
        <f>(K25-J25)*100/J25</f>
        <v>34.3</v>
      </c>
      <c r="M25" s="17">
        <f>(K25-V25)*100/V25</f>
        <v>165.7</v>
      </c>
      <c r="N25" s="38">
        <v>43595</v>
      </c>
      <c r="O25" s="38">
        <v>46144</v>
      </c>
      <c r="P25" s="38">
        <v>44081</v>
      </c>
      <c r="Q25" s="38">
        <v>26444</v>
      </c>
      <c r="R25" s="38">
        <v>37515</v>
      </c>
      <c r="S25" s="38">
        <v>64595</v>
      </c>
      <c r="T25" s="38">
        <v>140928</v>
      </c>
      <c r="U25" s="38">
        <v>50012</v>
      </c>
      <c r="V25" s="38">
        <v>55643</v>
      </c>
      <c r="X25" s="103">
        <v>147840.74</v>
      </c>
    </row>
    <row r="26" spans="1:24" ht="12.75">
      <c r="A26" s="32" t="s">
        <v>18</v>
      </c>
      <c r="B26" s="38">
        <v>1211765</v>
      </c>
      <c r="C26" s="38">
        <v>1361041</v>
      </c>
      <c r="D26" s="38">
        <v>2303965</v>
      </c>
      <c r="E26" s="43">
        <v>2921430</v>
      </c>
      <c r="F26" s="83">
        <v>3106594</v>
      </c>
      <c r="G26" s="83">
        <v>3146102</v>
      </c>
      <c r="H26" s="83">
        <v>3467646</v>
      </c>
      <c r="I26" s="83">
        <v>4067039.94</v>
      </c>
      <c r="J26" s="83">
        <v>4825533.19</v>
      </c>
      <c r="K26" s="83">
        <v>5671475</v>
      </c>
      <c r="L26" s="102">
        <f>(K26-J26)*100/J26</f>
        <v>17.53</v>
      </c>
      <c r="M26" s="17">
        <f>(K26-V26)*100/V26</f>
        <v>256.3</v>
      </c>
      <c r="N26" s="38">
        <v>411710</v>
      </c>
      <c r="O26" s="38">
        <v>507120</v>
      </c>
      <c r="P26" s="38">
        <v>541671</v>
      </c>
      <c r="Q26" s="38">
        <v>530262</v>
      </c>
      <c r="R26" s="38">
        <v>531444</v>
      </c>
      <c r="S26" s="38">
        <v>1102569</v>
      </c>
      <c r="T26" s="38">
        <v>1285983</v>
      </c>
      <c r="U26" s="38">
        <v>1930766</v>
      </c>
      <c r="V26" s="38">
        <v>1591834</v>
      </c>
      <c r="X26" s="103">
        <v>5671475</v>
      </c>
    </row>
    <row r="27" spans="1:24" ht="12.75">
      <c r="A27" s="32" t="s">
        <v>19</v>
      </c>
      <c r="B27" s="38">
        <v>2740671</v>
      </c>
      <c r="C27" s="38">
        <v>2508611</v>
      </c>
      <c r="D27" s="38">
        <v>2830848</v>
      </c>
      <c r="E27" s="43">
        <v>2825398</v>
      </c>
      <c r="F27" s="83">
        <v>42514</v>
      </c>
      <c r="G27" s="184">
        <v>0</v>
      </c>
      <c r="H27" s="83">
        <v>4670868</v>
      </c>
      <c r="I27" s="83">
        <v>5489616</v>
      </c>
      <c r="J27" s="83">
        <v>3145354.99</v>
      </c>
      <c r="K27" s="83">
        <v>7540486</v>
      </c>
      <c r="L27" s="102">
        <f>(K27-J27)*100/J27</f>
        <v>139.73</v>
      </c>
      <c r="M27" s="17">
        <f>(K27-V27)*100/V27</f>
        <v>191.9</v>
      </c>
      <c r="N27" s="38">
        <v>606739</v>
      </c>
      <c r="O27" s="38">
        <v>686639</v>
      </c>
      <c r="P27" s="38">
        <v>761930</v>
      </c>
      <c r="Q27" s="38">
        <v>1525385</v>
      </c>
      <c r="R27" s="38">
        <v>832944</v>
      </c>
      <c r="S27" s="38">
        <v>2888853</v>
      </c>
      <c r="T27" s="38">
        <v>2658892</v>
      </c>
      <c r="U27" s="38">
        <v>2581864</v>
      </c>
      <c r="V27" s="38">
        <v>2583143</v>
      </c>
      <c r="X27" s="103">
        <v>7540486</v>
      </c>
    </row>
    <row r="28" spans="1:24" ht="12.75">
      <c r="A28" s="32" t="s">
        <v>20</v>
      </c>
      <c r="B28" s="38">
        <v>15088</v>
      </c>
      <c r="C28" s="38">
        <v>22870</v>
      </c>
      <c r="D28" s="38">
        <v>33411</v>
      </c>
      <c r="E28" s="43">
        <v>37208</v>
      </c>
      <c r="F28" s="83">
        <v>70149</v>
      </c>
      <c r="G28" s="83">
        <v>35524</v>
      </c>
      <c r="H28" s="83">
        <v>54210</v>
      </c>
      <c r="I28" s="83">
        <v>27250</v>
      </c>
      <c r="J28" s="83">
        <v>101585</v>
      </c>
      <c r="K28" s="83">
        <v>65223</v>
      </c>
      <c r="L28" s="102">
        <f>(K28-J28)*100/J28</f>
        <v>-35.79</v>
      </c>
      <c r="M28" s="17">
        <f>(K28-V28)*100/V28</f>
        <v>333.5</v>
      </c>
      <c r="N28" s="38">
        <v>34080</v>
      </c>
      <c r="O28" s="38">
        <v>13038</v>
      </c>
      <c r="P28" s="38">
        <v>15000</v>
      </c>
      <c r="Q28" s="38">
        <v>18253</v>
      </c>
      <c r="R28" s="38">
        <v>43395</v>
      </c>
      <c r="S28" s="38">
        <v>30650</v>
      </c>
      <c r="T28" s="38">
        <v>62989</v>
      </c>
      <c r="U28" s="38">
        <v>10081</v>
      </c>
      <c r="V28" s="38">
        <v>15044</v>
      </c>
      <c r="X28" s="103">
        <v>65223</v>
      </c>
    </row>
    <row r="29" spans="2:24" ht="12.75">
      <c r="B29" s="38"/>
      <c r="C29" s="38"/>
      <c r="D29" s="38"/>
      <c r="E29" s="43"/>
      <c r="F29" s="83"/>
      <c r="G29" s="83"/>
      <c r="H29" s="83"/>
      <c r="I29" s="83"/>
      <c r="J29" s="83"/>
      <c r="K29" s="83"/>
      <c r="L29" s="16"/>
      <c r="M29" s="17"/>
      <c r="N29" s="38"/>
      <c r="O29" s="38"/>
      <c r="P29" s="38"/>
      <c r="Q29" s="38"/>
      <c r="R29" s="38"/>
      <c r="S29" s="38"/>
      <c r="T29" s="38"/>
      <c r="U29" s="38"/>
      <c r="V29" s="38"/>
      <c r="X29" s="103"/>
    </row>
    <row r="30" spans="1:24" ht="12.75">
      <c r="A30" s="32" t="s">
        <v>21</v>
      </c>
      <c r="B30" s="38">
        <v>17753000</v>
      </c>
      <c r="C30" s="38">
        <v>19173780</v>
      </c>
      <c r="D30" s="38">
        <v>20080952</v>
      </c>
      <c r="E30" s="43">
        <v>19714560</v>
      </c>
      <c r="F30" s="83">
        <v>17383405</v>
      </c>
      <c r="G30" s="83">
        <v>18369620</v>
      </c>
      <c r="H30" s="83">
        <v>18929685</v>
      </c>
      <c r="I30" s="83">
        <v>20044203</v>
      </c>
      <c r="J30" s="83">
        <v>24852540</v>
      </c>
      <c r="K30" s="83">
        <v>29673573</v>
      </c>
      <c r="L30" s="102">
        <f>(K30-J30)*100/J30</f>
        <v>19.4</v>
      </c>
      <c r="M30" s="17">
        <f>(K30-V30)*100/V30</f>
        <v>100.8</v>
      </c>
      <c r="N30" s="38">
        <v>5799578</v>
      </c>
      <c r="O30" s="38">
        <v>6222306</v>
      </c>
      <c r="P30" s="38">
        <v>7063556</v>
      </c>
      <c r="Q30" s="38">
        <v>8277745</v>
      </c>
      <c r="R30" s="38">
        <v>9004374</v>
      </c>
      <c r="S30" s="38">
        <v>10729839</v>
      </c>
      <c r="T30" s="38">
        <v>12542026</v>
      </c>
      <c r="U30" s="38">
        <v>13840827</v>
      </c>
      <c r="V30" s="38">
        <v>14781298</v>
      </c>
      <c r="X30" s="103">
        <v>29673573</v>
      </c>
    </row>
    <row r="31" spans="1:24" ht="12.75">
      <c r="A31" s="32" t="s">
        <v>22</v>
      </c>
      <c r="B31" s="38">
        <v>17849810</v>
      </c>
      <c r="C31" s="38">
        <v>20724566</v>
      </c>
      <c r="D31" s="38">
        <v>22761440</v>
      </c>
      <c r="E31" s="43">
        <v>24630996</v>
      </c>
      <c r="F31" s="83">
        <v>28849186</v>
      </c>
      <c r="G31" s="83">
        <v>32255290</v>
      </c>
      <c r="H31" s="83">
        <v>36555275</v>
      </c>
      <c r="I31" s="83">
        <v>37365921</v>
      </c>
      <c r="J31" s="83">
        <v>42537599</v>
      </c>
      <c r="K31" s="83">
        <v>47184734</v>
      </c>
      <c r="L31" s="102">
        <f>(K31-J31)*100/J31</f>
        <v>10.92</v>
      </c>
      <c r="M31" s="17">
        <f>(K31-V31)*100/V31</f>
        <v>199.1</v>
      </c>
      <c r="N31" s="38">
        <v>2700637</v>
      </c>
      <c r="O31" s="38">
        <v>3346119</v>
      </c>
      <c r="P31" s="38">
        <v>4673824</v>
      </c>
      <c r="Q31" s="38">
        <v>6427852</v>
      </c>
      <c r="R31" s="38">
        <v>7907276</v>
      </c>
      <c r="S31" s="38">
        <v>9832657</v>
      </c>
      <c r="T31" s="38">
        <v>13519630</v>
      </c>
      <c r="U31" s="38">
        <v>15319170</v>
      </c>
      <c r="V31" s="38">
        <v>15774410</v>
      </c>
      <c r="X31" s="103">
        <v>47184734</v>
      </c>
    </row>
    <row r="32" spans="1:24" ht="12.75">
      <c r="A32" s="32" t="s">
        <v>23</v>
      </c>
      <c r="B32" s="43">
        <v>0</v>
      </c>
      <c r="C32" s="38">
        <v>283125</v>
      </c>
      <c r="D32" s="43">
        <v>0</v>
      </c>
      <c r="E32" s="43">
        <v>121000</v>
      </c>
      <c r="F32" s="83">
        <v>709327</v>
      </c>
      <c r="G32" s="83">
        <v>609990</v>
      </c>
      <c r="H32" s="83">
        <v>514990</v>
      </c>
      <c r="I32" s="83">
        <v>410242.65</v>
      </c>
      <c r="J32" s="83">
        <v>486535.77</v>
      </c>
      <c r="K32" s="83">
        <v>510747.9</v>
      </c>
      <c r="L32" s="102">
        <f>(K32-J32)*100/J32</f>
        <v>4.98</v>
      </c>
      <c r="M32" s="182" t="s">
        <v>143</v>
      </c>
      <c r="N32" s="38">
        <v>0</v>
      </c>
      <c r="O32" s="38">
        <v>10337</v>
      </c>
      <c r="P32" s="38">
        <v>0</v>
      </c>
      <c r="Q32" s="38">
        <v>1600</v>
      </c>
      <c r="R32" s="38">
        <v>0</v>
      </c>
      <c r="S32" s="38">
        <v>435053</v>
      </c>
      <c r="T32" s="38">
        <v>302315</v>
      </c>
      <c r="U32" s="38">
        <v>636028</v>
      </c>
      <c r="V32" s="43">
        <v>0</v>
      </c>
      <c r="X32" s="103">
        <v>510747.9</v>
      </c>
    </row>
    <row r="33" spans="1:24" ht="12.75">
      <c r="A33" s="32" t="s">
        <v>24</v>
      </c>
      <c r="B33" s="38">
        <v>559530</v>
      </c>
      <c r="C33" s="38">
        <v>790806</v>
      </c>
      <c r="D33" s="38">
        <v>713350</v>
      </c>
      <c r="E33" s="43">
        <v>709701</v>
      </c>
      <c r="F33" s="83">
        <v>736769</v>
      </c>
      <c r="G33" s="83">
        <v>763189</v>
      </c>
      <c r="H33" s="83">
        <v>749661</v>
      </c>
      <c r="I33" s="83">
        <v>835864.66</v>
      </c>
      <c r="J33" s="83">
        <v>1043329.92</v>
      </c>
      <c r="K33" s="83">
        <v>1487632.99</v>
      </c>
      <c r="L33" s="102">
        <f>(K33-J33)*100/J33</f>
        <v>42.59</v>
      </c>
      <c r="M33" s="17">
        <f>(K33-V33)*100/V33</f>
        <v>113.5</v>
      </c>
      <c r="N33" s="38">
        <v>41512</v>
      </c>
      <c r="O33" s="38">
        <v>0</v>
      </c>
      <c r="P33" s="38">
        <v>95220</v>
      </c>
      <c r="Q33" s="38">
        <v>232305</v>
      </c>
      <c r="R33" s="38">
        <v>297955</v>
      </c>
      <c r="S33" s="38">
        <v>365209</v>
      </c>
      <c r="T33" s="38">
        <v>446914</v>
      </c>
      <c r="U33" s="38">
        <v>646917</v>
      </c>
      <c r="V33" s="38">
        <v>696876</v>
      </c>
      <c r="X33" s="103">
        <v>1487632.99</v>
      </c>
    </row>
    <row r="34" spans="1:24" ht="12.75">
      <c r="A34" s="32" t="s">
        <v>25</v>
      </c>
      <c r="B34" s="184">
        <v>0</v>
      </c>
      <c r="C34" s="43">
        <v>0</v>
      </c>
      <c r="D34" s="43">
        <v>0</v>
      </c>
      <c r="E34" s="43">
        <v>77035</v>
      </c>
      <c r="F34" s="83">
        <v>69272</v>
      </c>
      <c r="G34" s="83">
        <v>32866</v>
      </c>
      <c r="H34" s="83">
        <v>158356</v>
      </c>
      <c r="I34" s="83">
        <v>157968.06</v>
      </c>
      <c r="J34" s="83">
        <v>224500.75</v>
      </c>
      <c r="K34" s="83">
        <v>128346.6</v>
      </c>
      <c r="L34" s="102">
        <f>(K34-J34)*100/J34</f>
        <v>-42.83</v>
      </c>
      <c r="M34" s="182" t="s">
        <v>143</v>
      </c>
      <c r="N34" s="38">
        <v>0</v>
      </c>
      <c r="O34" s="38">
        <v>0</v>
      </c>
      <c r="P34" s="38">
        <v>0</v>
      </c>
      <c r="Q34" s="38">
        <v>20816</v>
      </c>
      <c r="R34" s="38">
        <v>0</v>
      </c>
      <c r="S34" s="38">
        <v>0</v>
      </c>
      <c r="T34" s="43">
        <v>0</v>
      </c>
      <c r="U34" s="43">
        <v>0</v>
      </c>
      <c r="V34" s="43">
        <v>0</v>
      </c>
      <c r="X34" s="103">
        <v>128346.6</v>
      </c>
    </row>
    <row r="35" spans="2:24" ht="12.75">
      <c r="B35" s="38"/>
      <c r="C35" s="38"/>
      <c r="D35" s="38"/>
      <c r="E35" s="43"/>
      <c r="F35" s="83"/>
      <c r="G35" s="83"/>
      <c r="H35" s="83"/>
      <c r="I35" s="83"/>
      <c r="J35" s="83"/>
      <c r="K35" s="83"/>
      <c r="L35" s="16"/>
      <c r="M35" s="17"/>
      <c r="O35" s="38"/>
      <c r="P35" s="38"/>
      <c r="R35" s="38"/>
      <c r="S35" s="38"/>
      <c r="T35" s="38"/>
      <c r="U35" s="38"/>
      <c r="V35" s="38"/>
      <c r="X35" s="103"/>
    </row>
    <row r="36" spans="1:24" ht="12.75">
      <c r="A36" s="32" t="s">
        <v>26</v>
      </c>
      <c r="B36" s="43">
        <v>0</v>
      </c>
      <c r="C36" s="38">
        <v>31986</v>
      </c>
      <c r="D36" s="43">
        <v>0</v>
      </c>
      <c r="E36" s="43">
        <v>0</v>
      </c>
      <c r="F36" s="83">
        <v>9000</v>
      </c>
      <c r="G36" s="43">
        <v>0</v>
      </c>
      <c r="H36" s="83">
        <v>400</v>
      </c>
      <c r="I36" s="184">
        <v>0</v>
      </c>
      <c r="J36" s="184">
        <v>0</v>
      </c>
      <c r="K36" s="184">
        <v>63542.88</v>
      </c>
      <c r="L36" s="182" t="s">
        <v>143</v>
      </c>
      <c r="M36" s="17">
        <f>(K36-V36)*100/V36</f>
        <v>-33.2</v>
      </c>
      <c r="N36" s="38">
        <v>86048</v>
      </c>
      <c r="O36" s="38">
        <v>90718</v>
      </c>
      <c r="P36" s="38">
        <v>134279</v>
      </c>
      <c r="Q36" s="38">
        <v>0</v>
      </c>
      <c r="R36" s="38">
        <v>0</v>
      </c>
      <c r="S36" s="38">
        <v>67738</v>
      </c>
      <c r="T36" s="38">
        <v>121954</v>
      </c>
      <c r="U36" s="43">
        <v>0</v>
      </c>
      <c r="V36" s="38">
        <v>95126</v>
      </c>
      <c r="X36" s="103">
        <v>63542.88</v>
      </c>
    </row>
    <row r="37" spans="1:24" ht="12.75">
      <c r="A37" s="32" t="s">
        <v>27</v>
      </c>
      <c r="B37" s="38">
        <v>1077075</v>
      </c>
      <c r="C37" s="38">
        <v>1180638</v>
      </c>
      <c r="D37" s="38">
        <v>1275796</v>
      </c>
      <c r="E37" s="43">
        <v>1648940</v>
      </c>
      <c r="F37" s="83">
        <v>2109561</v>
      </c>
      <c r="G37" s="83">
        <v>2162953</v>
      </c>
      <c r="H37" s="83">
        <v>2688713</v>
      </c>
      <c r="I37" s="83">
        <v>3044373</v>
      </c>
      <c r="J37" s="83">
        <v>3231808</v>
      </c>
      <c r="K37" s="83">
        <v>3590133</v>
      </c>
      <c r="L37" s="102">
        <f>(K37-J37)*100/J37</f>
        <v>11.09</v>
      </c>
      <c r="M37" s="17">
        <f>(K37-V37)*100/V37</f>
        <v>375.2</v>
      </c>
      <c r="N37" s="38">
        <v>128569</v>
      </c>
      <c r="O37" s="38">
        <v>0</v>
      </c>
      <c r="P37" s="38">
        <v>0</v>
      </c>
      <c r="Q37" s="38">
        <v>0</v>
      </c>
      <c r="R37" s="38">
        <f>152092+497090</f>
        <v>649182</v>
      </c>
      <c r="S37" s="38">
        <v>736846</v>
      </c>
      <c r="T37" s="38">
        <v>826284</v>
      </c>
      <c r="U37" s="38">
        <v>952249</v>
      </c>
      <c r="V37" s="38">
        <v>755493</v>
      </c>
      <c r="X37" s="103">
        <v>3590133</v>
      </c>
    </row>
    <row r="38" spans="1:24" ht="12.75">
      <c r="A38" s="32" t="s">
        <v>28</v>
      </c>
      <c r="B38" s="43">
        <v>0</v>
      </c>
      <c r="C38" s="38">
        <v>200898</v>
      </c>
      <c r="D38" s="38">
        <v>164293</v>
      </c>
      <c r="E38" s="43">
        <v>148276</v>
      </c>
      <c r="F38" s="83">
        <v>139800</v>
      </c>
      <c r="G38" s="83">
        <v>126513</v>
      </c>
      <c r="H38" s="83">
        <v>166235</v>
      </c>
      <c r="I38" s="83">
        <v>178035.68</v>
      </c>
      <c r="J38" s="184">
        <v>0</v>
      </c>
      <c r="K38" s="184">
        <v>503097.74</v>
      </c>
      <c r="L38" s="182" t="s">
        <v>143</v>
      </c>
      <c r="M38" s="182" t="s">
        <v>143</v>
      </c>
      <c r="N38" s="38">
        <v>0</v>
      </c>
      <c r="O38" s="38">
        <v>0</v>
      </c>
      <c r="P38" s="38">
        <v>185266</v>
      </c>
      <c r="Q38" s="38">
        <v>0</v>
      </c>
      <c r="R38" s="38">
        <v>0</v>
      </c>
      <c r="S38" s="38">
        <v>0</v>
      </c>
      <c r="T38" s="43">
        <v>0</v>
      </c>
      <c r="U38" s="43">
        <v>0</v>
      </c>
      <c r="V38" s="43">
        <v>0</v>
      </c>
      <c r="X38" s="103">
        <v>503097.74</v>
      </c>
    </row>
    <row r="39" spans="1:24" ht="12.75">
      <c r="A39" s="44" t="s">
        <v>29</v>
      </c>
      <c r="B39" s="43">
        <v>0</v>
      </c>
      <c r="C39" s="43">
        <v>0</v>
      </c>
      <c r="D39" s="43">
        <v>0</v>
      </c>
      <c r="E39" s="43">
        <v>0</v>
      </c>
      <c r="F39" s="184">
        <v>0</v>
      </c>
      <c r="G39" s="84">
        <v>193450</v>
      </c>
      <c r="H39" s="83">
        <v>120233</v>
      </c>
      <c r="I39" s="84">
        <v>93717.5</v>
      </c>
      <c r="J39" s="84">
        <v>44450.52</v>
      </c>
      <c r="K39" s="84">
        <v>0</v>
      </c>
      <c r="L39" s="116">
        <f>(K39-J39)*100/J39</f>
        <v>-100</v>
      </c>
      <c r="M39" s="183" t="s">
        <v>143</v>
      </c>
      <c r="N39" s="203">
        <v>0</v>
      </c>
      <c r="O39" s="184">
        <v>0</v>
      </c>
      <c r="P39" s="38">
        <v>7010</v>
      </c>
      <c r="Q39" s="84">
        <v>0</v>
      </c>
      <c r="R39" s="84">
        <v>0</v>
      </c>
      <c r="S39" s="76">
        <v>0</v>
      </c>
      <c r="T39" s="104">
        <v>0</v>
      </c>
      <c r="U39" s="43">
        <v>0</v>
      </c>
      <c r="V39" s="43">
        <v>0</v>
      </c>
      <c r="W39" s="44"/>
      <c r="X39" s="120">
        <v>0</v>
      </c>
    </row>
    <row r="40" spans="1:22" ht="12.75">
      <c r="A40" s="32" t="s">
        <v>63</v>
      </c>
      <c r="B40" s="45"/>
      <c r="C40" s="39"/>
      <c r="D40" s="39"/>
      <c r="E40" s="39"/>
      <c r="F40" s="39"/>
      <c r="G40" s="39"/>
      <c r="H40" s="39"/>
      <c r="I40" s="39"/>
      <c r="J40" s="35"/>
      <c r="K40" s="35"/>
      <c r="L40" s="35"/>
      <c r="M40" s="16"/>
      <c r="O40" s="39"/>
      <c r="P40" s="39"/>
      <c r="Q40" s="39"/>
      <c r="V40" s="39"/>
    </row>
    <row r="41" spans="1:13" ht="12.75">
      <c r="A41" s="92" t="s">
        <v>127</v>
      </c>
      <c r="B41" s="38"/>
      <c r="M41" s="16"/>
    </row>
    <row r="42" spans="2:22" ht="12.75">
      <c r="B42" s="38"/>
      <c r="O42" s="38"/>
      <c r="P42" s="38"/>
      <c r="Q42" s="38"/>
      <c r="V42" s="38"/>
    </row>
    <row r="43" spans="2:22" ht="12.75">
      <c r="B43" s="38"/>
      <c r="O43" s="38"/>
      <c r="P43" s="38"/>
      <c r="Q43" s="38"/>
      <c r="V43" s="38"/>
    </row>
    <row r="44" spans="2:22" ht="12.75">
      <c r="B44" s="38"/>
      <c r="O44" s="38"/>
      <c r="P44" s="38"/>
      <c r="Q44" s="38"/>
      <c r="V44" s="38"/>
    </row>
    <row r="45" spans="2:22" ht="12.75">
      <c r="B45" s="38"/>
      <c r="O45" s="38"/>
      <c r="P45" s="38"/>
      <c r="Q45" s="38"/>
      <c r="V45" s="38"/>
    </row>
    <row r="46" spans="2:22" ht="12.75">
      <c r="B46" s="38"/>
      <c r="O46" s="38"/>
      <c r="P46" s="38"/>
      <c r="Q46" s="38"/>
      <c r="V46" s="38"/>
    </row>
    <row r="47" spans="2:22" ht="12.75">
      <c r="B47" s="38"/>
      <c r="V47" s="38"/>
    </row>
    <row r="48" spans="2:22" ht="12.75">
      <c r="B48" s="38"/>
      <c r="V48" s="38"/>
    </row>
    <row r="49" spans="2:22" ht="12.75">
      <c r="B49" s="38"/>
      <c r="V49" s="38"/>
    </row>
    <row r="50" spans="2:22" ht="12.75">
      <c r="B50" s="38"/>
      <c r="V50" s="38"/>
    </row>
    <row r="51" spans="2:22" ht="12.75">
      <c r="B51" s="38"/>
      <c r="V51" s="38"/>
    </row>
    <row r="52" ht="12.75">
      <c r="B52" s="38"/>
    </row>
    <row r="53" ht="12.75">
      <c r="B53" s="38"/>
    </row>
  </sheetData>
  <mergeCells count="3">
    <mergeCell ref="A1:M1"/>
    <mergeCell ref="A4:M4"/>
    <mergeCell ref="A3:M3"/>
  </mergeCells>
  <printOptions/>
  <pageMargins left="0.49" right="0.5" top="1" bottom="1" header="0.5" footer="0.5"/>
  <pageSetup fitToHeight="1" fitToWidth="1" horizontalDpi="600" verticalDpi="600" orientation="landscape" scale="78" r:id="rId1"/>
  <headerFooter alignWithMargins="0">
    <oddHeader xml:space="preserve">&amp;R&amp;10 </oddHeader>
    <oddFooter>&amp;L&amp;"Lucida Sans,Italic"&amp;10MSDE-DBS  11 / 2004&amp;C- 10 -&amp;R&amp;"Lucida Sans,Italic"&amp;10Selected Financial Data - Part 4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workbookViewId="0" topLeftCell="G1">
      <selection activeCell="K14" sqref="K14"/>
    </sheetView>
  </sheetViews>
  <sheetFormatPr defaultColWidth="9.00390625" defaultRowHeight="15.75"/>
  <cols>
    <col min="1" max="1" width="11.125" style="1" customWidth="1"/>
    <col min="2" max="11" width="12.625" style="1" customWidth="1"/>
    <col min="12" max="13" width="6.625" style="1" customWidth="1"/>
    <col min="14" max="19" width="10.125" style="1" customWidth="1"/>
    <col min="20" max="21" width="10.125" style="3" customWidth="1"/>
    <col min="22" max="22" width="10.125" style="1" customWidth="1"/>
    <col min="23" max="23" width="8.50390625" style="3" customWidth="1"/>
    <col min="24" max="24" width="12.50390625" style="3" bestFit="1" customWidth="1"/>
    <col min="25" max="25" width="11.625" style="3" customWidth="1"/>
    <col min="26" max="26" width="12.875" style="3" customWidth="1"/>
    <col min="27" max="27" width="13.00390625" style="3" bestFit="1" customWidth="1"/>
    <col min="28" max="52" width="10.125" style="3" customWidth="1"/>
    <col min="53" max="16384" width="10.00390625" style="3" customWidth="1"/>
  </cols>
  <sheetData>
    <row r="1" spans="1:22" ht="15.75" customHeight="1">
      <c r="A1" s="205" t="s">
        <v>112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0"/>
      <c r="O1" s="10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V2" s="2"/>
    </row>
    <row r="3" spans="1:22" ht="12.75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10"/>
      <c r="O3" s="10"/>
      <c r="V3" s="3"/>
    </row>
    <row r="4" spans="1:22" ht="12.75">
      <c r="A4" s="205" t="s">
        <v>196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10"/>
      <c r="O4" s="10"/>
      <c r="V4" s="3"/>
    </row>
    <row r="5" spans="23:26" ht="13.5" thickBot="1">
      <c r="W5" s="217" t="s">
        <v>181</v>
      </c>
      <c r="X5" s="217"/>
      <c r="Y5" s="217"/>
      <c r="Z5" s="217"/>
    </row>
    <row r="6" spans="1:26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X6" s="218" t="s">
        <v>178</v>
      </c>
      <c r="Y6" s="218"/>
      <c r="Z6" s="218"/>
    </row>
    <row r="7" spans="12:27" ht="12.75">
      <c r="L7" s="6" t="s">
        <v>34</v>
      </c>
      <c r="M7" s="6"/>
      <c r="T7" s="1"/>
      <c r="U7" s="1"/>
      <c r="X7" s="213" t="s">
        <v>166</v>
      </c>
      <c r="Y7" s="213"/>
      <c r="Z7" s="214" t="s">
        <v>180</v>
      </c>
      <c r="AA7" s="3" t="s">
        <v>182</v>
      </c>
    </row>
    <row r="8" spans="1:27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106</v>
      </c>
      <c r="M8" s="10" t="s">
        <v>107</v>
      </c>
      <c r="O8" s="7"/>
      <c r="P8" s="7"/>
      <c r="Q8" s="7"/>
      <c r="T8" s="7"/>
      <c r="U8" s="7"/>
      <c r="V8" s="7"/>
      <c r="X8" s="126"/>
      <c r="Y8" s="126"/>
      <c r="Z8" s="215"/>
      <c r="AA8" s="3" t="s">
        <v>183</v>
      </c>
    </row>
    <row r="9" spans="1:26" ht="13.5" thickBot="1">
      <c r="A9" s="8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9" t="s">
        <v>105</v>
      </c>
      <c r="M9" s="9" t="s">
        <v>105</v>
      </c>
      <c r="N9" s="10" t="s">
        <v>2</v>
      </c>
      <c r="O9" s="9" t="s">
        <v>36</v>
      </c>
      <c r="P9" s="9" t="s">
        <v>71</v>
      </c>
      <c r="Q9" s="9" t="s">
        <v>72</v>
      </c>
      <c r="R9" s="9" t="s">
        <v>73</v>
      </c>
      <c r="S9" s="9" t="s">
        <v>74</v>
      </c>
      <c r="T9" s="9" t="s">
        <v>75</v>
      </c>
      <c r="U9" s="8" t="s">
        <v>83</v>
      </c>
      <c r="V9" s="8" t="s">
        <v>84</v>
      </c>
      <c r="X9" s="127" t="s">
        <v>137</v>
      </c>
      <c r="Y9" s="127" t="s">
        <v>179</v>
      </c>
      <c r="Z9" s="216"/>
    </row>
    <row r="10" spans="1:28" ht="13.5" thickTop="1">
      <c r="A10" s="7" t="s">
        <v>5</v>
      </c>
      <c r="B10" s="11">
        <f aca="true" t="shared" si="0" ref="B10:I10">SUM(B12:B39)</f>
        <v>2424860</v>
      </c>
      <c r="C10" s="11">
        <f t="shared" si="0"/>
        <v>2598040</v>
      </c>
      <c r="D10" s="11">
        <f t="shared" si="0"/>
        <v>2696981</v>
      </c>
      <c r="E10" s="11">
        <f t="shared" si="0"/>
        <v>2800462</v>
      </c>
      <c r="F10" s="11">
        <f t="shared" si="0"/>
        <v>2677189</v>
      </c>
      <c r="G10" s="11">
        <f t="shared" si="0"/>
        <v>2839856</v>
      </c>
      <c r="H10" s="11">
        <f t="shared" si="0"/>
        <v>3014911</v>
      </c>
      <c r="I10" s="11">
        <f t="shared" si="0"/>
        <v>3303979</v>
      </c>
      <c r="J10" s="11">
        <f>SUM(J12:J39)</f>
        <v>3585203</v>
      </c>
      <c r="K10" s="11">
        <f>SUM(K12:K39)</f>
        <v>3780196</v>
      </c>
      <c r="L10" s="12">
        <f>(K10-J10)/J10</f>
        <v>0.054</v>
      </c>
      <c r="M10" s="12">
        <f>(K10-V10)/V10</f>
        <v>0.626</v>
      </c>
      <c r="N10" s="14">
        <f>SUM(N12:N43)</f>
        <v>1282917</v>
      </c>
      <c r="O10" s="11">
        <f aca="true" t="shared" si="1" ref="O10:V10">SUM(O12:O39)</f>
        <v>1393768</v>
      </c>
      <c r="P10" s="11">
        <f t="shared" si="1"/>
        <v>1528036</v>
      </c>
      <c r="Q10" s="11">
        <f t="shared" si="1"/>
        <v>1665323</v>
      </c>
      <c r="R10" s="11">
        <f t="shared" si="1"/>
        <v>1846471</v>
      </c>
      <c r="S10" s="11">
        <f t="shared" si="1"/>
        <v>2024270</v>
      </c>
      <c r="T10" s="11">
        <f t="shared" si="1"/>
        <v>2206209</v>
      </c>
      <c r="U10" s="11">
        <f t="shared" si="1"/>
        <v>2247637</v>
      </c>
      <c r="V10" s="11">
        <f t="shared" si="1"/>
        <v>2325522</v>
      </c>
      <c r="X10" s="11">
        <f>SUM(X12:X39)</f>
        <v>3077351483</v>
      </c>
      <c r="Y10" s="11">
        <f>SUM(Y12:Y39)</f>
        <v>5748538</v>
      </c>
      <c r="Z10" s="11">
        <f>SUM(Z12:Z39)</f>
        <v>708594134</v>
      </c>
      <c r="AA10" s="11">
        <f>SUM(AA12:AA39)</f>
        <v>3780197081</v>
      </c>
      <c r="AB10" s="11">
        <f>SUM(AB12:AB39)</f>
        <v>3780196</v>
      </c>
    </row>
    <row r="11" spans="3:21" ht="12.75">
      <c r="C11" s="22"/>
      <c r="D11" s="15"/>
      <c r="E11" s="15"/>
      <c r="F11" s="15"/>
      <c r="M11" s="15"/>
      <c r="O11" s="15"/>
      <c r="R11" s="15"/>
      <c r="S11" s="15"/>
      <c r="T11" s="1"/>
      <c r="U11" s="1"/>
    </row>
    <row r="12" spans="1:28" ht="12.75">
      <c r="A12" s="1" t="s">
        <v>6</v>
      </c>
      <c r="B12" s="29">
        <f>27113.852+3903.364</f>
        <v>31017</v>
      </c>
      <c r="C12" s="38">
        <f>28369.44+4251.064</f>
        <v>32621</v>
      </c>
      <c r="D12" s="15">
        <f>29346.709+4674.629</f>
        <v>34021</v>
      </c>
      <c r="E12" s="15">
        <v>34369</v>
      </c>
      <c r="F12" s="15">
        <v>33772</v>
      </c>
      <c r="G12" s="1">
        <v>35496</v>
      </c>
      <c r="H12" s="1">
        <v>36350</v>
      </c>
      <c r="I12" s="1">
        <v>36871</v>
      </c>
      <c r="J12" s="1">
        <v>39824</v>
      </c>
      <c r="K12" s="1">
        <v>40945</v>
      </c>
      <c r="L12" s="102">
        <f>(K12-J12)*100/J12</f>
        <v>2.81</v>
      </c>
      <c r="M12" s="17">
        <f>(K12-V12)*100/V12</f>
        <v>40.5</v>
      </c>
      <c r="N12" s="15">
        <v>19003</v>
      </c>
      <c r="O12" s="15">
        <v>20242</v>
      </c>
      <c r="P12" s="15">
        <v>21445</v>
      </c>
      <c r="Q12" s="28">
        <v>22670</v>
      </c>
      <c r="R12" s="28">
        <v>24640</v>
      </c>
      <c r="S12" s="28">
        <v>26265</v>
      </c>
      <c r="T12" s="28">
        <v>27530</v>
      </c>
      <c r="U12" s="28">
        <v>28661</v>
      </c>
      <c r="V12" s="28">
        <v>29133</v>
      </c>
      <c r="X12" s="3">
        <v>33206435</v>
      </c>
      <c r="Y12" s="3">
        <v>122031.47</v>
      </c>
      <c r="Z12" s="3">
        <v>7860359</v>
      </c>
      <c r="AA12" s="3">
        <f>X12-Y12+Z12</f>
        <v>40944763</v>
      </c>
      <c r="AB12" s="3">
        <f>AA12/1000</f>
        <v>40945</v>
      </c>
    </row>
    <row r="13" spans="1:28" ht="12.75">
      <c r="A13" s="1" t="s">
        <v>7</v>
      </c>
      <c r="B13" s="29">
        <f>188520.394+30617.162</f>
        <v>219138</v>
      </c>
      <c r="C13" s="38">
        <f>201113.017+33511.67</f>
        <v>234625</v>
      </c>
      <c r="D13" s="15">
        <f>203360.807+34022.837</f>
        <v>237384</v>
      </c>
      <c r="E13" s="15">
        <v>241584</v>
      </c>
      <c r="F13" s="15">
        <v>226336</v>
      </c>
      <c r="G13" s="1">
        <v>234438</v>
      </c>
      <c r="H13" s="1">
        <v>247616.92</v>
      </c>
      <c r="I13" s="1">
        <v>268848</v>
      </c>
      <c r="J13" s="1">
        <v>289399</v>
      </c>
      <c r="K13" s="1">
        <v>295866</v>
      </c>
      <c r="L13" s="102">
        <f>(K13-J13)*100/J13</f>
        <v>2.23</v>
      </c>
      <c r="M13" s="17">
        <f>(K13-V13)*100/V13</f>
        <v>40.4</v>
      </c>
      <c r="N13" s="15">
        <v>120553</v>
      </c>
      <c r="O13" s="15">
        <v>129829</v>
      </c>
      <c r="P13" s="15">
        <v>141233</v>
      </c>
      <c r="Q13" s="28">
        <v>153249</v>
      </c>
      <c r="R13" s="28">
        <v>167493</v>
      </c>
      <c r="S13" s="28">
        <v>185592</v>
      </c>
      <c r="T13" s="28">
        <v>205817</v>
      </c>
      <c r="U13" s="28">
        <v>203702</v>
      </c>
      <c r="V13" s="28">
        <v>210800</v>
      </c>
      <c r="X13" s="3">
        <v>243062171</v>
      </c>
      <c r="Y13" s="3">
        <v>0</v>
      </c>
      <c r="Z13" s="3">
        <v>52803778</v>
      </c>
      <c r="AA13" s="3">
        <f>X13-Y13+Z13</f>
        <v>295865949</v>
      </c>
      <c r="AB13" s="3">
        <f>AA13/1000</f>
        <v>295866</v>
      </c>
    </row>
    <row r="14" spans="1:28" ht="12.75">
      <c r="A14" s="1" t="s">
        <v>8</v>
      </c>
      <c r="B14" s="29">
        <f>233475.657+69524.136</f>
        <v>303000</v>
      </c>
      <c r="C14" s="38">
        <f>250113.606+76618.569</f>
        <v>326732</v>
      </c>
      <c r="D14" s="15">
        <f>260001.703+81953.999</f>
        <v>341956</v>
      </c>
      <c r="E14" s="15">
        <v>355402</v>
      </c>
      <c r="F14" s="15">
        <v>328673</v>
      </c>
      <c r="G14" s="1">
        <v>351684</v>
      </c>
      <c r="H14" s="1">
        <v>355132</v>
      </c>
      <c r="I14" s="1">
        <v>398555</v>
      </c>
      <c r="J14" s="1">
        <v>424535</v>
      </c>
      <c r="K14" s="1">
        <v>452130</v>
      </c>
      <c r="L14" s="102">
        <f>(K14-J14)*100/J14</f>
        <v>6.5</v>
      </c>
      <c r="M14" s="17">
        <f>(K14-V14)*100/V14</f>
        <v>50.2</v>
      </c>
      <c r="N14" s="15">
        <v>185311</v>
      </c>
      <c r="O14" s="15">
        <v>200822</v>
      </c>
      <c r="P14" s="15">
        <v>214558</v>
      </c>
      <c r="Q14" s="28">
        <v>229158</v>
      </c>
      <c r="R14" s="28">
        <v>246294</v>
      </c>
      <c r="S14" s="28">
        <v>265330</v>
      </c>
      <c r="T14" s="28">
        <v>290159</v>
      </c>
      <c r="U14" s="28">
        <v>294945</v>
      </c>
      <c r="V14" s="28">
        <v>301029</v>
      </c>
      <c r="X14" s="3">
        <v>338809142</v>
      </c>
      <c r="Y14" s="3">
        <v>36891.77</v>
      </c>
      <c r="Z14" s="3">
        <v>113358200</v>
      </c>
      <c r="AA14" s="3">
        <f>X14-Y14+Z14</f>
        <v>452130450</v>
      </c>
      <c r="AB14" s="3">
        <f>AA14/1000</f>
        <v>452130</v>
      </c>
    </row>
    <row r="15" spans="1:28" ht="12.75">
      <c r="A15" s="1" t="s">
        <v>9</v>
      </c>
      <c r="B15" s="29">
        <f>260815.351+44641.775</f>
        <v>305457</v>
      </c>
      <c r="C15" s="38">
        <f>279136.357+46436.483</f>
        <v>325573</v>
      </c>
      <c r="D15" s="15">
        <f>289841.298+49987.526</f>
        <v>339829</v>
      </c>
      <c r="E15" s="15">
        <v>356990</v>
      </c>
      <c r="F15" s="15">
        <v>342268</v>
      </c>
      <c r="G15" s="1">
        <v>349370</v>
      </c>
      <c r="H15" s="1">
        <v>377302</v>
      </c>
      <c r="I15" s="1">
        <v>407517</v>
      </c>
      <c r="J15" s="1">
        <v>437209</v>
      </c>
      <c r="K15" s="1">
        <v>450778</v>
      </c>
      <c r="L15" s="102">
        <f>(K15-J15)*100/J15</f>
        <v>3.1</v>
      </c>
      <c r="M15" s="17">
        <f>(K15-V15)*100/V15</f>
        <v>51.5</v>
      </c>
      <c r="N15" s="15">
        <v>187010</v>
      </c>
      <c r="O15" s="15">
        <v>199111</v>
      </c>
      <c r="P15" s="15">
        <v>216156</v>
      </c>
      <c r="Q15" s="28">
        <v>224709</v>
      </c>
      <c r="R15" s="28">
        <v>258046</v>
      </c>
      <c r="S15" s="28">
        <v>273859</v>
      </c>
      <c r="T15" s="28">
        <v>288003</v>
      </c>
      <c r="U15" s="28">
        <v>294923</v>
      </c>
      <c r="V15" s="28">
        <v>297512</v>
      </c>
      <c r="X15" s="3">
        <v>363204686</v>
      </c>
      <c r="Y15" s="3">
        <v>123146.48</v>
      </c>
      <c r="Z15" s="3">
        <v>87696165</v>
      </c>
      <c r="AA15" s="3">
        <f>X15-Y15+Z15</f>
        <v>450777705</v>
      </c>
      <c r="AB15" s="3">
        <f>AA15/1000</f>
        <v>450778</v>
      </c>
    </row>
    <row r="16" spans="1:28" ht="12.75">
      <c r="A16" s="1" t="s">
        <v>10</v>
      </c>
      <c r="B16" s="29">
        <f>30745.432+5085.919</f>
        <v>35831</v>
      </c>
      <c r="C16" s="38">
        <f>33056.258+5507.116</f>
        <v>38563</v>
      </c>
      <c r="D16" s="15">
        <f>35630.831+5978.651</f>
        <v>41609</v>
      </c>
      <c r="E16" s="15">
        <v>45030</v>
      </c>
      <c r="F16" s="15">
        <v>44276</v>
      </c>
      <c r="G16" s="1">
        <v>47798</v>
      </c>
      <c r="H16" s="1">
        <v>52210</v>
      </c>
      <c r="I16" s="1">
        <v>56889</v>
      </c>
      <c r="J16" s="1">
        <v>63190</v>
      </c>
      <c r="K16" s="1">
        <v>69935</v>
      </c>
      <c r="L16" s="102">
        <f>(K16-J16)*100/J16</f>
        <v>10.67</v>
      </c>
      <c r="M16" s="17">
        <f>(K16-V16)*100/V16</f>
        <v>113.9</v>
      </c>
      <c r="N16" s="15">
        <v>13960</v>
      </c>
      <c r="O16" s="15">
        <v>15143</v>
      </c>
      <c r="P16" s="15">
        <v>16755</v>
      </c>
      <c r="Q16" s="28">
        <v>18379</v>
      </c>
      <c r="R16" s="28">
        <v>21000</v>
      </c>
      <c r="S16" s="28">
        <v>23543</v>
      </c>
      <c r="T16" s="28">
        <v>26451</v>
      </c>
      <c r="U16" s="28">
        <v>30315</v>
      </c>
      <c r="V16" s="28">
        <v>32693</v>
      </c>
      <c r="X16" s="3">
        <v>57735203</v>
      </c>
      <c r="Y16" s="3">
        <v>200822.99</v>
      </c>
      <c r="Z16" s="3">
        <v>12400213</v>
      </c>
      <c r="AA16" s="3">
        <f>X16-Y16+Z16</f>
        <v>69934593</v>
      </c>
      <c r="AB16" s="3">
        <f>AA16/1000</f>
        <v>69935</v>
      </c>
    </row>
    <row r="17" spans="2:22" ht="12.75">
      <c r="B17" s="29"/>
      <c r="C17" s="38"/>
      <c r="D17" s="15"/>
      <c r="E17" s="15"/>
      <c r="F17" s="15"/>
      <c r="L17" s="16"/>
      <c r="M17" s="17"/>
      <c r="N17" s="15"/>
      <c r="P17" s="15"/>
      <c r="Q17" s="28"/>
      <c r="R17" s="28"/>
      <c r="S17" s="28"/>
      <c r="T17" s="28"/>
      <c r="U17" s="28"/>
      <c r="V17" s="28"/>
    </row>
    <row r="18" spans="1:28" ht="12.75">
      <c r="A18" s="1" t="s">
        <v>11</v>
      </c>
      <c r="B18" s="29">
        <f>12490.428+1615.668</f>
        <v>14106</v>
      </c>
      <c r="C18" s="38">
        <f>13274.194+1826.502</f>
        <v>15101</v>
      </c>
      <c r="D18" s="15">
        <f>14212.639+1959.597</f>
        <v>16172</v>
      </c>
      <c r="E18" s="15">
        <v>16926</v>
      </c>
      <c r="F18" s="15">
        <v>16267</v>
      </c>
      <c r="G18" s="1">
        <v>17470</v>
      </c>
      <c r="H18" s="1">
        <v>17921</v>
      </c>
      <c r="I18" s="1">
        <v>18582</v>
      </c>
      <c r="J18" s="1">
        <v>19819</v>
      </c>
      <c r="K18" s="1">
        <v>21162</v>
      </c>
      <c r="L18" s="102">
        <f>(K18-J18)*100/J18</f>
        <v>6.78</v>
      </c>
      <c r="M18" s="17">
        <f>(K18-V18)*100/V18</f>
        <v>60.3</v>
      </c>
      <c r="N18" s="15">
        <v>6316</v>
      </c>
      <c r="O18" s="15">
        <v>6797</v>
      </c>
      <c r="P18" s="15">
        <v>7933</v>
      </c>
      <c r="Q18" s="28">
        <v>8877</v>
      </c>
      <c r="R18" s="28">
        <v>9900</v>
      </c>
      <c r="S18" s="28">
        <v>10920</v>
      </c>
      <c r="T18" s="28">
        <v>12072</v>
      </c>
      <c r="U18" s="28">
        <v>12784</v>
      </c>
      <c r="V18" s="28">
        <v>13201</v>
      </c>
      <c r="X18" s="3">
        <v>17853268</v>
      </c>
      <c r="Y18" s="3">
        <v>0</v>
      </c>
      <c r="Z18" s="3">
        <v>3308261.45</v>
      </c>
      <c r="AA18" s="3">
        <f>X18-Y18+Z18</f>
        <v>21161529</v>
      </c>
      <c r="AB18" s="3">
        <f>AA18/1000</f>
        <v>21162</v>
      </c>
    </row>
    <row r="19" spans="1:28" ht="12.75">
      <c r="A19" s="1" t="s">
        <v>12</v>
      </c>
      <c r="B19" s="29">
        <f>59376.415+8301.349</f>
        <v>67678</v>
      </c>
      <c r="C19" s="38">
        <f>63322.936+9118.007</f>
        <v>72441</v>
      </c>
      <c r="D19" s="15">
        <f>66691.727+10065.507</f>
        <v>76757</v>
      </c>
      <c r="E19" s="15">
        <v>77606</v>
      </c>
      <c r="F19" s="15">
        <v>76084</v>
      </c>
      <c r="G19" s="1">
        <v>81496</v>
      </c>
      <c r="H19" s="1">
        <v>86256</v>
      </c>
      <c r="I19" s="1">
        <v>93339</v>
      </c>
      <c r="J19" s="1">
        <v>100264</v>
      </c>
      <c r="K19" s="1">
        <v>105636</v>
      </c>
      <c r="L19" s="102">
        <f>(K19-J19)*100/J19</f>
        <v>5.36</v>
      </c>
      <c r="M19" s="17">
        <f>(K19-V19)*100/V19</f>
        <v>65.5</v>
      </c>
      <c r="N19" s="15">
        <v>30407</v>
      </c>
      <c r="O19" s="15">
        <v>33201</v>
      </c>
      <c r="P19" s="15">
        <v>36765</v>
      </c>
      <c r="Q19" s="28">
        <v>41664</v>
      </c>
      <c r="R19" s="28">
        <v>48096</v>
      </c>
      <c r="S19" s="28">
        <v>53331</v>
      </c>
      <c r="T19" s="28">
        <v>58352</v>
      </c>
      <c r="U19" s="28">
        <v>61496</v>
      </c>
      <c r="V19" s="28">
        <v>63844</v>
      </c>
      <c r="X19" s="3">
        <v>88577588</v>
      </c>
      <c r="Y19" s="3">
        <v>348137.27</v>
      </c>
      <c r="Z19" s="3">
        <v>17406657</v>
      </c>
      <c r="AA19" s="3">
        <f>X19-Y19+Z19</f>
        <v>105636108</v>
      </c>
      <c r="AB19" s="3">
        <f>AA19/1000</f>
        <v>105636</v>
      </c>
    </row>
    <row r="20" spans="1:28" ht="12.75">
      <c r="A20" s="1" t="s">
        <v>13</v>
      </c>
      <c r="B20" s="29">
        <f>33447.211+5666.297</f>
        <v>39114</v>
      </c>
      <c r="C20" s="38">
        <f>36423.041+6205.43</f>
        <v>42628</v>
      </c>
      <c r="D20" s="15">
        <f>37633.736+6639.222</f>
        <v>44273</v>
      </c>
      <c r="E20" s="15">
        <v>46415</v>
      </c>
      <c r="F20" s="15">
        <v>43813</v>
      </c>
      <c r="G20" s="1">
        <v>46881</v>
      </c>
      <c r="H20" s="1">
        <v>49561</v>
      </c>
      <c r="I20" s="1">
        <v>53879</v>
      </c>
      <c r="J20" s="1">
        <v>57403</v>
      </c>
      <c r="K20" s="1">
        <v>60292</v>
      </c>
      <c r="L20" s="102">
        <f>(K20-J20)*100/J20</f>
        <v>5.03</v>
      </c>
      <c r="M20" s="17">
        <f>(K20-V20)*100/V20</f>
        <v>61.2</v>
      </c>
      <c r="N20" s="15">
        <v>18939</v>
      </c>
      <c r="O20" s="15">
        <v>20867</v>
      </c>
      <c r="P20" s="15">
        <v>22850</v>
      </c>
      <c r="Q20" s="28">
        <v>25468</v>
      </c>
      <c r="R20" s="28">
        <v>27922</v>
      </c>
      <c r="S20" s="28">
        <v>31316</v>
      </c>
      <c r="T20" s="28">
        <v>33926</v>
      </c>
      <c r="U20" s="28">
        <v>35495</v>
      </c>
      <c r="V20" s="28">
        <v>37395</v>
      </c>
      <c r="X20" s="3">
        <v>48502455</v>
      </c>
      <c r="Y20" s="3">
        <v>0</v>
      </c>
      <c r="Z20" s="3">
        <v>11789693</v>
      </c>
      <c r="AA20" s="3">
        <f>X20-Y20+Z20</f>
        <v>60292148</v>
      </c>
      <c r="AB20" s="3">
        <f>AA20/1000</f>
        <v>60292</v>
      </c>
    </row>
    <row r="21" spans="1:28" ht="12.75">
      <c r="A21" s="1" t="s">
        <v>14</v>
      </c>
      <c r="B21" s="29">
        <f>50977.573+9331.016</f>
        <v>60309</v>
      </c>
      <c r="C21" s="38">
        <f>53572.814+9817.683</f>
        <v>63390</v>
      </c>
      <c r="D21" s="15">
        <f>54692.233+9445.924</f>
        <v>64138</v>
      </c>
      <c r="E21" s="15">
        <v>64879</v>
      </c>
      <c r="F21" s="15">
        <v>63494</v>
      </c>
      <c r="G21" s="1">
        <v>67884</v>
      </c>
      <c r="H21" s="1">
        <v>72994</v>
      </c>
      <c r="I21" s="1">
        <v>81350</v>
      </c>
      <c r="J21" s="1">
        <v>88239</v>
      </c>
      <c r="K21" s="1">
        <v>94555</v>
      </c>
      <c r="L21" s="102">
        <f>(K21-J21)*100/J21</f>
        <v>7.16</v>
      </c>
      <c r="M21" s="17">
        <f>(K21-V21)*100/V21</f>
        <v>67.6</v>
      </c>
      <c r="N21" s="15">
        <v>26795</v>
      </c>
      <c r="O21" s="15">
        <v>28739</v>
      </c>
      <c r="P21" s="15">
        <v>31926</v>
      </c>
      <c r="Q21" s="28">
        <v>35569</v>
      </c>
      <c r="R21" s="28">
        <v>40082</v>
      </c>
      <c r="S21" s="28">
        <v>45219</v>
      </c>
      <c r="T21" s="28">
        <v>50366</v>
      </c>
      <c r="U21" s="28">
        <v>52833</v>
      </c>
      <c r="V21" s="28">
        <v>56422</v>
      </c>
      <c r="X21" s="3">
        <v>79404597</v>
      </c>
      <c r="Y21" s="3">
        <v>626520.3</v>
      </c>
      <c r="Z21" s="3">
        <v>15776902</v>
      </c>
      <c r="AA21" s="3">
        <f>X21-Y21+Z21</f>
        <v>94554979</v>
      </c>
      <c r="AB21" s="3">
        <f>AA21/1000</f>
        <v>94555</v>
      </c>
    </row>
    <row r="22" spans="1:28" ht="12.75">
      <c r="A22" s="1" t="s">
        <v>15</v>
      </c>
      <c r="B22" s="29">
        <f>12755.609+1952.997</f>
        <v>14709</v>
      </c>
      <c r="C22" s="38">
        <f>13482.615+2066.83</f>
        <v>15549</v>
      </c>
      <c r="D22" s="15">
        <f>13587.873+2207.224</f>
        <v>15795</v>
      </c>
      <c r="E22" s="15">
        <v>16785</v>
      </c>
      <c r="F22" s="15">
        <v>15925</v>
      </c>
      <c r="G22" s="1">
        <v>16569</v>
      </c>
      <c r="H22" s="1">
        <v>17581</v>
      </c>
      <c r="I22" s="1">
        <v>18714</v>
      </c>
      <c r="J22" s="1">
        <v>18487</v>
      </c>
      <c r="K22" s="1">
        <v>19083</v>
      </c>
      <c r="L22" s="102">
        <f>(K22-J22)*100/J22</f>
        <v>3.22</v>
      </c>
      <c r="M22" s="17">
        <f>(K22-V22)*100/V22</f>
        <v>36.7</v>
      </c>
      <c r="N22" s="15">
        <v>8580</v>
      </c>
      <c r="O22" s="15">
        <v>9160</v>
      </c>
      <c r="P22" s="15">
        <v>9773</v>
      </c>
      <c r="Q22" s="28">
        <v>10693</v>
      </c>
      <c r="R22" s="28">
        <v>11737</v>
      </c>
      <c r="S22" s="28">
        <v>12870</v>
      </c>
      <c r="T22" s="28">
        <v>13552</v>
      </c>
      <c r="U22" s="28">
        <v>13395</v>
      </c>
      <c r="V22" s="28">
        <v>13961</v>
      </c>
      <c r="X22" s="3">
        <v>16500171</v>
      </c>
      <c r="Y22" s="3">
        <v>252918.5</v>
      </c>
      <c r="Z22" s="3">
        <v>2835319.42</v>
      </c>
      <c r="AA22" s="3">
        <f>X22-Y22+Z22</f>
        <v>19082572</v>
      </c>
      <c r="AB22" s="3">
        <f>AA22/1000</f>
        <v>19083</v>
      </c>
    </row>
    <row r="23" spans="2:22" ht="12.75">
      <c r="B23" s="29"/>
      <c r="C23" s="38"/>
      <c r="D23" s="15"/>
      <c r="E23" s="15"/>
      <c r="F23" s="15"/>
      <c r="L23" s="16"/>
      <c r="M23" s="17"/>
      <c r="N23" s="15"/>
      <c r="P23" s="15"/>
      <c r="Q23" s="28"/>
      <c r="R23" s="28"/>
      <c r="S23" s="28"/>
      <c r="T23" s="28"/>
      <c r="U23" s="28"/>
      <c r="V23" s="28"/>
    </row>
    <row r="24" spans="1:28" ht="12.75">
      <c r="A24" s="1" t="s">
        <v>16</v>
      </c>
      <c r="B24" s="29">
        <f>79682.016+10331.642</f>
        <v>90014</v>
      </c>
      <c r="C24" s="38">
        <f>87428.687+11649.314</f>
        <v>99078</v>
      </c>
      <c r="D24" s="15">
        <f>89429.424+12245.573</f>
        <v>101675</v>
      </c>
      <c r="E24" s="15">
        <v>104990</v>
      </c>
      <c r="F24" s="15">
        <v>102455</v>
      </c>
      <c r="G24" s="1">
        <v>110067</v>
      </c>
      <c r="H24" s="1">
        <v>117605</v>
      </c>
      <c r="I24" s="1">
        <v>128643</v>
      </c>
      <c r="J24" s="1">
        <v>141866</v>
      </c>
      <c r="K24" s="1">
        <v>148863</v>
      </c>
      <c r="L24" s="102">
        <f>(K24-J24)*100/J24</f>
        <v>4.93</v>
      </c>
      <c r="M24" s="17">
        <f>(K24-V24)*100/V24</f>
        <v>77.9</v>
      </c>
      <c r="N24" s="15">
        <v>38692</v>
      </c>
      <c r="O24" s="15">
        <v>41981</v>
      </c>
      <c r="P24" s="15">
        <v>46730</v>
      </c>
      <c r="Q24" s="28">
        <v>52140</v>
      </c>
      <c r="R24" s="28">
        <v>59105</v>
      </c>
      <c r="S24" s="28">
        <v>66710</v>
      </c>
      <c r="T24" s="28">
        <v>73706</v>
      </c>
      <c r="U24" s="28">
        <v>79051</v>
      </c>
      <c r="V24" s="28">
        <v>83670</v>
      </c>
      <c r="X24" s="3">
        <v>129008554</v>
      </c>
      <c r="Y24" s="3">
        <v>583906.11</v>
      </c>
      <c r="Z24" s="3">
        <v>20438803</v>
      </c>
      <c r="AA24" s="3">
        <f>X24-Y24+Z24</f>
        <v>148863451</v>
      </c>
      <c r="AB24" s="3">
        <f>AA24/1000</f>
        <v>148863</v>
      </c>
    </row>
    <row r="25" spans="1:28" ht="12.75">
      <c r="A25" s="1" t="s">
        <v>17</v>
      </c>
      <c r="B25" s="29">
        <f>12806.034+1948.174</f>
        <v>14754</v>
      </c>
      <c r="C25" s="38">
        <f>13556.578+2060.921</f>
        <v>15617</v>
      </c>
      <c r="D25" s="15">
        <f>14297.529+2084.511</f>
        <v>16382</v>
      </c>
      <c r="E25" s="15">
        <v>17106</v>
      </c>
      <c r="F25" s="15">
        <v>16408</v>
      </c>
      <c r="G25" s="1">
        <v>16892</v>
      </c>
      <c r="H25" s="1">
        <v>17550</v>
      </c>
      <c r="I25" s="1">
        <v>18596</v>
      </c>
      <c r="J25" s="1">
        <v>19502</v>
      </c>
      <c r="K25" s="1">
        <v>19762</v>
      </c>
      <c r="L25" s="102">
        <f>(K25-J25)*100/J25</f>
        <v>1.33</v>
      </c>
      <c r="M25" s="17">
        <f>(K25-V25)*100/V25</f>
        <v>39.1</v>
      </c>
      <c r="N25" s="15">
        <v>7881</v>
      </c>
      <c r="O25" s="15">
        <v>8484</v>
      </c>
      <c r="P25" s="15">
        <v>9559</v>
      </c>
      <c r="Q25" s="28">
        <v>10480</v>
      </c>
      <c r="R25" s="28">
        <v>11627</v>
      </c>
      <c r="S25" s="28">
        <v>12307</v>
      </c>
      <c r="T25" s="28">
        <v>13596</v>
      </c>
      <c r="U25" s="28">
        <v>13777</v>
      </c>
      <c r="V25" s="28">
        <v>14208</v>
      </c>
      <c r="X25" s="3">
        <v>17027760</v>
      </c>
      <c r="Y25" s="3">
        <v>0</v>
      </c>
      <c r="Z25" s="3">
        <v>2734112.56</v>
      </c>
      <c r="AA25" s="3">
        <f>X25-Y25+Z25</f>
        <v>19761873</v>
      </c>
      <c r="AB25" s="3">
        <f>AA25/1000</f>
        <v>19762</v>
      </c>
    </row>
    <row r="26" spans="1:28" ht="12.75">
      <c r="A26" s="1" t="s">
        <v>18</v>
      </c>
      <c r="B26" s="29">
        <f>86040.623+11643.357</f>
        <v>97684</v>
      </c>
      <c r="C26" s="38">
        <f>93150.36+13503.302</f>
        <v>106654</v>
      </c>
      <c r="D26" s="15">
        <f>95981.486+14045.506</f>
        <v>110027</v>
      </c>
      <c r="E26" s="15">
        <v>115854</v>
      </c>
      <c r="F26" s="15">
        <v>112406</v>
      </c>
      <c r="G26" s="1">
        <v>117750</v>
      </c>
      <c r="H26" s="1">
        <v>125269</v>
      </c>
      <c r="I26" s="1">
        <v>133559</v>
      </c>
      <c r="J26" s="1">
        <v>144605</v>
      </c>
      <c r="K26" s="1">
        <v>150447</v>
      </c>
      <c r="L26" s="102">
        <f>(K26-J26)*100/J26</f>
        <v>4.04</v>
      </c>
      <c r="M26" s="17">
        <f>(K26-V26)*100/V26</f>
        <v>64.8</v>
      </c>
      <c r="N26" s="15">
        <v>45061</v>
      </c>
      <c r="O26" s="15">
        <v>49300</v>
      </c>
      <c r="P26" s="15">
        <v>55117</v>
      </c>
      <c r="Q26" s="28">
        <v>60128</v>
      </c>
      <c r="R26" s="28">
        <v>68210</v>
      </c>
      <c r="S26" s="28">
        <v>74920</v>
      </c>
      <c r="T26" s="28">
        <v>82193</v>
      </c>
      <c r="U26" s="28">
        <v>86213</v>
      </c>
      <c r="V26" s="28">
        <v>91283</v>
      </c>
      <c r="X26" s="3">
        <v>127685664</v>
      </c>
      <c r="Y26" s="3">
        <v>0</v>
      </c>
      <c r="Z26" s="3">
        <v>22761537</v>
      </c>
      <c r="AA26" s="3">
        <f>X26-Y26+Z26</f>
        <v>150447201</v>
      </c>
      <c r="AB26" s="3">
        <f>AA26/1000</f>
        <v>150447</v>
      </c>
    </row>
    <row r="27" spans="1:28" ht="12.75">
      <c r="A27" s="1" t="s">
        <v>19</v>
      </c>
      <c r="B27" s="29">
        <f>99012.319+17811.134</f>
        <v>116823</v>
      </c>
      <c r="C27" s="38">
        <f>109857.72+19556.499</f>
        <v>129414</v>
      </c>
      <c r="D27" s="15">
        <f>117012.502+20857.108</f>
        <v>137870</v>
      </c>
      <c r="E27" s="15">
        <v>142951</v>
      </c>
      <c r="F27" s="15">
        <v>139239</v>
      </c>
      <c r="G27" s="1">
        <v>149092</v>
      </c>
      <c r="H27" s="1">
        <v>168233</v>
      </c>
      <c r="I27" s="1">
        <v>189576</v>
      </c>
      <c r="J27" s="1">
        <v>211455</v>
      </c>
      <c r="K27" s="1">
        <v>223137</v>
      </c>
      <c r="L27" s="102">
        <f>(K27-J27)*100/J27</f>
        <v>5.52</v>
      </c>
      <c r="M27" s="17">
        <f>(K27-V27)*100/V27</f>
        <v>105.8</v>
      </c>
      <c r="N27" s="15">
        <v>47827</v>
      </c>
      <c r="O27" s="15">
        <v>54271</v>
      </c>
      <c r="P27" s="15">
        <v>61965</v>
      </c>
      <c r="Q27" s="28">
        <v>69055</v>
      </c>
      <c r="R27" s="28">
        <v>79587</v>
      </c>
      <c r="S27" s="28">
        <v>90380</v>
      </c>
      <c r="T27" s="28">
        <v>103828</v>
      </c>
      <c r="U27" s="28">
        <v>104704</v>
      </c>
      <c r="V27" s="28">
        <v>108400</v>
      </c>
      <c r="X27" s="3">
        <v>176098982</v>
      </c>
      <c r="Y27" s="3">
        <v>0</v>
      </c>
      <c r="Z27" s="3">
        <v>47038487</v>
      </c>
      <c r="AA27" s="3">
        <f>X27-Y27+Z27</f>
        <v>223137469</v>
      </c>
      <c r="AB27" s="3">
        <f>AA27/1000</f>
        <v>223137</v>
      </c>
    </row>
    <row r="28" spans="1:28" ht="12.75">
      <c r="A28" s="1" t="s">
        <v>20</v>
      </c>
      <c r="B28" s="29">
        <f>7381.345+1009.954</f>
        <v>8391</v>
      </c>
      <c r="C28" s="38">
        <f>7990.039+1120.255</f>
        <v>9110</v>
      </c>
      <c r="D28" s="15">
        <f>8223.017+1162.278</f>
        <v>9385</v>
      </c>
      <c r="E28" s="15">
        <v>9961</v>
      </c>
      <c r="F28" s="15">
        <v>10610</v>
      </c>
      <c r="G28" s="1">
        <v>9911</v>
      </c>
      <c r="H28" s="1">
        <v>10376</v>
      </c>
      <c r="I28" s="1">
        <v>11227</v>
      </c>
      <c r="J28" s="1">
        <v>12259</v>
      </c>
      <c r="K28" s="1">
        <v>12638</v>
      </c>
      <c r="L28" s="102">
        <f>(K28-J28)*100/J28</f>
        <v>3.09</v>
      </c>
      <c r="M28" s="17">
        <f>(K28-V28)*100/V28</f>
        <v>60.5</v>
      </c>
      <c r="N28" s="15">
        <v>4153</v>
      </c>
      <c r="O28" s="15">
        <v>4534</v>
      </c>
      <c r="P28" s="28">
        <v>4944</v>
      </c>
      <c r="Q28" s="28">
        <v>5352</v>
      </c>
      <c r="R28" s="28">
        <v>6142</v>
      </c>
      <c r="S28" s="28">
        <v>6909</v>
      </c>
      <c r="T28" s="28">
        <v>7715</v>
      </c>
      <c r="U28" s="28">
        <v>7667</v>
      </c>
      <c r="V28" s="28">
        <v>7875</v>
      </c>
      <c r="X28" s="3">
        <v>10828768</v>
      </c>
      <c r="Y28" s="3">
        <v>113820.88</v>
      </c>
      <c r="Z28" s="3">
        <v>1923068.38</v>
      </c>
      <c r="AA28" s="3">
        <f>X28-Y28+Z28</f>
        <v>12638016</v>
      </c>
      <c r="AB28" s="3">
        <f>AA28/1000</f>
        <v>12638</v>
      </c>
    </row>
    <row r="29" spans="2:22" ht="12.75">
      <c r="B29" s="29"/>
      <c r="C29" s="38"/>
      <c r="D29" s="15"/>
      <c r="E29" s="15"/>
      <c r="F29" s="15"/>
      <c r="L29" s="16"/>
      <c r="M29" s="17"/>
      <c r="N29" s="15"/>
      <c r="O29" s="15"/>
      <c r="Q29" s="28"/>
      <c r="R29" s="28"/>
      <c r="S29" s="28"/>
      <c r="T29" s="28"/>
      <c r="U29" s="28"/>
      <c r="V29" s="28"/>
    </row>
    <row r="30" spans="1:28" ht="12.75">
      <c r="A30" s="1" t="s">
        <v>21</v>
      </c>
      <c r="B30" s="29">
        <f>396395.489+67281.325</f>
        <v>463677</v>
      </c>
      <c r="C30" s="38">
        <f>417945.929+71445.171</f>
        <v>489391</v>
      </c>
      <c r="D30" s="15">
        <f>437403.757+74904.608</f>
        <v>512308</v>
      </c>
      <c r="E30" s="15">
        <v>532592</v>
      </c>
      <c r="F30" s="15">
        <v>507831</v>
      </c>
      <c r="G30" s="1">
        <v>543534</v>
      </c>
      <c r="H30" s="1">
        <v>587150</v>
      </c>
      <c r="I30" s="1">
        <v>656718</v>
      </c>
      <c r="J30" s="1">
        <v>720451</v>
      </c>
      <c r="K30" s="1">
        <v>771970</v>
      </c>
      <c r="L30" s="102">
        <f>(K30-J30)*100/J30</f>
        <v>7.15</v>
      </c>
      <c r="M30" s="17">
        <f>(K30-V30)*100/V30</f>
        <v>72.6</v>
      </c>
      <c r="N30" s="15">
        <v>235359</v>
      </c>
      <c r="O30" s="15">
        <v>260765</v>
      </c>
      <c r="P30" s="28">
        <v>284750</v>
      </c>
      <c r="Q30" s="28">
        <v>316287</v>
      </c>
      <c r="R30" s="28">
        <v>350270</v>
      </c>
      <c r="S30" s="28">
        <v>394235</v>
      </c>
      <c r="T30" s="28">
        <v>430009</v>
      </c>
      <c r="U30" s="28">
        <v>436943</v>
      </c>
      <c r="V30" s="28">
        <v>447330</v>
      </c>
      <c r="X30" s="3">
        <v>638167149</v>
      </c>
      <c r="Y30" s="3">
        <v>2194954.62</v>
      </c>
      <c r="Z30" s="3">
        <v>135998040</v>
      </c>
      <c r="AA30" s="3">
        <f>X30-Y30+Z30</f>
        <v>771970234</v>
      </c>
      <c r="AB30" s="3">
        <f>AA30/1000</f>
        <v>771970</v>
      </c>
    </row>
    <row r="31" spans="1:28" ht="12.75">
      <c r="A31" s="1" t="s">
        <v>22</v>
      </c>
      <c r="B31" s="29">
        <f>292032.151+59034.523</f>
        <v>351067</v>
      </c>
      <c r="C31" s="38">
        <f>312382.895+63995.284</f>
        <v>376378</v>
      </c>
      <c r="D31" s="15">
        <f>321711.276+66433.306</f>
        <v>388145</v>
      </c>
      <c r="E31" s="15">
        <v>401175</v>
      </c>
      <c r="F31" s="15">
        <v>387009</v>
      </c>
      <c r="G31" s="1">
        <v>416633</v>
      </c>
      <c r="H31" s="1">
        <v>434973</v>
      </c>
      <c r="I31" s="1">
        <v>472737</v>
      </c>
      <c r="J31" s="1">
        <v>518718</v>
      </c>
      <c r="K31" s="1">
        <v>552351</v>
      </c>
      <c r="L31" s="102">
        <f>(K31-J31)*100/J31</f>
        <v>6.48</v>
      </c>
      <c r="M31" s="17">
        <f>(K31-V31)*100/V31</f>
        <v>65.8</v>
      </c>
      <c r="N31" s="15">
        <v>191074</v>
      </c>
      <c r="O31" s="15">
        <v>205318</v>
      </c>
      <c r="P31" s="28">
        <v>227438</v>
      </c>
      <c r="Q31" s="28">
        <v>252565</v>
      </c>
      <c r="R31" s="28">
        <v>275612</v>
      </c>
      <c r="S31" s="28">
        <v>295145</v>
      </c>
      <c r="T31" s="28">
        <v>317938</v>
      </c>
      <c r="U31" s="28">
        <v>313362</v>
      </c>
      <c r="V31" s="28">
        <v>333054</v>
      </c>
      <c r="X31" s="3">
        <v>447540567</v>
      </c>
      <c r="Y31" s="3">
        <v>15041.26</v>
      </c>
      <c r="Z31" s="3">
        <v>104825644</v>
      </c>
      <c r="AA31" s="3">
        <f>X31-Y31+Z31</f>
        <v>552351170</v>
      </c>
      <c r="AB31" s="3">
        <f>AA31/1000</f>
        <v>552351</v>
      </c>
    </row>
    <row r="32" spans="1:28" ht="12.75">
      <c r="A32" s="1" t="s">
        <v>23</v>
      </c>
      <c r="B32" s="29">
        <f>14842.918+1986.592</f>
        <v>16830</v>
      </c>
      <c r="C32" s="38">
        <f>15478.858+2097.141</f>
        <v>17576</v>
      </c>
      <c r="D32" s="15">
        <f>15913.44+2214.387</f>
        <v>18128</v>
      </c>
      <c r="E32" s="15">
        <v>19445</v>
      </c>
      <c r="F32" s="15">
        <v>19067</v>
      </c>
      <c r="G32" s="1">
        <v>21097</v>
      </c>
      <c r="H32" s="1">
        <v>23131</v>
      </c>
      <c r="I32" s="1">
        <v>25355</v>
      </c>
      <c r="J32" s="1">
        <v>27906</v>
      </c>
      <c r="K32" s="1">
        <v>29295</v>
      </c>
      <c r="L32" s="102">
        <f>(K32-J32)*100/J32</f>
        <v>4.98</v>
      </c>
      <c r="M32" s="17">
        <f>(K32-V32)*100/V32</f>
        <v>87.9</v>
      </c>
      <c r="N32" s="15">
        <v>7331</v>
      </c>
      <c r="O32" s="15">
        <v>8689</v>
      </c>
      <c r="P32" s="28">
        <v>10505</v>
      </c>
      <c r="Q32" s="28">
        <v>11268</v>
      </c>
      <c r="R32" s="28">
        <v>12002</v>
      </c>
      <c r="S32" s="28">
        <v>13396</v>
      </c>
      <c r="T32" s="28">
        <v>14609</v>
      </c>
      <c r="U32" s="28">
        <v>15086</v>
      </c>
      <c r="V32" s="28">
        <v>15593</v>
      </c>
      <c r="X32" s="3">
        <v>24721547</v>
      </c>
      <c r="Y32" s="3">
        <v>108082.15</v>
      </c>
      <c r="Z32" s="3">
        <v>4682027.31</v>
      </c>
      <c r="AA32" s="3">
        <f>X32-Y32+Z32</f>
        <v>29295492</v>
      </c>
      <c r="AB32" s="3">
        <f>AA32/1000</f>
        <v>29295</v>
      </c>
    </row>
    <row r="33" spans="1:28" ht="12.75">
      <c r="A33" s="1" t="s">
        <v>24</v>
      </c>
      <c r="B33" s="29">
        <f>31976.109+5634.756</f>
        <v>37611</v>
      </c>
      <c r="C33" s="38">
        <f>34429.461+6055.81</f>
        <v>40485</v>
      </c>
      <c r="D33" s="15">
        <f>35240.813+6343.693</f>
        <v>41585</v>
      </c>
      <c r="E33" s="15">
        <v>44689</v>
      </c>
      <c r="F33" s="15">
        <v>42861</v>
      </c>
      <c r="G33" s="1">
        <v>45851</v>
      </c>
      <c r="H33" s="1">
        <v>48369</v>
      </c>
      <c r="I33" s="1">
        <v>52330</v>
      </c>
      <c r="J33" s="1">
        <v>57131</v>
      </c>
      <c r="K33" s="1">
        <v>60341</v>
      </c>
      <c r="L33" s="102">
        <f>(K33-J33)*100/J33</f>
        <v>5.62</v>
      </c>
      <c r="M33" s="17">
        <f>(K33-V33)*100/V33</f>
        <v>61.8</v>
      </c>
      <c r="N33" s="15">
        <v>18245</v>
      </c>
      <c r="O33" s="15">
        <v>19731</v>
      </c>
      <c r="P33" s="28">
        <v>22527</v>
      </c>
      <c r="Q33" s="28">
        <v>24732</v>
      </c>
      <c r="R33" s="28">
        <v>26935</v>
      </c>
      <c r="S33" s="28">
        <v>29839</v>
      </c>
      <c r="T33" s="28">
        <v>33131</v>
      </c>
      <c r="U33" s="28">
        <v>36412</v>
      </c>
      <c r="V33" s="28">
        <v>37284</v>
      </c>
      <c r="X33" s="3">
        <v>48932089</v>
      </c>
      <c r="Y33" s="3">
        <v>183661.37</v>
      </c>
      <c r="Z33" s="3">
        <v>11592514</v>
      </c>
      <c r="AA33" s="3">
        <f>X33-Y33+Z33</f>
        <v>60340942</v>
      </c>
      <c r="AB33" s="3">
        <f>AA33/1000</f>
        <v>60341</v>
      </c>
    </row>
    <row r="34" spans="1:28" ht="12.75">
      <c r="A34" s="1" t="s">
        <v>25</v>
      </c>
      <c r="B34" s="29">
        <f>8848.369+1268.194</f>
        <v>10117</v>
      </c>
      <c r="C34" s="38">
        <f>9325.718+1252.871</f>
        <v>10579</v>
      </c>
      <c r="D34" s="15">
        <f>9431.212+1307.136</f>
        <v>10738</v>
      </c>
      <c r="E34" s="15">
        <v>10842</v>
      </c>
      <c r="F34" s="15">
        <v>10097</v>
      </c>
      <c r="G34" s="1">
        <v>10366</v>
      </c>
      <c r="H34" s="1">
        <v>11237</v>
      </c>
      <c r="I34" s="1">
        <v>11980</v>
      </c>
      <c r="J34" s="1">
        <v>12437</v>
      </c>
      <c r="K34" s="1">
        <v>12808</v>
      </c>
      <c r="L34" s="102">
        <f>(K34-J34)*100/J34</f>
        <v>2.98</v>
      </c>
      <c r="M34" s="17">
        <f>(K34-V34)*100/V34</f>
        <v>39.2</v>
      </c>
      <c r="N34" s="15">
        <v>4871</v>
      </c>
      <c r="O34" s="15">
        <v>5279</v>
      </c>
      <c r="P34" s="28">
        <v>6036</v>
      </c>
      <c r="Q34" s="28">
        <v>6424</v>
      </c>
      <c r="R34" s="28">
        <v>7107</v>
      </c>
      <c r="S34" s="28">
        <v>7881</v>
      </c>
      <c r="T34" s="28">
        <v>8715</v>
      </c>
      <c r="U34" s="28">
        <v>8623</v>
      </c>
      <c r="V34" s="28">
        <v>9201</v>
      </c>
      <c r="X34" s="3">
        <v>10983337</v>
      </c>
      <c r="Y34" s="3">
        <v>135873.75</v>
      </c>
      <c r="Z34" s="3">
        <v>1960499.18</v>
      </c>
      <c r="AA34" s="3">
        <f>X34-Y34+Z34</f>
        <v>12807962</v>
      </c>
      <c r="AB34" s="3">
        <f>AA34/1000</f>
        <v>12808</v>
      </c>
    </row>
    <row r="35" spans="2:22" ht="12.75">
      <c r="B35" s="29"/>
      <c r="C35" s="38"/>
      <c r="D35" s="15"/>
      <c r="E35" s="15"/>
      <c r="F35" s="15"/>
      <c r="L35" s="16"/>
      <c r="M35" s="17"/>
      <c r="O35" s="15"/>
      <c r="P35" s="28"/>
      <c r="Q35" s="28"/>
      <c r="R35" s="28"/>
      <c r="S35" s="28"/>
      <c r="T35" s="28"/>
      <c r="U35" s="28"/>
      <c r="V35" s="28"/>
    </row>
    <row r="36" spans="1:28" ht="12.75">
      <c r="A36" s="1" t="s">
        <v>26</v>
      </c>
      <c r="B36" s="29">
        <f>11352.991+1548.907</f>
        <v>12902</v>
      </c>
      <c r="C36" s="38">
        <f>11858.172+1490.217</f>
        <v>13348</v>
      </c>
      <c r="D36" s="15">
        <f>12197.58+1607.957</f>
        <v>13806</v>
      </c>
      <c r="E36" s="15">
        <v>14765</v>
      </c>
      <c r="F36" s="15">
        <v>13698</v>
      </c>
      <c r="G36" s="1">
        <v>14376</v>
      </c>
      <c r="H36" s="1">
        <v>15163</v>
      </c>
      <c r="I36" s="1">
        <v>16438</v>
      </c>
      <c r="J36" s="1">
        <v>18115</v>
      </c>
      <c r="K36" s="1">
        <v>18744</v>
      </c>
      <c r="L36" s="102">
        <f>(K36-J36)*100/J36</f>
        <v>3.47</v>
      </c>
      <c r="M36" s="17">
        <f>(K36-V36)*100/V36</f>
        <v>53</v>
      </c>
      <c r="N36" s="15">
        <v>6545</v>
      </c>
      <c r="O36" s="15">
        <v>7114</v>
      </c>
      <c r="P36" s="28">
        <v>7695</v>
      </c>
      <c r="Q36" s="28">
        <v>8886</v>
      </c>
      <c r="R36" s="28">
        <v>10038</v>
      </c>
      <c r="S36" s="28">
        <v>11614</v>
      </c>
      <c r="T36" s="28">
        <v>12131</v>
      </c>
      <c r="U36" s="28">
        <v>12072</v>
      </c>
      <c r="V36" s="28">
        <v>12248</v>
      </c>
      <c r="X36" s="3">
        <v>16272181</v>
      </c>
      <c r="Y36" s="3">
        <v>0</v>
      </c>
      <c r="Z36" s="3">
        <v>2472054.66</v>
      </c>
      <c r="AA36" s="3">
        <f>X36-Y36+Z36</f>
        <v>18744236</v>
      </c>
      <c r="AB36" s="3">
        <f>AA36/1000</f>
        <v>18744</v>
      </c>
    </row>
    <row r="37" spans="1:28" ht="12.75">
      <c r="A37" s="1" t="s">
        <v>27</v>
      </c>
      <c r="B37" s="29">
        <f>48911.459+6917.28</f>
        <v>55829</v>
      </c>
      <c r="C37" s="38">
        <f>52668.1+7653.217</f>
        <v>60321</v>
      </c>
      <c r="D37" s="15">
        <f>53624.262+7786.114</f>
        <v>61410</v>
      </c>
      <c r="E37" s="15">
        <v>62469</v>
      </c>
      <c r="F37" s="15">
        <v>58978</v>
      </c>
      <c r="G37" s="1">
        <v>63803</v>
      </c>
      <c r="H37" s="1">
        <v>67566</v>
      </c>
      <c r="I37" s="1">
        <v>70270</v>
      </c>
      <c r="J37" s="1">
        <v>74966</v>
      </c>
      <c r="K37" s="1">
        <v>77546</v>
      </c>
      <c r="L37" s="102">
        <f>(K37-J37)*100/J37</f>
        <v>3.44</v>
      </c>
      <c r="M37" s="17">
        <f>(K37-V37)*100/V37</f>
        <v>46.2</v>
      </c>
      <c r="N37" s="15">
        <v>30549</v>
      </c>
      <c r="O37" s="15">
        <v>33280</v>
      </c>
      <c r="P37" s="28">
        <v>36367</v>
      </c>
      <c r="Q37" s="28">
        <v>39203</v>
      </c>
      <c r="R37" s="28">
        <v>42168</v>
      </c>
      <c r="S37" s="28">
        <v>45748</v>
      </c>
      <c r="T37" s="28">
        <v>50020</v>
      </c>
      <c r="U37" s="28">
        <v>51549</v>
      </c>
      <c r="V37" s="28">
        <v>53042</v>
      </c>
      <c r="X37" s="3">
        <v>65577237</v>
      </c>
      <c r="Y37" s="3">
        <v>204346.88</v>
      </c>
      <c r="Z37" s="3">
        <v>12172892</v>
      </c>
      <c r="AA37" s="3">
        <f>X37-Y37+Z37</f>
        <v>77545782</v>
      </c>
      <c r="AB37" s="3">
        <f>AA37/1000</f>
        <v>77546</v>
      </c>
    </row>
    <row r="38" spans="1:28" ht="12.75">
      <c r="A38" s="1" t="s">
        <v>28</v>
      </c>
      <c r="B38" s="29">
        <f>33634.569+4821.776</f>
        <v>38456</v>
      </c>
      <c r="C38" s="38">
        <f>36060.569+5115.419</f>
        <v>41176</v>
      </c>
      <c r="D38" s="15">
        <f>36174.63+5298.006</f>
        <v>41473</v>
      </c>
      <c r="E38" s="15">
        <v>44100</v>
      </c>
      <c r="F38" s="15">
        <v>42830</v>
      </c>
      <c r="G38" s="1">
        <v>46597</v>
      </c>
      <c r="H38" s="1">
        <v>49291.05</v>
      </c>
      <c r="I38" s="1">
        <v>53435</v>
      </c>
      <c r="J38" s="1">
        <v>56262</v>
      </c>
      <c r="K38" s="1">
        <v>58601</v>
      </c>
      <c r="L38" s="102">
        <f>(K38-J38)*100/J38</f>
        <v>4.16</v>
      </c>
      <c r="M38" s="17">
        <f>(K38-V38)*100/V38</f>
        <v>59.3</v>
      </c>
      <c r="N38" s="15">
        <v>18393</v>
      </c>
      <c r="O38" s="15">
        <v>20164</v>
      </c>
      <c r="P38" s="28">
        <v>22062</v>
      </c>
      <c r="Q38" s="28">
        <v>24693</v>
      </c>
      <c r="R38" s="28">
        <v>27631</v>
      </c>
      <c r="S38" s="28">
        <v>30530</v>
      </c>
      <c r="T38" s="28">
        <v>34404</v>
      </c>
      <c r="U38" s="28">
        <v>34980</v>
      </c>
      <c r="V38" s="28">
        <v>36781</v>
      </c>
      <c r="X38" s="3">
        <v>49052634</v>
      </c>
      <c r="Y38" s="3">
        <v>279273.12</v>
      </c>
      <c r="Z38" s="3">
        <v>9828058</v>
      </c>
      <c r="AA38" s="3">
        <f>X38-Y38+Z38</f>
        <v>58601419</v>
      </c>
      <c r="AB38" s="3">
        <f>AA38/1000</f>
        <v>58601</v>
      </c>
    </row>
    <row r="39" spans="1:28" ht="12.75">
      <c r="A39" s="18" t="s">
        <v>29</v>
      </c>
      <c r="B39" s="29">
        <f>18189.896+2156.269</f>
        <v>20346</v>
      </c>
      <c r="C39" s="38">
        <f>19273.581+2416.267</f>
        <v>21690</v>
      </c>
      <c r="D39" s="15">
        <f>19586.712+2528.625</f>
        <v>22115</v>
      </c>
      <c r="E39" s="15">
        <v>23537</v>
      </c>
      <c r="F39" s="15">
        <v>22792</v>
      </c>
      <c r="G39" s="1">
        <v>24801</v>
      </c>
      <c r="H39" s="1">
        <v>26074</v>
      </c>
      <c r="I39" s="1">
        <v>28571</v>
      </c>
      <c r="J39" s="1">
        <v>31161</v>
      </c>
      <c r="K39" s="1">
        <v>33311</v>
      </c>
      <c r="L39" s="102">
        <f>(K39-J39)*100/J39</f>
        <v>6.9</v>
      </c>
      <c r="M39" s="17">
        <f>(K39-V39)*100/V39</f>
        <v>70.3</v>
      </c>
      <c r="N39" s="15">
        <v>10062</v>
      </c>
      <c r="O39" s="15">
        <v>10947</v>
      </c>
      <c r="P39" s="28">
        <v>12947</v>
      </c>
      <c r="Q39" s="28">
        <v>13674</v>
      </c>
      <c r="R39" s="28">
        <v>14827</v>
      </c>
      <c r="S39" s="28">
        <v>16411</v>
      </c>
      <c r="T39" s="28">
        <v>17986</v>
      </c>
      <c r="U39" s="28">
        <v>18649</v>
      </c>
      <c r="V39" s="28">
        <v>19563</v>
      </c>
      <c r="X39" s="3">
        <v>28599298</v>
      </c>
      <c r="Y39" s="3">
        <v>219109.03</v>
      </c>
      <c r="Z39" s="3">
        <v>4930848.61</v>
      </c>
      <c r="AA39" s="3">
        <f>X39-Y39+Z39</f>
        <v>33311038</v>
      </c>
      <c r="AB39" s="3">
        <f>AA39/1000</f>
        <v>33311</v>
      </c>
    </row>
    <row r="40" spans="1:22" ht="12.75">
      <c r="A40" s="1" t="s">
        <v>110</v>
      </c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V40" s="19"/>
    </row>
    <row r="41" spans="1:22" ht="12.75">
      <c r="A41" s="1" t="s">
        <v>109</v>
      </c>
      <c r="B41" s="15"/>
      <c r="N41" s="15"/>
      <c r="O41" s="15"/>
      <c r="P41" s="15"/>
      <c r="Q41" s="15"/>
      <c r="V41" s="15"/>
    </row>
    <row r="42" spans="1:22" ht="12.75">
      <c r="A42" s="3"/>
      <c r="B42" s="15"/>
      <c r="N42" s="15"/>
      <c r="O42" s="15"/>
      <c r="P42" s="15"/>
      <c r="V42" s="15"/>
    </row>
    <row r="43" spans="2:22" ht="12.75">
      <c r="B43" s="15"/>
      <c r="N43" s="15"/>
      <c r="O43" s="15"/>
      <c r="P43" s="15"/>
      <c r="V43" s="15"/>
    </row>
    <row r="44" spans="2:22" ht="12.75">
      <c r="B44" s="15"/>
      <c r="N44" s="15"/>
      <c r="O44" s="15"/>
      <c r="P44" s="15"/>
      <c r="V44" s="15"/>
    </row>
    <row r="45" spans="2:22" ht="12.75">
      <c r="B45" s="15"/>
      <c r="N45" s="15"/>
      <c r="O45" s="15"/>
      <c r="P45" s="15"/>
      <c r="V45" s="15"/>
    </row>
    <row r="46" spans="2:22" ht="12.75">
      <c r="B46" s="15"/>
      <c r="N46" s="15"/>
      <c r="O46" s="15"/>
      <c r="P46" s="15"/>
      <c r="V46" s="15"/>
    </row>
    <row r="47" spans="2:22" ht="12.75">
      <c r="B47" s="15"/>
      <c r="V47" s="15"/>
    </row>
    <row r="48" spans="2:22" ht="12.75">
      <c r="B48" s="15"/>
      <c r="V48" s="15"/>
    </row>
    <row r="49" spans="2:22" ht="12.75">
      <c r="B49" s="15"/>
      <c r="V49" s="15"/>
    </row>
    <row r="50" spans="2:22" ht="12.75">
      <c r="B50" s="15"/>
      <c r="V50" s="15"/>
    </row>
    <row r="51" spans="2:22" ht="12.75">
      <c r="B51" s="15"/>
      <c r="V51" s="15"/>
    </row>
    <row r="52" ht="12.75">
      <c r="B52" s="15"/>
    </row>
    <row r="53" ht="12.75">
      <c r="B53" s="15"/>
    </row>
  </sheetData>
  <mergeCells count="7">
    <mergeCell ref="X7:Y7"/>
    <mergeCell ref="Z7:Z9"/>
    <mergeCell ref="W5:Z5"/>
    <mergeCell ref="A1:M1"/>
    <mergeCell ref="A3:M3"/>
    <mergeCell ref="A4:M4"/>
    <mergeCell ref="X6:Z6"/>
  </mergeCells>
  <printOptions horizontalCentered="1"/>
  <pageMargins left="0.48" right="0.45" top="1" bottom="1" header="0.5" footer="0.5"/>
  <pageSetup fitToHeight="1" fitToWidth="1" orientation="landscape" scale="80" r:id="rId1"/>
  <headerFooter alignWithMargins="0">
    <oddFooter>&amp;L&amp;"Lucida Sans,Italic"&amp;10MSDE-DBS  11 / 2004&amp;C- 11 -
&amp;R&amp;"Lucida Sans,Italic"&amp;10Selected Financial Data - Part 4</oddFooter>
  </headerFooter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workbookViewId="0" topLeftCell="D1">
      <selection activeCell="J2" sqref="J2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3" width="6.625" style="1" customWidth="1"/>
    <col min="14" max="14" width="9.375" style="1" customWidth="1"/>
    <col min="15" max="22" width="10.125" style="1" customWidth="1"/>
    <col min="23" max="23" width="11.125" style="1" bestFit="1" customWidth="1"/>
    <col min="24" max="24" width="11.125" style="3" bestFit="1" customWidth="1"/>
    <col min="25" max="25" width="10.875" style="3" customWidth="1"/>
    <col min="26" max="26" width="12.375" style="3" customWidth="1"/>
    <col min="27" max="27" width="11.875" style="3" customWidth="1"/>
    <col min="28" max="29" width="10.125" style="3" customWidth="1"/>
    <col min="30" max="16384" width="10.00390625" style="3" customWidth="1"/>
  </cols>
  <sheetData>
    <row r="1" spans="1:17" ht="15.75" customHeight="1">
      <c r="A1" s="205" t="s">
        <v>111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0"/>
      <c r="O1" s="2"/>
      <c r="P1" s="2"/>
      <c r="Q1" s="2"/>
    </row>
    <row r="2" spans="1:22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2"/>
      <c r="P2" s="2"/>
      <c r="Q2" s="2"/>
      <c r="V2" s="73"/>
    </row>
    <row r="3" spans="1:22" ht="12.75">
      <c r="A3" s="128" t="s">
        <v>64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73"/>
      <c r="O3" s="10"/>
      <c r="P3" s="10"/>
      <c r="Q3" s="10"/>
      <c r="V3" s="128"/>
    </row>
    <row r="4" spans="1:22" ht="12.75">
      <c r="A4" s="128" t="s">
        <v>196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73"/>
      <c r="O4" s="10"/>
      <c r="P4" s="10"/>
      <c r="Q4" s="10"/>
      <c r="V4" s="128"/>
    </row>
    <row r="5" ht="13.5" thickBot="1"/>
    <row r="6" spans="1:27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X6" s="115" t="s">
        <v>166</v>
      </c>
      <c r="Y6" s="122" t="s">
        <v>173</v>
      </c>
      <c r="Z6" s="122" t="s">
        <v>175</v>
      </c>
      <c r="AA6" s="123" t="s">
        <v>137</v>
      </c>
    </row>
    <row r="7" spans="1:27" ht="12.75">
      <c r="A7" s="7"/>
      <c r="B7" s="7"/>
      <c r="C7" s="7"/>
      <c r="D7" s="7"/>
      <c r="E7" s="7"/>
      <c r="F7" s="7"/>
      <c r="L7" s="6" t="s">
        <v>34</v>
      </c>
      <c r="M7" s="6"/>
      <c r="O7" s="7"/>
      <c r="P7" s="7"/>
      <c r="Q7" s="7"/>
      <c r="T7" s="7"/>
      <c r="U7" s="7"/>
      <c r="V7" s="7"/>
      <c r="X7" s="41" t="s">
        <v>137</v>
      </c>
      <c r="Z7" s="31" t="s">
        <v>137</v>
      </c>
      <c r="AA7" s="115" t="s">
        <v>166</v>
      </c>
    </row>
    <row r="8" spans="1:27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106</v>
      </c>
      <c r="M8" s="10" t="s">
        <v>107</v>
      </c>
      <c r="O8" s="7"/>
      <c r="P8" s="7"/>
      <c r="Q8" s="7"/>
      <c r="T8" s="7"/>
      <c r="U8" s="7"/>
      <c r="V8" s="7"/>
      <c r="X8" s="41" t="s">
        <v>169</v>
      </c>
      <c r="Y8" s="114" t="s">
        <v>171</v>
      </c>
      <c r="Z8" s="41" t="s">
        <v>171</v>
      </c>
      <c r="AA8" s="122" t="s">
        <v>176</v>
      </c>
    </row>
    <row r="9" spans="1:27" ht="13.5" thickBot="1">
      <c r="A9" s="8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9" t="s">
        <v>105</v>
      </c>
      <c r="M9" s="9" t="s">
        <v>105</v>
      </c>
      <c r="N9" s="9" t="s">
        <v>67</v>
      </c>
      <c r="O9" s="9" t="s">
        <v>65</v>
      </c>
      <c r="P9" s="9" t="s">
        <v>91</v>
      </c>
      <c r="Q9" s="9" t="s">
        <v>92</v>
      </c>
      <c r="R9" s="9" t="s">
        <v>93</v>
      </c>
      <c r="S9" s="9" t="s">
        <v>94</v>
      </c>
      <c r="T9" s="9" t="s">
        <v>95</v>
      </c>
      <c r="U9" s="9" t="s">
        <v>61</v>
      </c>
      <c r="V9" s="9" t="s">
        <v>84</v>
      </c>
      <c r="X9" s="42" t="s">
        <v>170</v>
      </c>
      <c r="Y9" s="42" t="s">
        <v>172</v>
      </c>
      <c r="Z9" s="42" t="s">
        <v>174</v>
      </c>
      <c r="AA9" s="122" t="s">
        <v>177</v>
      </c>
    </row>
    <row r="10" spans="1:28" ht="12.75">
      <c r="A10" s="7" t="s">
        <v>5</v>
      </c>
      <c r="B10" s="11">
        <f aca="true" t="shared" si="0" ref="B10:I10">SUM(B12:B43)</f>
        <v>92661</v>
      </c>
      <c r="C10" s="11">
        <f t="shared" si="0"/>
        <v>102245</v>
      </c>
      <c r="D10" s="11">
        <f t="shared" si="0"/>
        <v>106366</v>
      </c>
      <c r="E10" s="11">
        <f t="shared" si="0"/>
        <v>118365</v>
      </c>
      <c r="F10" s="11">
        <f t="shared" si="0"/>
        <v>128153</v>
      </c>
      <c r="G10" s="11">
        <f t="shared" si="0"/>
        <v>148298</v>
      </c>
      <c r="H10" s="11">
        <f t="shared" si="0"/>
        <v>157072</v>
      </c>
      <c r="I10" s="11">
        <f t="shared" si="0"/>
        <v>165196</v>
      </c>
      <c r="J10" s="11">
        <f>SUM(J12:J43)</f>
        <v>168490</v>
      </c>
      <c r="K10" s="11">
        <f>SUM(K12:K43)</f>
        <v>169444</v>
      </c>
      <c r="L10" s="12">
        <f>(K10-J10)/J10</f>
        <v>0.006</v>
      </c>
      <c r="M10" s="12">
        <f>(K10-V10)/V10</f>
        <v>0.949</v>
      </c>
      <c r="N10" s="11">
        <f aca="true" t="shared" si="1" ref="N10:T10">SUM(N12:N43)</f>
        <v>51235</v>
      </c>
      <c r="O10" s="11">
        <f t="shared" si="1"/>
        <v>53826</v>
      </c>
      <c r="P10" s="11">
        <f t="shared" si="1"/>
        <v>58258</v>
      </c>
      <c r="Q10" s="11">
        <f t="shared" si="1"/>
        <v>66768</v>
      </c>
      <c r="R10" s="11">
        <f t="shared" si="1"/>
        <v>73781</v>
      </c>
      <c r="S10" s="11">
        <f t="shared" si="1"/>
        <v>74878</v>
      </c>
      <c r="T10" s="11">
        <f t="shared" si="1"/>
        <v>83017</v>
      </c>
      <c r="U10" s="11">
        <f>SUM(U12:U43)</f>
        <v>79703</v>
      </c>
      <c r="V10" s="11">
        <f>SUM(V12:V43)</f>
        <v>86937</v>
      </c>
      <c r="X10" s="11">
        <f>SUM(X12:X43)</f>
        <v>159388256</v>
      </c>
      <c r="Y10" s="11">
        <f>SUM(Y12:Y43)</f>
        <v>780655</v>
      </c>
      <c r="Z10" s="11">
        <f>SUM(Z12:Z43)</f>
        <v>10837392</v>
      </c>
      <c r="AA10" s="11">
        <f>SUM(AA12:AA43)</f>
        <v>169444994</v>
      </c>
      <c r="AB10" s="11">
        <f>SUM(AB12:AB43)</f>
        <v>169444</v>
      </c>
    </row>
    <row r="11" spans="3:24" ht="12.75">
      <c r="C11" s="22"/>
      <c r="D11" s="15"/>
      <c r="E11" s="15"/>
      <c r="F11" s="32"/>
      <c r="M11" s="15"/>
      <c r="O11" s="15"/>
      <c r="R11" s="15"/>
      <c r="S11" s="15"/>
      <c r="X11" s="1"/>
    </row>
    <row r="12" spans="1:28" ht="12.75">
      <c r="A12" s="1" t="s">
        <v>6</v>
      </c>
      <c r="B12" s="29">
        <f>1145.467+44.58</f>
        <v>1190</v>
      </c>
      <c r="C12" s="38">
        <f>1173.419+43.288</f>
        <v>1217</v>
      </c>
      <c r="D12" s="15">
        <f>1371.021+56.466</f>
        <v>1427</v>
      </c>
      <c r="E12" s="15">
        <v>1510</v>
      </c>
      <c r="F12" s="85">
        <v>1591</v>
      </c>
      <c r="G12" s="1">
        <v>1212</v>
      </c>
      <c r="H12" s="1">
        <v>1387</v>
      </c>
      <c r="I12" s="1">
        <v>1743</v>
      </c>
      <c r="J12" s="1">
        <v>2200</v>
      </c>
      <c r="K12" s="1">
        <v>1850</v>
      </c>
      <c r="L12" s="16">
        <f>(K12-J12)*100/J12</f>
        <v>-15.9</v>
      </c>
      <c r="M12" s="17">
        <f>(K12-V12)*100/V12</f>
        <v>39</v>
      </c>
      <c r="N12" s="15">
        <v>944</v>
      </c>
      <c r="O12" s="15">
        <v>973</v>
      </c>
      <c r="P12" s="15">
        <v>937</v>
      </c>
      <c r="Q12" s="28">
        <v>1132</v>
      </c>
      <c r="R12" s="28">
        <v>1082</v>
      </c>
      <c r="S12" s="28">
        <v>988</v>
      </c>
      <c r="T12" s="28">
        <v>1358</v>
      </c>
      <c r="U12" s="28">
        <v>1281</v>
      </c>
      <c r="V12" s="28">
        <f>1289.705+41.488</f>
        <v>1331</v>
      </c>
      <c r="X12" s="1">
        <v>1751693.9</v>
      </c>
      <c r="Y12" s="3">
        <v>27003.68</v>
      </c>
      <c r="Z12" s="103">
        <v>125497.85</v>
      </c>
      <c r="AA12" s="3">
        <f>X12-Y12+Z12</f>
        <v>1850188</v>
      </c>
      <c r="AB12" s="3">
        <f>AA12/1000</f>
        <v>1850</v>
      </c>
    </row>
    <row r="13" spans="1:28" ht="12.75">
      <c r="A13" s="1" t="s">
        <v>7</v>
      </c>
      <c r="B13" s="29">
        <f>7046.705+247.969</f>
        <v>7295</v>
      </c>
      <c r="C13" s="38">
        <f>6976.744+241.606</f>
        <v>7218</v>
      </c>
      <c r="D13" s="15">
        <f>8457.689+205.559</f>
        <v>8663</v>
      </c>
      <c r="E13" s="15">
        <v>8912</v>
      </c>
      <c r="F13" s="85">
        <v>8435</v>
      </c>
      <c r="G13" s="1">
        <v>7928</v>
      </c>
      <c r="H13" s="1">
        <v>10301.81</v>
      </c>
      <c r="I13" s="1">
        <v>12755</v>
      </c>
      <c r="J13" s="1">
        <v>13182</v>
      </c>
      <c r="K13" s="1">
        <v>14885</v>
      </c>
      <c r="L13" s="16">
        <f>(K13-J13)*100/J13</f>
        <v>12.9</v>
      </c>
      <c r="M13" s="17">
        <f>(K13-V13)*100/V13</f>
        <v>98.4</v>
      </c>
      <c r="N13" s="15">
        <v>5395</v>
      </c>
      <c r="O13" s="15">
        <v>6289</v>
      </c>
      <c r="P13" s="15">
        <v>6767</v>
      </c>
      <c r="Q13" s="28">
        <v>7175</v>
      </c>
      <c r="R13" s="28">
        <v>7630</v>
      </c>
      <c r="S13" s="28">
        <v>7504</v>
      </c>
      <c r="T13" s="28">
        <v>6932</v>
      </c>
      <c r="U13" s="28">
        <v>7161</v>
      </c>
      <c r="V13" s="28">
        <f>7309.27+192.166</f>
        <v>7501</v>
      </c>
      <c r="X13" s="1">
        <v>13402013</v>
      </c>
      <c r="Y13" s="3">
        <v>0</v>
      </c>
      <c r="Z13" s="103">
        <v>1483092.26</v>
      </c>
      <c r="AA13" s="3">
        <f>X13-Y13+Z13</f>
        <v>14885105</v>
      </c>
      <c r="AB13" s="3">
        <f>AA13/1000</f>
        <v>14885</v>
      </c>
    </row>
    <row r="14" spans="1:28" ht="12.75">
      <c r="A14" s="1" t="s">
        <v>8</v>
      </c>
      <c r="B14" s="29">
        <f>10298.384+618.024</f>
        <v>10916</v>
      </c>
      <c r="C14" s="38">
        <f>10338.604+737.458</f>
        <v>11076</v>
      </c>
      <c r="D14" s="15">
        <f>9312.388+776.952</f>
        <v>10089</v>
      </c>
      <c r="E14" s="15">
        <v>13038</v>
      </c>
      <c r="F14" s="85">
        <v>20520</v>
      </c>
      <c r="G14" s="1">
        <v>24200</v>
      </c>
      <c r="H14" s="1">
        <v>23185</v>
      </c>
      <c r="I14" s="1">
        <v>11949</v>
      </c>
      <c r="J14" s="1">
        <v>14471</v>
      </c>
      <c r="K14" s="1">
        <v>6320</v>
      </c>
      <c r="L14" s="16">
        <f>(K14-J14)*100/J14</f>
        <v>-56.3</v>
      </c>
      <c r="M14" s="17">
        <f>(K14-V14)*100/V14</f>
        <v>-40.8</v>
      </c>
      <c r="N14" s="15">
        <v>6059</v>
      </c>
      <c r="O14" s="15">
        <v>6628</v>
      </c>
      <c r="P14" s="15">
        <v>5979</v>
      </c>
      <c r="Q14" s="28">
        <v>9487</v>
      </c>
      <c r="R14" s="28">
        <v>11057</v>
      </c>
      <c r="S14" s="28">
        <v>7688</v>
      </c>
      <c r="T14" s="28">
        <v>9749</v>
      </c>
      <c r="U14" s="28">
        <v>11196</v>
      </c>
      <c r="V14" s="28">
        <f>10121.235+556.359</f>
        <v>10678</v>
      </c>
      <c r="X14" s="1">
        <v>5599140</v>
      </c>
      <c r="Y14" s="3">
        <v>2108</v>
      </c>
      <c r="Z14" s="103">
        <v>722524.97</v>
      </c>
      <c r="AA14" s="3">
        <f>X14-Y14+Z14</f>
        <v>6319557</v>
      </c>
      <c r="AB14" s="3">
        <f>AA14/1000</f>
        <v>6320</v>
      </c>
    </row>
    <row r="15" spans="1:28" ht="12.75">
      <c r="A15" s="1" t="s">
        <v>9</v>
      </c>
      <c r="B15" s="29">
        <f>11845.479+237.188</f>
        <v>12083</v>
      </c>
      <c r="C15" s="38">
        <f>14503.129+281.919</f>
        <v>14785</v>
      </c>
      <c r="D15" s="15">
        <f>13940.889+266.459</f>
        <v>14207</v>
      </c>
      <c r="E15" s="15">
        <v>17138</v>
      </c>
      <c r="F15" s="85">
        <v>13771</v>
      </c>
      <c r="G15" s="1">
        <v>17796</v>
      </c>
      <c r="H15" s="1">
        <v>19895</v>
      </c>
      <c r="I15" s="1">
        <v>30914</v>
      </c>
      <c r="J15" s="1">
        <v>25049</v>
      </c>
      <c r="K15" s="1">
        <v>21485</v>
      </c>
      <c r="L15" s="16">
        <f>(K15-J15)*100/J15</f>
        <v>-14.2</v>
      </c>
      <c r="M15" s="17">
        <f>(K15-V15)*100/V15</f>
        <v>132.4</v>
      </c>
      <c r="N15" s="15">
        <v>6120</v>
      </c>
      <c r="O15" s="15">
        <v>6280</v>
      </c>
      <c r="P15" s="15">
        <v>7435</v>
      </c>
      <c r="Q15" s="28">
        <v>7899</v>
      </c>
      <c r="R15" s="28">
        <v>6779</v>
      </c>
      <c r="S15" s="28">
        <v>6661</v>
      </c>
      <c r="T15" s="28">
        <v>8505</v>
      </c>
      <c r="U15" s="28">
        <v>8729</v>
      </c>
      <c r="V15" s="28">
        <f>8990.268+256.153</f>
        <v>9246</v>
      </c>
      <c r="X15" s="1">
        <v>20066123</v>
      </c>
      <c r="Y15" s="3">
        <v>25453.25</v>
      </c>
      <c r="Z15" s="103">
        <v>1444016.86</v>
      </c>
      <c r="AA15" s="3">
        <f>X15-Y15+Z15</f>
        <v>21484687</v>
      </c>
      <c r="AB15" s="3">
        <f>AA15/1000</f>
        <v>21485</v>
      </c>
    </row>
    <row r="16" spans="1:28" ht="12.75">
      <c r="A16" s="1" t="s">
        <v>10</v>
      </c>
      <c r="B16" s="29">
        <f>2167.412+100.095</f>
        <v>2268</v>
      </c>
      <c r="C16" s="38">
        <f>2101.896+96.839</f>
        <v>2199</v>
      </c>
      <c r="D16" s="15">
        <f>2364.224+162.213</f>
        <v>2526</v>
      </c>
      <c r="E16" s="15">
        <v>2415</v>
      </c>
      <c r="F16" s="85">
        <v>2451</v>
      </c>
      <c r="G16" s="1">
        <v>2503</v>
      </c>
      <c r="H16" s="1">
        <v>2934</v>
      </c>
      <c r="I16" s="1">
        <v>3371</v>
      </c>
      <c r="J16" s="1">
        <v>2935</v>
      </c>
      <c r="K16" s="1">
        <v>3307</v>
      </c>
      <c r="L16" s="16">
        <f>(K16-J16)*100/J16</f>
        <v>12.7</v>
      </c>
      <c r="M16" s="17">
        <f>(K16-V16)*100/V16</f>
        <v>50</v>
      </c>
      <c r="N16" s="15">
        <v>889</v>
      </c>
      <c r="O16" s="15">
        <v>970</v>
      </c>
      <c r="P16" s="15">
        <v>925</v>
      </c>
      <c r="Q16" s="28">
        <v>1102</v>
      </c>
      <c r="R16" s="28">
        <v>1292</v>
      </c>
      <c r="S16" s="28">
        <v>1344</v>
      </c>
      <c r="T16" s="28">
        <v>1594</v>
      </c>
      <c r="U16" s="28">
        <v>1776</v>
      </c>
      <c r="V16" s="28">
        <f>2147.481+56.866</f>
        <v>2204</v>
      </c>
      <c r="X16" s="1">
        <v>2997907.34</v>
      </c>
      <c r="Y16" s="3">
        <v>22956.38</v>
      </c>
      <c r="Z16" s="103">
        <v>332447.1</v>
      </c>
      <c r="AA16" s="3">
        <f>X16-Y16+Z16</f>
        <v>3307398</v>
      </c>
      <c r="AB16" s="3">
        <f>AA16/1000</f>
        <v>3307</v>
      </c>
    </row>
    <row r="17" spans="2:26" ht="12.75">
      <c r="B17" s="29"/>
      <c r="C17" s="38"/>
      <c r="D17" s="15"/>
      <c r="E17" s="15"/>
      <c r="F17" s="85"/>
      <c r="L17" s="16"/>
      <c r="M17" s="17"/>
      <c r="N17" s="15"/>
      <c r="P17" s="15"/>
      <c r="Q17" s="28"/>
      <c r="R17" s="28"/>
      <c r="S17" s="28"/>
      <c r="T17" s="28"/>
      <c r="U17" s="28"/>
      <c r="V17" s="28"/>
      <c r="X17" s="1"/>
      <c r="Z17" s="103"/>
    </row>
    <row r="18" spans="1:28" ht="12.75">
      <c r="A18" s="1" t="s">
        <v>11</v>
      </c>
      <c r="B18" s="29">
        <f>640.399+29.637</f>
        <v>670</v>
      </c>
      <c r="C18" s="38">
        <f>768.326+31.511</f>
        <v>800</v>
      </c>
      <c r="D18" s="15">
        <f>602.432+35.31</f>
        <v>638</v>
      </c>
      <c r="E18" s="15">
        <v>867</v>
      </c>
      <c r="F18" s="85">
        <v>817</v>
      </c>
      <c r="G18" s="1">
        <v>808</v>
      </c>
      <c r="H18" s="1">
        <v>1016</v>
      </c>
      <c r="I18" s="1">
        <v>1266</v>
      </c>
      <c r="J18" s="1">
        <v>1190</v>
      </c>
      <c r="K18" s="1">
        <v>1142</v>
      </c>
      <c r="L18" s="16">
        <f>(K18-J18)*100/J18</f>
        <v>-4</v>
      </c>
      <c r="M18" s="17">
        <f>(K18-V18)*100/V18</f>
        <v>103.9</v>
      </c>
      <c r="N18" s="15">
        <v>268</v>
      </c>
      <c r="O18" s="15">
        <v>336</v>
      </c>
      <c r="P18" s="15">
        <v>344</v>
      </c>
      <c r="Q18" s="28">
        <v>339</v>
      </c>
      <c r="R18" s="28">
        <v>420</v>
      </c>
      <c r="S18" s="28">
        <v>409</v>
      </c>
      <c r="T18" s="28">
        <v>467</v>
      </c>
      <c r="U18" s="28">
        <v>429</v>
      </c>
      <c r="V18" s="28">
        <f>531.577+27.956</f>
        <v>560</v>
      </c>
      <c r="X18" s="1">
        <v>1060268.89</v>
      </c>
      <c r="Y18" s="3">
        <v>0</v>
      </c>
      <c r="Z18" s="103">
        <v>82004.19</v>
      </c>
      <c r="AA18" s="3">
        <f>X18-Y18+Z18</f>
        <v>1142273</v>
      </c>
      <c r="AB18" s="3">
        <f>AA18/1000</f>
        <v>1142</v>
      </c>
    </row>
    <row r="19" spans="1:28" ht="12.75">
      <c r="A19" s="1" t="s">
        <v>12</v>
      </c>
      <c r="B19" s="29">
        <f>3069.181+212.298</f>
        <v>3281</v>
      </c>
      <c r="C19" s="38">
        <f>4576.299+291.499</f>
        <v>4868</v>
      </c>
      <c r="D19" s="15">
        <f>2766.735+273.994</f>
        <v>3041</v>
      </c>
      <c r="E19" s="15">
        <v>4443</v>
      </c>
      <c r="F19" s="85">
        <v>3403</v>
      </c>
      <c r="G19" s="1">
        <v>4324</v>
      </c>
      <c r="H19" s="1">
        <v>4323</v>
      </c>
      <c r="I19" s="1">
        <v>4975</v>
      </c>
      <c r="J19" s="1">
        <v>5733</v>
      </c>
      <c r="K19" s="1">
        <v>8311</v>
      </c>
      <c r="L19" s="16">
        <f>(K19-J19)*100/J19</f>
        <v>45</v>
      </c>
      <c r="M19" s="17">
        <f>(K19-V19)*100/V19</f>
        <v>159.9</v>
      </c>
      <c r="N19" s="15">
        <v>1774</v>
      </c>
      <c r="O19" s="15">
        <v>1805</v>
      </c>
      <c r="P19" s="15">
        <v>1900</v>
      </c>
      <c r="Q19" s="28">
        <v>2094</v>
      </c>
      <c r="R19" s="28">
        <v>2317</v>
      </c>
      <c r="S19" s="28">
        <v>2648</v>
      </c>
      <c r="T19" s="28">
        <v>3095</v>
      </c>
      <c r="U19" s="28">
        <v>2858</v>
      </c>
      <c r="V19" s="28">
        <f>3000.603+197.829</f>
        <v>3198</v>
      </c>
      <c r="X19" s="1">
        <v>7875024</v>
      </c>
      <c r="Y19" s="3">
        <v>30992.19</v>
      </c>
      <c r="Z19" s="103">
        <v>467309.6</v>
      </c>
      <c r="AA19" s="3">
        <f>X19-Y19+Z19</f>
        <v>8311341</v>
      </c>
      <c r="AB19" s="3">
        <f>AA19/1000</f>
        <v>8311</v>
      </c>
    </row>
    <row r="20" spans="1:28" ht="12.75">
      <c r="A20" s="1" t="s">
        <v>13</v>
      </c>
      <c r="B20" s="29">
        <f>1401.841+89.234</f>
        <v>1491</v>
      </c>
      <c r="C20" s="38">
        <f>1415.867+106.176</f>
        <v>1522</v>
      </c>
      <c r="D20" s="15">
        <f>1485.162+103.747</f>
        <v>1589</v>
      </c>
      <c r="E20" s="15">
        <v>1652</v>
      </c>
      <c r="F20" s="85">
        <v>1969</v>
      </c>
      <c r="G20" s="1">
        <v>2592</v>
      </c>
      <c r="H20" s="1">
        <v>2298</v>
      </c>
      <c r="I20" s="1">
        <v>2331</v>
      </c>
      <c r="J20" s="1">
        <v>2847</v>
      </c>
      <c r="K20" s="1">
        <v>3202</v>
      </c>
      <c r="L20" s="16">
        <f>(K20-J20)*100/J20</f>
        <v>12.5</v>
      </c>
      <c r="M20" s="17">
        <f>(K20-V20)*100/V20</f>
        <v>156.6</v>
      </c>
      <c r="N20" s="15">
        <v>1010</v>
      </c>
      <c r="O20" s="15">
        <v>888</v>
      </c>
      <c r="P20" s="15">
        <v>799</v>
      </c>
      <c r="Q20" s="28">
        <v>1254</v>
      </c>
      <c r="R20" s="28">
        <v>1486</v>
      </c>
      <c r="S20" s="28">
        <v>1510</v>
      </c>
      <c r="T20" s="28">
        <v>1504</v>
      </c>
      <c r="U20" s="28">
        <v>1968</v>
      </c>
      <c r="V20" s="28">
        <f>1184.891+63.407</f>
        <v>1248</v>
      </c>
      <c r="X20" s="1">
        <v>2898365.17</v>
      </c>
      <c r="Y20" s="3">
        <v>0</v>
      </c>
      <c r="Z20" s="103">
        <v>303472.29</v>
      </c>
      <c r="AA20" s="3">
        <f>X20-Y20+Z20</f>
        <v>3201837</v>
      </c>
      <c r="AB20" s="3">
        <f>AA20/1000</f>
        <v>3202</v>
      </c>
    </row>
    <row r="21" spans="1:28" ht="12.75">
      <c r="A21" s="1" t="s">
        <v>14</v>
      </c>
      <c r="B21" s="29">
        <f>1867.932+126.749</f>
        <v>1995</v>
      </c>
      <c r="C21" s="38">
        <f>1920.384+61.494</f>
        <v>1982</v>
      </c>
      <c r="D21" s="15">
        <f>2046.87+56.289</f>
        <v>2103</v>
      </c>
      <c r="E21" s="15">
        <v>3349</v>
      </c>
      <c r="F21" s="85">
        <v>2812</v>
      </c>
      <c r="G21" s="1">
        <v>3241</v>
      </c>
      <c r="H21" s="1">
        <v>4473</v>
      </c>
      <c r="I21" s="1">
        <v>3844</v>
      </c>
      <c r="J21" s="1">
        <v>4872</v>
      </c>
      <c r="K21" s="1">
        <v>5452</v>
      </c>
      <c r="L21" s="16">
        <f>(K21-J21)*100/J21</f>
        <v>11.9</v>
      </c>
      <c r="M21" s="17">
        <f>(K21-V21)*100/V21</f>
        <v>152.4</v>
      </c>
      <c r="N21" s="15">
        <v>1018</v>
      </c>
      <c r="O21" s="15">
        <v>1280</v>
      </c>
      <c r="P21" s="15">
        <v>1817</v>
      </c>
      <c r="Q21" s="28">
        <v>1867</v>
      </c>
      <c r="R21" s="28">
        <v>1859</v>
      </c>
      <c r="S21" s="28">
        <v>2179</v>
      </c>
      <c r="T21" s="28">
        <v>2045</v>
      </c>
      <c r="U21" s="28">
        <v>1791</v>
      </c>
      <c r="V21" s="28">
        <f>2094.013+65.518</f>
        <v>2160</v>
      </c>
      <c r="X21" s="1">
        <v>5317197.87</v>
      </c>
      <c r="Y21" s="3">
        <v>84608.28</v>
      </c>
      <c r="Z21" s="103">
        <v>219748.14</v>
      </c>
      <c r="AA21" s="3">
        <f>X21-Y21+Z21</f>
        <v>5452338</v>
      </c>
      <c r="AB21" s="3">
        <f>AA21/1000</f>
        <v>5452</v>
      </c>
    </row>
    <row r="22" spans="1:28" ht="12.75">
      <c r="A22" s="1" t="s">
        <v>15</v>
      </c>
      <c r="B22" s="29">
        <f>620.312+44.517</f>
        <v>665</v>
      </c>
      <c r="C22" s="38">
        <f>674.24+45.444</f>
        <v>720</v>
      </c>
      <c r="D22" s="15">
        <f>652.659+39.758</f>
        <v>692</v>
      </c>
      <c r="E22" s="15">
        <v>754</v>
      </c>
      <c r="F22" s="85">
        <v>944</v>
      </c>
      <c r="G22" s="1">
        <v>779</v>
      </c>
      <c r="H22" s="1">
        <v>951</v>
      </c>
      <c r="I22" s="1">
        <v>869</v>
      </c>
      <c r="J22" s="1">
        <v>762</v>
      </c>
      <c r="K22" s="1">
        <v>1113</v>
      </c>
      <c r="L22" s="16">
        <f>(K22-J22)*100/J22</f>
        <v>46.1</v>
      </c>
      <c r="M22" s="17">
        <f>(K22-V22)*100/V22</f>
        <v>112.4</v>
      </c>
      <c r="N22" s="15">
        <v>384</v>
      </c>
      <c r="O22" s="15">
        <v>348</v>
      </c>
      <c r="P22" s="15">
        <v>364</v>
      </c>
      <c r="Q22" s="28">
        <v>382</v>
      </c>
      <c r="R22" s="28">
        <v>423</v>
      </c>
      <c r="S22" s="28">
        <v>449</v>
      </c>
      <c r="T22" s="28">
        <v>536</v>
      </c>
      <c r="U22" s="28">
        <v>456</v>
      </c>
      <c r="V22" s="28">
        <f>489.899+34.139</f>
        <v>524</v>
      </c>
      <c r="X22" s="1">
        <v>1070231.21</v>
      </c>
      <c r="Y22" s="3">
        <v>38599.76</v>
      </c>
      <c r="Z22" s="103">
        <v>80930.41</v>
      </c>
      <c r="AA22" s="3">
        <f>X22-Y22+Z22</f>
        <v>1112562</v>
      </c>
      <c r="AB22" s="3">
        <f>AA22/1000</f>
        <v>1113</v>
      </c>
    </row>
    <row r="23" spans="2:26" ht="12.75">
      <c r="B23" s="29"/>
      <c r="C23" s="38"/>
      <c r="D23" s="15"/>
      <c r="E23" s="15"/>
      <c r="F23" s="85"/>
      <c r="L23" s="16"/>
      <c r="M23" s="17"/>
      <c r="N23" s="15"/>
      <c r="P23" s="15"/>
      <c r="Q23" s="28"/>
      <c r="R23" s="28"/>
      <c r="S23" s="28"/>
      <c r="T23" s="28"/>
      <c r="U23" s="28"/>
      <c r="V23" s="28"/>
      <c r="X23" s="1"/>
      <c r="Z23" s="103"/>
    </row>
    <row r="24" spans="1:28" ht="12.75">
      <c r="A24" s="1" t="s">
        <v>16</v>
      </c>
      <c r="B24" s="29">
        <f>2936.017+186.746</f>
        <v>3123</v>
      </c>
      <c r="C24" s="38">
        <f>3291.797+193.647</f>
        <v>3485</v>
      </c>
      <c r="D24" s="15">
        <f>3780.892+203.581</f>
        <v>3984</v>
      </c>
      <c r="E24" s="15">
        <v>4153</v>
      </c>
      <c r="F24" s="85">
        <v>5019</v>
      </c>
      <c r="G24" s="1">
        <v>5693</v>
      </c>
      <c r="H24" s="1">
        <v>4750.73</v>
      </c>
      <c r="I24" s="1">
        <v>5323</v>
      </c>
      <c r="J24" s="1">
        <v>7154</v>
      </c>
      <c r="K24" s="1">
        <v>6842</v>
      </c>
      <c r="L24" s="16">
        <f>(K24-J24)*100/J24</f>
        <v>-4.4</v>
      </c>
      <c r="M24" s="17">
        <f>(K24-V24)*100/V24</f>
        <v>112</v>
      </c>
      <c r="N24" s="15">
        <v>1932</v>
      </c>
      <c r="O24" s="15">
        <v>1853</v>
      </c>
      <c r="P24" s="15">
        <v>2081</v>
      </c>
      <c r="Q24" s="28">
        <v>2423</v>
      </c>
      <c r="R24" s="28">
        <v>2953</v>
      </c>
      <c r="S24" s="28">
        <v>3156</v>
      </c>
      <c r="T24" s="28">
        <v>3386</v>
      </c>
      <c r="U24" s="28">
        <v>3194</v>
      </c>
      <c r="V24" s="28">
        <f>3040.017+188.168</f>
        <v>3228</v>
      </c>
      <c r="X24" s="1">
        <v>6513739</v>
      </c>
      <c r="Y24" s="3">
        <v>57223.13</v>
      </c>
      <c r="Z24" s="103">
        <v>385187.63</v>
      </c>
      <c r="AA24" s="3">
        <f>X24-Y24+Z24</f>
        <v>6841704</v>
      </c>
      <c r="AB24" s="3">
        <f>AA24/1000</f>
        <v>6842</v>
      </c>
    </row>
    <row r="25" spans="1:28" ht="12.75">
      <c r="A25" s="1" t="s">
        <v>17</v>
      </c>
      <c r="B25" s="29">
        <f>563.146+16.911</f>
        <v>580</v>
      </c>
      <c r="C25" s="38">
        <f>514.444+23.662</f>
        <v>538</v>
      </c>
      <c r="D25" s="15">
        <f>445.3+17.207</f>
        <v>463</v>
      </c>
      <c r="E25" s="15">
        <v>606</v>
      </c>
      <c r="F25" s="85">
        <v>648</v>
      </c>
      <c r="G25" s="1">
        <v>870</v>
      </c>
      <c r="H25" s="1">
        <v>971.93</v>
      </c>
      <c r="I25" s="1">
        <v>1032</v>
      </c>
      <c r="J25" s="1">
        <v>1198</v>
      </c>
      <c r="K25" s="1">
        <v>1102</v>
      </c>
      <c r="L25" s="16">
        <f>(K25-J25)*100/J25</f>
        <v>-8</v>
      </c>
      <c r="M25" s="17">
        <f>(K25-V25)*100/V25</f>
        <v>84</v>
      </c>
      <c r="N25" s="15">
        <v>333</v>
      </c>
      <c r="O25" s="15">
        <v>350</v>
      </c>
      <c r="P25" s="15">
        <v>425</v>
      </c>
      <c r="Q25" s="28">
        <v>439</v>
      </c>
      <c r="R25" s="28">
        <v>511</v>
      </c>
      <c r="S25" s="28">
        <v>557</v>
      </c>
      <c r="T25" s="28">
        <v>340</v>
      </c>
      <c r="U25" s="28">
        <v>548</v>
      </c>
      <c r="V25" s="28">
        <f>583.549+15.356</f>
        <v>599</v>
      </c>
      <c r="X25" s="1">
        <v>1040401.35</v>
      </c>
      <c r="Y25" s="3">
        <v>0</v>
      </c>
      <c r="Z25" s="103">
        <v>61598.23</v>
      </c>
      <c r="AA25" s="3">
        <f>X25-Y25+Z25</f>
        <v>1102000</v>
      </c>
      <c r="AB25" s="3">
        <f>AA25/1000</f>
        <v>1102</v>
      </c>
    </row>
    <row r="26" spans="1:28" ht="12.75">
      <c r="A26" s="1" t="s">
        <v>18</v>
      </c>
      <c r="B26" s="29">
        <f>5718.579+230.947</f>
        <v>5950</v>
      </c>
      <c r="C26" s="38">
        <f>5941.856+187.617</f>
        <v>6129</v>
      </c>
      <c r="D26" s="15">
        <f>6052.769+190.654</f>
        <v>6243</v>
      </c>
      <c r="E26" s="15">
        <v>6217</v>
      </c>
      <c r="F26" s="85">
        <v>6212</v>
      </c>
      <c r="G26" s="1">
        <v>6103</v>
      </c>
      <c r="H26" s="1">
        <v>5270</v>
      </c>
      <c r="I26" s="1">
        <v>5773</v>
      </c>
      <c r="J26" s="1">
        <v>6699</v>
      </c>
      <c r="K26" s="1">
        <v>7316</v>
      </c>
      <c r="L26" s="16">
        <f>(K26-J26)*100/J26</f>
        <v>9.2</v>
      </c>
      <c r="M26" s="17">
        <f>(K26-V26)*100/V26</f>
        <v>45.7</v>
      </c>
      <c r="N26" s="15">
        <v>2338</v>
      </c>
      <c r="O26" s="15">
        <v>2378</v>
      </c>
      <c r="P26" s="15">
        <v>2492</v>
      </c>
      <c r="Q26" s="28">
        <v>2639</v>
      </c>
      <c r="R26" s="28">
        <v>3106</v>
      </c>
      <c r="S26" s="28">
        <v>3541</v>
      </c>
      <c r="T26" s="28">
        <v>3833</v>
      </c>
      <c r="U26" s="28">
        <v>4372</v>
      </c>
      <c r="V26" s="28">
        <f>4882.398+139.684</f>
        <v>5022</v>
      </c>
      <c r="X26" s="1">
        <v>7078401</v>
      </c>
      <c r="Y26" s="3">
        <v>0</v>
      </c>
      <c r="Z26" s="103">
        <v>237782.17</v>
      </c>
      <c r="AA26" s="3">
        <f>X26-Y26+Z26</f>
        <v>7316183</v>
      </c>
      <c r="AB26" s="3">
        <f>AA26/1000</f>
        <v>7316</v>
      </c>
    </row>
    <row r="27" spans="1:28" ht="12.75">
      <c r="A27" s="1" t="s">
        <v>19</v>
      </c>
      <c r="B27" s="29">
        <f>5255.808+146.452</f>
        <v>5402</v>
      </c>
      <c r="C27" s="38">
        <f>5144.574+189.844</f>
        <v>5334</v>
      </c>
      <c r="D27" s="15">
        <f>6207.545+204.119</f>
        <v>6412</v>
      </c>
      <c r="E27" s="15">
        <v>6427</v>
      </c>
      <c r="F27" s="85">
        <v>5743</v>
      </c>
      <c r="G27" s="1">
        <v>7516</v>
      </c>
      <c r="H27" s="1">
        <v>7514</v>
      </c>
      <c r="I27" s="1">
        <v>10094</v>
      </c>
      <c r="J27" s="1">
        <v>8985</v>
      </c>
      <c r="K27" s="1">
        <v>10793</v>
      </c>
      <c r="L27" s="16">
        <f>(K27-J27)*100/J27</f>
        <v>20.1</v>
      </c>
      <c r="M27" s="17">
        <f>(K27-V27)*100/V27</f>
        <v>109.8</v>
      </c>
      <c r="N27" s="15">
        <v>3153</v>
      </c>
      <c r="O27" s="15">
        <v>3036</v>
      </c>
      <c r="P27" s="15">
        <v>3273</v>
      </c>
      <c r="Q27" s="28">
        <v>3805</v>
      </c>
      <c r="R27" s="28">
        <v>4461</v>
      </c>
      <c r="S27" s="28">
        <v>5180</v>
      </c>
      <c r="T27" s="28">
        <v>6017</v>
      </c>
      <c r="U27" s="28">
        <v>5306</v>
      </c>
      <c r="V27" s="28">
        <f>4951.315+194.165</f>
        <v>5145</v>
      </c>
      <c r="X27" s="1">
        <v>9579381</v>
      </c>
      <c r="Y27" s="3">
        <v>0</v>
      </c>
      <c r="Z27" s="103">
        <v>1213977.65</v>
      </c>
      <c r="AA27" s="3">
        <f>X27-Y27+Z27</f>
        <v>10793359</v>
      </c>
      <c r="AB27" s="3">
        <f>AA27/1000</f>
        <v>10793</v>
      </c>
    </row>
    <row r="28" spans="1:28" ht="12.75">
      <c r="A28" s="1" t="s">
        <v>20</v>
      </c>
      <c r="B28" s="29">
        <f>364.049+24.906</f>
        <v>389</v>
      </c>
      <c r="C28" s="38">
        <f>383.057+24.943</f>
        <v>408</v>
      </c>
      <c r="D28" s="15">
        <f>364.405+24.941</f>
        <v>389</v>
      </c>
      <c r="E28" s="15">
        <v>395</v>
      </c>
      <c r="F28" s="85">
        <v>430</v>
      </c>
      <c r="G28" s="1">
        <v>549</v>
      </c>
      <c r="H28" s="1">
        <v>563</v>
      </c>
      <c r="I28" s="1">
        <v>721</v>
      </c>
      <c r="J28" s="1">
        <v>630</v>
      </c>
      <c r="K28" s="1">
        <v>524</v>
      </c>
      <c r="L28" s="16">
        <f>(K28-J28)*100/J28</f>
        <v>-16.8</v>
      </c>
      <c r="M28" s="17">
        <f>(K28-V28)*100/V28</f>
        <v>66.9</v>
      </c>
      <c r="N28" s="15">
        <v>225</v>
      </c>
      <c r="O28" s="15">
        <v>212</v>
      </c>
      <c r="P28" s="28">
        <v>223</v>
      </c>
      <c r="Q28" s="28">
        <v>229</v>
      </c>
      <c r="R28" s="28">
        <v>274</v>
      </c>
      <c r="S28" s="28">
        <v>305</v>
      </c>
      <c r="T28" s="28">
        <v>301</v>
      </c>
      <c r="U28" s="28">
        <v>295</v>
      </c>
      <c r="V28" s="28">
        <f>283.888+29.713</f>
        <v>314</v>
      </c>
      <c r="X28" s="1">
        <v>521620.84</v>
      </c>
      <c r="Y28" s="3">
        <v>36463.66</v>
      </c>
      <c r="Z28" s="103">
        <v>39331.21</v>
      </c>
      <c r="AA28" s="3">
        <f>X28-Y28+Z28</f>
        <v>524488</v>
      </c>
      <c r="AB28" s="3">
        <f>AA28/1000</f>
        <v>524</v>
      </c>
    </row>
    <row r="29" spans="2:26" ht="12.75">
      <c r="B29" s="29"/>
      <c r="C29" s="38"/>
      <c r="D29" s="15"/>
      <c r="E29" s="15"/>
      <c r="F29" s="85"/>
      <c r="L29" s="16"/>
      <c r="M29" s="17"/>
      <c r="N29" s="15"/>
      <c r="O29" s="15"/>
      <c r="Q29" s="28"/>
      <c r="R29" s="28"/>
      <c r="S29" s="28"/>
      <c r="T29" s="28"/>
      <c r="U29" s="28"/>
      <c r="V29" s="28"/>
      <c r="X29" s="1"/>
      <c r="Z29" s="103"/>
    </row>
    <row r="30" spans="1:28" ht="12.75">
      <c r="A30" s="1" t="s">
        <v>21</v>
      </c>
      <c r="B30" s="29">
        <f>13796.317+1099.854</f>
        <v>14896</v>
      </c>
      <c r="C30" s="38">
        <f>14526.142+1155.61</f>
        <v>15682</v>
      </c>
      <c r="D30" s="15">
        <f>15125.828+1184.484</f>
        <v>16310</v>
      </c>
      <c r="E30" s="15">
        <v>16408</v>
      </c>
      <c r="F30" s="85">
        <v>18803</v>
      </c>
      <c r="G30" s="1">
        <v>25157</v>
      </c>
      <c r="H30" s="1">
        <v>26957</v>
      </c>
      <c r="I30" s="1">
        <v>25988</v>
      </c>
      <c r="J30" s="1">
        <v>27901</v>
      </c>
      <c r="K30" s="1">
        <v>26252</v>
      </c>
      <c r="L30" s="16">
        <f>(K30-J30)*100/J30</f>
        <v>-5.9</v>
      </c>
      <c r="M30" s="17">
        <f>(K30-V30)*100/V30</f>
        <v>87.9</v>
      </c>
      <c r="N30" s="15">
        <v>8230</v>
      </c>
      <c r="O30" s="15">
        <v>8521</v>
      </c>
      <c r="P30" s="28">
        <v>9408</v>
      </c>
      <c r="Q30" s="28">
        <v>9792</v>
      </c>
      <c r="R30" s="28">
        <v>12864</v>
      </c>
      <c r="S30" s="28">
        <v>13505</v>
      </c>
      <c r="T30" s="28">
        <v>14174</v>
      </c>
      <c r="U30" s="28">
        <v>11761</v>
      </c>
      <c r="V30" s="28">
        <f>12906.998+1062.065</f>
        <v>13969</v>
      </c>
      <c r="X30" s="1">
        <v>24812155</v>
      </c>
      <c r="Y30" s="3">
        <v>333043.75</v>
      </c>
      <c r="Z30" s="103">
        <v>1773274.43</v>
      </c>
      <c r="AA30" s="3">
        <f>X30-Y30+Z30</f>
        <v>26252386</v>
      </c>
      <c r="AB30" s="3">
        <f>AA30/1000</f>
        <v>26252</v>
      </c>
    </row>
    <row r="31" spans="1:28" ht="12.75">
      <c r="A31" s="1" t="s">
        <v>22</v>
      </c>
      <c r="B31" s="29">
        <f>11226.083+358.6</f>
        <v>11585</v>
      </c>
      <c r="C31" s="38">
        <f>14021.388+490.977</f>
        <v>14512</v>
      </c>
      <c r="D31" s="15">
        <f>17755.06+446.755</f>
        <v>18202</v>
      </c>
      <c r="E31" s="15">
        <v>19573</v>
      </c>
      <c r="F31" s="85">
        <v>22005</v>
      </c>
      <c r="G31" s="1">
        <v>24053</v>
      </c>
      <c r="H31" s="1">
        <v>26841</v>
      </c>
      <c r="I31" s="1">
        <v>28530</v>
      </c>
      <c r="J31" s="1">
        <v>26783</v>
      </c>
      <c r="K31" s="1">
        <v>32785</v>
      </c>
      <c r="L31" s="16">
        <f>(K31-J31)*100/J31</f>
        <v>22.4</v>
      </c>
      <c r="M31" s="17">
        <f>(K31-V31)*100/V31</f>
        <v>189.5</v>
      </c>
      <c r="N31" s="15">
        <v>6249</v>
      </c>
      <c r="O31" s="15">
        <v>7023</v>
      </c>
      <c r="P31" s="28">
        <v>7952</v>
      </c>
      <c r="Q31" s="28">
        <v>8680</v>
      </c>
      <c r="R31" s="28">
        <v>8472</v>
      </c>
      <c r="S31" s="28">
        <v>9398</v>
      </c>
      <c r="T31" s="28">
        <v>10817</v>
      </c>
      <c r="U31" s="28">
        <v>9120</v>
      </c>
      <c r="V31" s="28">
        <f>11037.616+284.925</f>
        <v>11323</v>
      </c>
      <c r="X31" s="1">
        <v>32093618</v>
      </c>
      <c r="Y31" s="3">
        <v>12595.16</v>
      </c>
      <c r="Z31" s="103">
        <v>703683.68</v>
      </c>
      <c r="AA31" s="3">
        <f>X31-Y31+Z31</f>
        <v>32784707</v>
      </c>
      <c r="AB31" s="3">
        <f>AA31/1000</f>
        <v>32785</v>
      </c>
    </row>
    <row r="32" spans="1:28" ht="12.75">
      <c r="A32" s="1" t="s">
        <v>23</v>
      </c>
      <c r="B32" s="29">
        <f>1003.284+52.487</f>
        <v>1056</v>
      </c>
      <c r="C32" s="38">
        <f>1037.886+61.966</f>
        <v>1100</v>
      </c>
      <c r="D32" s="15">
        <f>1279.32+64.331</f>
        <v>1344</v>
      </c>
      <c r="E32" s="15">
        <v>1558</v>
      </c>
      <c r="F32" s="85">
        <v>1635</v>
      </c>
      <c r="G32" s="1">
        <v>1854</v>
      </c>
      <c r="H32" s="1">
        <v>1643</v>
      </c>
      <c r="I32" s="1">
        <v>1714</v>
      </c>
      <c r="J32" s="1">
        <v>2037</v>
      </c>
      <c r="K32" s="1">
        <v>2226</v>
      </c>
      <c r="L32" s="16">
        <f>(K32-J32)*100/J32</f>
        <v>9.3</v>
      </c>
      <c r="M32" s="17">
        <f>(K32-V32)*100/V32</f>
        <v>108.6</v>
      </c>
      <c r="N32" s="15">
        <v>406</v>
      </c>
      <c r="O32" s="15">
        <v>406</v>
      </c>
      <c r="P32" s="28">
        <v>563</v>
      </c>
      <c r="Q32" s="28">
        <v>691</v>
      </c>
      <c r="R32" s="28">
        <v>851</v>
      </c>
      <c r="S32" s="28">
        <v>905</v>
      </c>
      <c r="T32" s="28">
        <v>884</v>
      </c>
      <c r="U32" s="28">
        <v>986</v>
      </c>
      <c r="V32" s="28">
        <f>1005.797+61.44</f>
        <v>1067</v>
      </c>
      <c r="X32" s="1">
        <v>2082770.32</v>
      </c>
      <c r="Y32" s="3">
        <v>1902.57</v>
      </c>
      <c r="Z32" s="103">
        <v>145032.6</v>
      </c>
      <c r="AA32" s="3">
        <f>X32-Y32+Z32</f>
        <v>2225900</v>
      </c>
      <c r="AB32" s="3">
        <f>AA32/1000</f>
        <v>2226</v>
      </c>
    </row>
    <row r="33" spans="1:28" ht="12.75">
      <c r="A33" s="1" t="s">
        <v>24</v>
      </c>
      <c r="B33" s="29">
        <f>1685.747+90.827</f>
        <v>1777</v>
      </c>
      <c r="C33" s="38">
        <f>2239.055+101.434</f>
        <v>2340</v>
      </c>
      <c r="D33" s="15">
        <f>1368.375+102.208</f>
        <v>1471</v>
      </c>
      <c r="E33" s="15">
        <v>1889</v>
      </c>
      <c r="F33" s="85">
        <v>2622</v>
      </c>
      <c r="G33" s="1">
        <v>2896</v>
      </c>
      <c r="H33" s="1">
        <v>2507</v>
      </c>
      <c r="I33" s="1">
        <v>2574</v>
      </c>
      <c r="J33" s="1">
        <v>3143</v>
      </c>
      <c r="K33" s="1">
        <v>2623</v>
      </c>
      <c r="L33" s="16">
        <f>(K33-J33)*100/J33</f>
        <v>-16.5</v>
      </c>
      <c r="M33" s="17">
        <f>(K33-V33)*100/V33</f>
        <v>37.1</v>
      </c>
      <c r="N33" s="15">
        <v>1071</v>
      </c>
      <c r="O33" s="15">
        <v>966</v>
      </c>
      <c r="P33" s="28">
        <v>1086</v>
      </c>
      <c r="Q33" s="28">
        <v>1175</v>
      </c>
      <c r="R33" s="28">
        <v>1280</v>
      </c>
      <c r="S33" s="28">
        <v>1496</v>
      </c>
      <c r="T33" s="28">
        <v>1717</v>
      </c>
      <c r="U33" s="28">
        <v>1657</v>
      </c>
      <c r="V33" s="28">
        <f>1775.767+137.098</f>
        <v>1913</v>
      </c>
      <c r="X33" s="1">
        <v>2303966.68</v>
      </c>
      <c r="Y33" s="3">
        <v>13611.96</v>
      </c>
      <c r="Z33" s="103">
        <v>332920.15</v>
      </c>
      <c r="AA33" s="3">
        <f>X33-Y33+Z33</f>
        <v>2623275</v>
      </c>
      <c r="AB33" s="3">
        <f>AA33/1000</f>
        <v>2623</v>
      </c>
    </row>
    <row r="34" spans="1:28" ht="12.75">
      <c r="A34" s="1" t="s">
        <v>25</v>
      </c>
      <c r="B34" s="29">
        <f>339.032+5.435</f>
        <v>344</v>
      </c>
      <c r="C34" s="38">
        <f>410.531+12.979</f>
        <v>424</v>
      </c>
      <c r="D34" s="15">
        <f>416.296+7.139</f>
        <v>423</v>
      </c>
      <c r="E34" s="15">
        <v>464</v>
      </c>
      <c r="F34" s="85">
        <v>708</v>
      </c>
      <c r="G34" s="1">
        <v>844</v>
      </c>
      <c r="H34" s="1">
        <v>910</v>
      </c>
      <c r="I34" s="1">
        <v>760</v>
      </c>
      <c r="J34" s="1">
        <v>881</v>
      </c>
      <c r="K34" s="1">
        <v>910</v>
      </c>
      <c r="L34" s="16">
        <f>(K34-J34)*100/J34</f>
        <v>3.3</v>
      </c>
      <c r="M34" s="17">
        <f>(K34-V34)*100/V34</f>
        <v>122.5</v>
      </c>
      <c r="N34" s="15">
        <v>273</v>
      </c>
      <c r="O34" s="15">
        <v>253</v>
      </c>
      <c r="P34" s="28">
        <v>227</v>
      </c>
      <c r="Q34" s="28">
        <v>274</v>
      </c>
      <c r="R34" s="28">
        <v>343</v>
      </c>
      <c r="S34" s="28">
        <v>385</v>
      </c>
      <c r="T34" s="28">
        <v>337</v>
      </c>
      <c r="U34" s="28">
        <v>337</v>
      </c>
      <c r="V34" s="28">
        <f>385.741+23.122</f>
        <v>409</v>
      </c>
      <c r="X34" s="1">
        <v>878560.68</v>
      </c>
      <c r="Y34" s="3">
        <v>9577.31</v>
      </c>
      <c r="Z34" s="103">
        <v>40962.6</v>
      </c>
      <c r="AA34" s="3">
        <f>X34-Y34+Z34</f>
        <v>909946</v>
      </c>
      <c r="AB34" s="3">
        <f>AA34/1000</f>
        <v>910</v>
      </c>
    </row>
    <row r="35" spans="2:26" ht="12.75">
      <c r="B35" s="29"/>
      <c r="C35" s="38"/>
      <c r="D35" s="15"/>
      <c r="E35" s="15"/>
      <c r="F35" s="85"/>
      <c r="L35" s="16"/>
      <c r="M35" s="17"/>
      <c r="O35" s="15"/>
      <c r="P35" s="28"/>
      <c r="Q35" s="28"/>
      <c r="R35" s="28"/>
      <c r="S35" s="28"/>
      <c r="T35" s="28"/>
      <c r="U35" s="28"/>
      <c r="V35" s="28"/>
      <c r="X35" s="1"/>
      <c r="Z35" s="103"/>
    </row>
    <row r="36" spans="1:28" ht="12.75">
      <c r="A36" s="1" t="s">
        <v>26</v>
      </c>
      <c r="B36" s="29">
        <f>519.25+19.59</f>
        <v>539</v>
      </c>
      <c r="C36" s="38">
        <f>700.339+19.941</f>
        <v>720</v>
      </c>
      <c r="D36" s="15">
        <f>565.605+30.332</f>
        <v>596</v>
      </c>
      <c r="E36" s="15">
        <v>646</v>
      </c>
      <c r="F36" s="85">
        <v>780</v>
      </c>
      <c r="G36" s="1">
        <v>722</v>
      </c>
      <c r="H36" s="1">
        <v>862</v>
      </c>
      <c r="I36" s="1">
        <v>749</v>
      </c>
      <c r="J36" s="1">
        <v>1088</v>
      </c>
      <c r="K36" s="1">
        <v>859</v>
      </c>
      <c r="L36" s="16">
        <f>(K36-J36)*100/J36</f>
        <v>-21</v>
      </c>
      <c r="M36" s="17">
        <f>(K36-V36)*100/V36</f>
        <v>99.8</v>
      </c>
      <c r="N36" s="15">
        <v>438</v>
      </c>
      <c r="O36" s="15">
        <v>408</v>
      </c>
      <c r="P36" s="28">
        <v>378</v>
      </c>
      <c r="Q36" s="28">
        <v>557</v>
      </c>
      <c r="R36" s="28">
        <v>531</v>
      </c>
      <c r="S36" s="28">
        <v>635</v>
      </c>
      <c r="T36" s="28">
        <v>714</v>
      </c>
      <c r="U36" s="28">
        <v>376</v>
      </c>
      <c r="V36" s="28">
        <f>415.313+15.044</f>
        <v>430</v>
      </c>
      <c r="X36" s="1">
        <v>762192.88</v>
      </c>
      <c r="Y36" s="3">
        <v>0</v>
      </c>
      <c r="Z36" s="103">
        <v>96697.2</v>
      </c>
      <c r="AA36" s="3">
        <f>X36-Y36+Z36</f>
        <v>858890</v>
      </c>
      <c r="AB36" s="3">
        <f>AA36/1000</f>
        <v>859</v>
      </c>
    </row>
    <row r="37" spans="1:28" ht="12.75">
      <c r="A37" s="1" t="s">
        <v>27</v>
      </c>
      <c r="B37" s="29">
        <f>2089.922+63.469</f>
        <v>2153</v>
      </c>
      <c r="C37" s="38">
        <f>2091.648+48.767</f>
        <v>2140</v>
      </c>
      <c r="D37" s="15">
        <f>2304.619+63.209</f>
        <v>2368</v>
      </c>
      <c r="E37" s="15">
        <v>2377</v>
      </c>
      <c r="F37" s="85">
        <v>3112</v>
      </c>
      <c r="G37" s="1">
        <v>2986</v>
      </c>
      <c r="H37" s="1">
        <v>2918</v>
      </c>
      <c r="I37" s="1">
        <v>3040</v>
      </c>
      <c r="J37" s="1">
        <v>3974</v>
      </c>
      <c r="K37" s="1">
        <v>4578</v>
      </c>
      <c r="L37" s="16">
        <f>(K37-J37)*100/J37</f>
        <v>15.2</v>
      </c>
      <c r="M37" s="17">
        <f>(K37-V37)*100/V37</f>
        <v>155.6</v>
      </c>
      <c r="N37" s="15">
        <v>1109</v>
      </c>
      <c r="O37" s="15">
        <v>994</v>
      </c>
      <c r="P37" s="28">
        <v>1064</v>
      </c>
      <c r="Q37" s="28">
        <v>1204</v>
      </c>
      <c r="R37" s="28">
        <v>1490</v>
      </c>
      <c r="S37" s="28">
        <v>1662</v>
      </c>
      <c r="T37" s="28">
        <v>1700</v>
      </c>
      <c r="U37" s="28">
        <v>1519</v>
      </c>
      <c r="V37" s="28">
        <f>1753.539+37.014</f>
        <v>1791</v>
      </c>
      <c r="X37" s="1">
        <v>4491009.58</v>
      </c>
      <c r="Y37" s="3">
        <v>35545.5</v>
      </c>
      <c r="Z37" s="103">
        <v>122416.99</v>
      </c>
      <c r="AA37" s="3">
        <f>X37-Y37+Z37</f>
        <v>4577881</v>
      </c>
      <c r="AB37" s="3">
        <f>AA37/1000</f>
        <v>4578</v>
      </c>
    </row>
    <row r="38" spans="1:28" ht="12.75">
      <c r="A38" s="1" t="s">
        <v>28</v>
      </c>
      <c r="B38" s="29">
        <f>1498.062+79.272</f>
        <v>1577</v>
      </c>
      <c r="C38" s="38">
        <f>1555.068+74.509</f>
        <v>1630</v>
      </c>
      <c r="D38" s="15">
        <f>1766.551+68.09</f>
        <v>1835</v>
      </c>
      <c r="E38" s="15">
        <v>1981</v>
      </c>
      <c r="F38" s="85">
        <v>2199</v>
      </c>
      <c r="G38" s="1">
        <v>2335</v>
      </c>
      <c r="H38" s="1">
        <v>2948</v>
      </c>
      <c r="I38" s="1">
        <v>2977</v>
      </c>
      <c r="J38" s="1">
        <v>2946</v>
      </c>
      <c r="K38" s="1">
        <v>3138</v>
      </c>
      <c r="L38" s="16">
        <f>(K38-J38)*100/J38</f>
        <v>6.5</v>
      </c>
      <c r="M38" s="17">
        <f>(K38-V38)*100/V38</f>
        <v>72.3</v>
      </c>
      <c r="N38" s="15">
        <v>999</v>
      </c>
      <c r="O38" s="15">
        <v>979</v>
      </c>
      <c r="P38" s="28">
        <v>1198</v>
      </c>
      <c r="Q38" s="28">
        <v>1316</v>
      </c>
      <c r="R38" s="28">
        <v>1385</v>
      </c>
      <c r="S38" s="28">
        <v>1762</v>
      </c>
      <c r="T38" s="28">
        <v>1862</v>
      </c>
      <c r="U38" s="28">
        <v>1357</v>
      </c>
      <c r="V38" s="28">
        <f>1737.202+83.553</f>
        <v>1821</v>
      </c>
      <c r="X38" s="1">
        <v>2897808.16</v>
      </c>
      <c r="Y38" s="3">
        <v>24027.94</v>
      </c>
      <c r="Z38" s="103">
        <v>264134.46</v>
      </c>
      <c r="AA38" s="3">
        <f>X38-Y38+Z38</f>
        <v>3137915</v>
      </c>
      <c r="AB38" s="3">
        <f>AA38/1000</f>
        <v>3138</v>
      </c>
    </row>
    <row r="39" spans="1:28" ht="12.75">
      <c r="A39" s="18" t="s">
        <v>29</v>
      </c>
      <c r="B39" s="29">
        <f>1373.98+62.257</f>
        <v>1436</v>
      </c>
      <c r="C39" s="38">
        <f>1343.098+73.027</f>
        <v>1416</v>
      </c>
      <c r="D39" s="15">
        <f>1269.758+81.671</f>
        <v>1351</v>
      </c>
      <c r="E39" s="15">
        <v>1593</v>
      </c>
      <c r="F39" s="85">
        <v>1524</v>
      </c>
      <c r="G39" s="1">
        <v>1337</v>
      </c>
      <c r="H39" s="1">
        <v>1653</v>
      </c>
      <c r="I39" s="1">
        <v>1904</v>
      </c>
      <c r="J39" s="1">
        <v>1830</v>
      </c>
      <c r="K39" s="1">
        <v>2429</v>
      </c>
      <c r="L39" s="16">
        <f>(K39-J39)*100/J39</f>
        <v>32.7</v>
      </c>
      <c r="M39" s="17">
        <f>(K39-V39)*100/V39</f>
        <v>93.4</v>
      </c>
      <c r="N39" s="15">
        <v>618</v>
      </c>
      <c r="O39" s="15">
        <v>650</v>
      </c>
      <c r="P39" s="28">
        <v>621</v>
      </c>
      <c r="Q39" s="28">
        <v>813</v>
      </c>
      <c r="R39" s="28">
        <v>915</v>
      </c>
      <c r="S39" s="28">
        <v>1011</v>
      </c>
      <c r="T39" s="28">
        <v>1150</v>
      </c>
      <c r="U39" s="28">
        <v>1230</v>
      </c>
      <c r="V39" s="28">
        <f>1193.549+62.492</f>
        <v>1256</v>
      </c>
      <c r="X39" s="1">
        <v>2294667.04</v>
      </c>
      <c r="Y39" s="3">
        <v>24942.44</v>
      </c>
      <c r="Z39" s="120">
        <v>159349.55</v>
      </c>
      <c r="AA39" s="3">
        <f>X39-Y39+Z39</f>
        <v>2429074</v>
      </c>
      <c r="AB39" s="3">
        <f>AA39/1000</f>
        <v>2429</v>
      </c>
    </row>
    <row r="40" spans="1:22" ht="12.75">
      <c r="A40" s="1" t="s">
        <v>168</v>
      </c>
      <c r="B40" s="19"/>
      <c r="C40" s="20"/>
      <c r="D40" s="19"/>
      <c r="E40" s="19"/>
      <c r="F40" s="19"/>
      <c r="G40" s="39"/>
      <c r="H40" s="19"/>
      <c r="I40" s="19"/>
      <c r="J40" s="19"/>
      <c r="K40" s="19"/>
      <c r="L40" s="19"/>
      <c r="M40" s="19"/>
      <c r="N40" s="19"/>
      <c r="O40" s="19"/>
      <c r="P40" s="19"/>
      <c r="Q40" s="19"/>
      <c r="V40" s="19"/>
    </row>
    <row r="41" ht="12.75">
      <c r="C41" s="15"/>
    </row>
    <row r="42" spans="1:17" ht="12.75">
      <c r="A42" s="3"/>
      <c r="B42" s="15"/>
      <c r="C42" s="15"/>
      <c r="O42" s="15"/>
      <c r="P42" s="15"/>
      <c r="Q42" s="15"/>
    </row>
    <row r="43" spans="2:17" ht="12.75">
      <c r="B43" s="15"/>
      <c r="C43" s="15"/>
      <c r="O43" s="15"/>
      <c r="P43" s="15"/>
      <c r="Q43" s="15"/>
    </row>
    <row r="44" spans="2:17" ht="12.75">
      <c r="B44" s="15"/>
      <c r="C44" s="15"/>
      <c r="O44" s="15"/>
      <c r="P44" s="15"/>
      <c r="Q44" s="15"/>
    </row>
    <row r="45" spans="2:17" ht="12.75">
      <c r="B45" s="15"/>
      <c r="C45" s="15"/>
      <c r="O45" s="15"/>
      <c r="P45" s="15"/>
      <c r="Q45" s="15"/>
    </row>
    <row r="46" spans="2:17" ht="12.75">
      <c r="B46" s="15"/>
      <c r="C46" s="15"/>
      <c r="O46" s="15"/>
      <c r="P46" s="15"/>
      <c r="Q46" s="15"/>
    </row>
    <row r="47" spans="2:3" ht="12.75">
      <c r="B47" s="15"/>
      <c r="C47" s="15"/>
    </row>
    <row r="48" spans="2:3" ht="12.75">
      <c r="B48" s="15"/>
      <c r="C48" s="15"/>
    </row>
    <row r="49" spans="2:3" ht="12.75">
      <c r="B49" s="15"/>
      <c r="C49" s="15"/>
    </row>
    <row r="50" spans="2:3" ht="12.75">
      <c r="B50" s="15"/>
      <c r="C50" s="15"/>
    </row>
    <row r="51" spans="2:3" ht="12.75">
      <c r="B51" s="15"/>
      <c r="C51" s="15"/>
    </row>
    <row r="52" ht="12.75">
      <c r="C52" s="15"/>
    </row>
    <row r="53" ht="12.75">
      <c r="C53" s="15"/>
    </row>
  </sheetData>
  <mergeCells count="1">
    <mergeCell ref="A1:M1"/>
  </mergeCells>
  <printOptions/>
  <pageMargins left="0.49" right="0.41" top="1" bottom="1" header="0.5" footer="0.5"/>
  <pageSetup fitToHeight="1" fitToWidth="1" orientation="landscape" scale="79" r:id="rId1"/>
  <headerFooter alignWithMargins="0">
    <oddHeader>&amp;R&amp;10
</oddHeader>
    <oddFooter>&amp;L&amp;"Lucida Sans,Italic"&amp;10MSDE-DBS  11 / 2004&amp;C- 12 -&amp;R&amp;"Lucida Sans,Italic"&amp;10Selected Financial Data - Part 4</oddFooter>
  </headerFooter>
  <rowBreaks count="1" manualBreakCount="1">
    <brk id="4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workbookViewId="0" topLeftCell="E1">
      <pane xSplit="14970" topLeftCell="IV5" activePane="topLeft" state="split"/>
      <selection pane="topLeft" activeCell="J3" sqref="J3"/>
      <selection pane="topRight" activeCell="O1" sqref="O1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3" width="6.625" style="1" customWidth="1"/>
    <col min="14" max="14" width="13.375" style="1" customWidth="1"/>
    <col min="15" max="20" width="10.125" style="1" customWidth="1"/>
    <col min="21" max="21" width="10.125" style="3" customWidth="1"/>
    <col min="22" max="22" width="11.25390625" style="1" customWidth="1"/>
    <col min="23" max="23" width="12.375" style="3" customWidth="1"/>
    <col min="24" max="24" width="11.25390625" style="3" customWidth="1"/>
    <col min="25" max="25" width="11.125" style="3" customWidth="1"/>
    <col min="26" max="26" width="11.375" style="3" customWidth="1"/>
    <col min="27" max="35" width="10.125" style="3" customWidth="1"/>
    <col min="36" max="16384" width="10.00390625" style="3" customWidth="1"/>
  </cols>
  <sheetData>
    <row r="1" spans="1:22" ht="15.75" customHeight="1">
      <c r="A1" s="128" t="s">
        <v>119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"/>
      <c r="P1" s="2"/>
      <c r="Q1" s="2"/>
      <c r="R1" s="2"/>
      <c r="V1" s="128"/>
    </row>
    <row r="2" spans="1:22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2"/>
      <c r="P2" s="2"/>
      <c r="Q2" s="2"/>
      <c r="R2" s="2"/>
      <c r="V2" s="128"/>
    </row>
    <row r="3" spans="1:22" ht="12.75">
      <c r="A3" s="128" t="s">
        <v>69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0"/>
      <c r="P3" s="2"/>
      <c r="Q3" s="2"/>
      <c r="R3" s="2"/>
      <c r="V3" s="128"/>
    </row>
    <row r="4" spans="1:22" ht="12.75">
      <c r="A4" s="128" t="s">
        <v>196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0"/>
      <c r="P4" s="2"/>
      <c r="Q4" s="2"/>
      <c r="R4" s="2"/>
      <c r="V4" s="128"/>
    </row>
    <row r="5" ht="13.5" thickBot="1"/>
    <row r="6" spans="1:22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2:26" ht="15.75">
      <c r="L7" s="219" t="s">
        <v>34</v>
      </c>
      <c r="M7" s="220"/>
      <c r="U7" s="1"/>
      <c r="X7" s="41" t="s">
        <v>166</v>
      </c>
      <c r="Y7" s="3" t="s">
        <v>167</v>
      </c>
      <c r="Z7" s="21" t="s">
        <v>137</v>
      </c>
    </row>
    <row r="8" spans="8:26" ht="12.75">
      <c r="H8" s="7"/>
      <c r="I8" s="7"/>
      <c r="J8" s="7"/>
      <c r="K8" s="7"/>
      <c r="L8" s="10" t="s">
        <v>106</v>
      </c>
      <c r="M8" s="10" t="s">
        <v>107</v>
      </c>
      <c r="U8" s="1"/>
      <c r="X8" s="41"/>
      <c r="Y8" s="41"/>
      <c r="Z8" s="21" t="s">
        <v>209</v>
      </c>
    </row>
    <row r="9" spans="1:26" ht="13.5" thickBot="1">
      <c r="A9" s="8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9" t="s">
        <v>105</v>
      </c>
      <c r="M9" s="9" t="s">
        <v>105</v>
      </c>
      <c r="N9" s="10" t="s">
        <v>46</v>
      </c>
      <c r="O9" s="9" t="s">
        <v>70</v>
      </c>
      <c r="P9" s="9" t="s">
        <v>71</v>
      </c>
      <c r="Q9" s="9" t="s">
        <v>72</v>
      </c>
      <c r="R9" s="9" t="s">
        <v>73</v>
      </c>
      <c r="S9" s="9" t="s">
        <v>74</v>
      </c>
      <c r="T9" s="9" t="s">
        <v>75</v>
      </c>
      <c r="U9" s="9" t="s">
        <v>76</v>
      </c>
      <c r="V9" s="9" t="s">
        <v>42</v>
      </c>
      <c r="X9" s="121" t="s">
        <v>165</v>
      </c>
      <c r="Y9" s="121" t="s">
        <v>165</v>
      </c>
      <c r="Z9" s="42" t="s">
        <v>165</v>
      </c>
    </row>
    <row r="10" spans="1:27" ht="12.75">
      <c r="A10" s="7" t="s">
        <v>5</v>
      </c>
      <c r="B10" s="11">
        <f aca="true" t="shared" si="0" ref="B10:I10">SUM(B12:B39)</f>
        <v>25086948</v>
      </c>
      <c r="C10" s="11">
        <f t="shared" si="0"/>
        <v>27257048</v>
      </c>
      <c r="D10" s="11">
        <f t="shared" si="0"/>
        <v>22377515</v>
      </c>
      <c r="E10" s="11">
        <f t="shared" si="0"/>
        <v>27612874</v>
      </c>
      <c r="F10" s="11">
        <f t="shared" si="0"/>
        <v>30331118</v>
      </c>
      <c r="G10" s="11">
        <f t="shared" si="0"/>
        <v>43185145</v>
      </c>
      <c r="H10" s="11">
        <f t="shared" si="0"/>
        <v>49555371</v>
      </c>
      <c r="I10" s="11">
        <f t="shared" si="0"/>
        <v>40250267</v>
      </c>
      <c r="J10" s="11">
        <f>SUM(J12:J39)</f>
        <v>45347904</v>
      </c>
      <c r="K10" s="11">
        <f>SUM(K12:K39)</f>
        <v>51321322</v>
      </c>
      <c r="L10" s="12">
        <f>(K10-J10)/J10</f>
        <v>0.132</v>
      </c>
      <c r="M10" s="12">
        <f>(K10-V10)/V10</f>
        <v>1.265</v>
      </c>
      <c r="N10" s="11">
        <f aca="true" t="shared" si="1" ref="N10:T10">SUM(N12:N39)</f>
        <v>14453000</v>
      </c>
      <c r="O10" s="11">
        <f t="shared" si="1"/>
        <v>16174031</v>
      </c>
      <c r="P10" s="11">
        <f t="shared" si="1"/>
        <v>17417163</v>
      </c>
      <c r="Q10" s="11">
        <f t="shared" si="1"/>
        <v>21866586</v>
      </c>
      <c r="R10" s="11">
        <f t="shared" si="1"/>
        <v>21943898</v>
      </c>
      <c r="S10" s="11">
        <f t="shared" si="1"/>
        <v>21756490</v>
      </c>
      <c r="T10" s="11">
        <f t="shared" si="1"/>
        <v>25654784</v>
      </c>
      <c r="U10" s="11">
        <f>SUM(U12:U39)</f>
        <v>24422352</v>
      </c>
      <c r="V10" s="11">
        <f>SUM(V12:V39)</f>
        <v>22661347</v>
      </c>
      <c r="X10" s="117">
        <f>SUM(X12:X39)</f>
        <v>40483931</v>
      </c>
      <c r="Y10" s="119">
        <f>SUM(Y12:Y39)</f>
        <v>10837392</v>
      </c>
      <c r="Z10" s="119">
        <f>SUM(Z12:Z39)</f>
        <v>51321322</v>
      </c>
      <c r="AA10" s="11">
        <f>SUM(AA12:AA43)</f>
        <v>51322</v>
      </c>
    </row>
    <row r="11" spans="3:24" ht="12.75">
      <c r="C11" s="38"/>
      <c r="D11" s="15"/>
      <c r="E11" s="15"/>
      <c r="F11" s="32"/>
      <c r="M11" s="15"/>
      <c r="O11" s="15"/>
      <c r="R11" s="15"/>
      <c r="S11" s="15"/>
      <c r="U11" s="1"/>
      <c r="X11" s="118"/>
    </row>
    <row r="12" spans="1:27" ht="12.75">
      <c r="A12" s="1" t="s">
        <v>6</v>
      </c>
      <c r="B12" s="29">
        <v>294766</v>
      </c>
      <c r="C12" s="38">
        <v>279817</v>
      </c>
      <c r="D12" s="15">
        <v>299521</v>
      </c>
      <c r="E12" s="15">
        <v>430603</v>
      </c>
      <c r="F12" s="85">
        <v>444388</v>
      </c>
      <c r="G12" s="1">
        <v>65451</v>
      </c>
      <c r="H12" s="1">
        <v>171999</v>
      </c>
      <c r="I12" s="1">
        <v>179579</v>
      </c>
      <c r="J12" s="1">
        <v>341622</v>
      </c>
      <c r="K12" s="1">
        <v>379866</v>
      </c>
      <c r="L12" s="16">
        <f>(K12-J12)*100/J12</f>
        <v>11.2</v>
      </c>
      <c r="M12" s="17">
        <f>(K12-V12)*100/V12</f>
        <v>18.5</v>
      </c>
      <c r="N12" s="15">
        <v>252051</v>
      </c>
      <c r="O12" s="15">
        <v>243674</v>
      </c>
      <c r="P12" s="15">
        <v>226237</v>
      </c>
      <c r="Q12" s="28">
        <v>208673</v>
      </c>
      <c r="R12" s="28">
        <v>254869</v>
      </c>
      <c r="S12" s="28">
        <v>199980</v>
      </c>
      <c r="T12" s="28">
        <v>436773</v>
      </c>
      <c r="U12" s="28">
        <v>242620</v>
      </c>
      <c r="V12" s="28">
        <v>320431</v>
      </c>
      <c r="X12" s="181">
        <v>254368.61</v>
      </c>
      <c r="Y12" s="103">
        <v>125497.85</v>
      </c>
      <c r="Z12" s="3">
        <f>SUM(X12:Y12)</f>
        <v>379866</v>
      </c>
      <c r="AA12" s="3">
        <f>Z12/1000</f>
        <v>380</v>
      </c>
    </row>
    <row r="13" spans="1:27" ht="12.75">
      <c r="A13" s="1" t="s">
        <v>7</v>
      </c>
      <c r="B13" s="29">
        <f>1401492+784</f>
        <v>1402276</v>
      </c>
      <c r="C13" s="38">
        <f>1574003+6010</f>
        <v>1580013</v>
      </c>
      <c r="D13" s="15">
        <f>1885491+8170</f>
        <v>1893661</v>
      </c>
      <c r="E13" s="15">
        <v>1950712</v>
      </c>
      <c r="F13" s="85">
        <v>1761648</v>
      </c>
      <c r="G13" s="1">
        <v>1092137</v>
      </c>
      <c r="H13" s="1">
        <v>2351579</v>
      </c>
      <c r="I13" s="1">
        <v>2173777</v>
      </c>
      <c r="J13" s="1">
        <v>2848337</v>
      </c>
      <c r="K13" s="1">
        <v>4946691</v>
      </c>
      <c r="L13" s="16">
        <f>(K13-J13)*100/J13</f>
        <v>73.7</v>
      </c>
      <c r="M13" s="17">
        <f>(K13-V13)*100/V13</f>
        <v>222.6</v>
      </c>
      <c r="N13" s="15">
        <v>982597</v>
      </c>
      <c r="O13" s="15">
        <v>1354757</v>
      </c>
      <c r="P13" s="15">
        <v>1523315</v>
      </c>
      <c r="Q13" s="28">
        <v>1496763</v>
      </c>
      <c r="R13" s="28">
        <v>1192255</v>
      </c>
      <c r="S13" s="28">
        <v>1207395</v>
      </c>
      <c r="T13" s="28">
        <v>1189931</v>
      </c>
      <c r="U13" s="28">
        <v>1075666</v>
      </c>
      <c r="V13" s="28">
        <f>1531190+2160</f>
        <v>1533350</v>
      </c>
      <c r="X13" s="181">
        <v>3463598.68</v>
      </c>
      <c r="Y13" s="103">
        <v>1483092.26</v>
      </c>
      <c r="Z13" s="3">
        <f>SUM(X13:Y13)</f>
        <v>4946691</v>
      </c>
      <c r="AA13" s="3">
        <f>Z13/1000</f>
        <v>4947</v>
      </c>
    </row>
    <row r="14" spans="1:27" ht="12.75">
      <c r="A14" s="1" t="s">
        <v>8</v>
      </c>
      <c r="B14" s="29">
        <f>3270978+69890</f>
        <v>3340868</v>
      </c>
      <c r="C14" s="38">
        <f>2790141+104580</f>
        <v>2894721</v>
      </c>
      <c r="D14" s="15">
        <f>2026439+109631</f>
        <v>2136070</v>
      </c>
      <c r="E14" s="15">
        <v>2429914</v>
      </c>
      <c r="F14" s="85">
        <v>4723944</v>
      </c>
      <c r="G14" s="1">
        <v>12482285</v>
      </c>
      <c r="H14" s="1">
        <v>11709465</v>
      </c>
      <c r="I14" s="1">
        <v>2373424</v>
      </c>
      <c r="J14" s="1">
        <v>1845478</v>
      </c>
      <c r="K14" s="1">
        <v>1565915</v>
      </c>
      <c r="L14" s="16">
        <f>(K14-J14)*100/J14</f>
        <v>-15.1</v>
      </c>
      <c r="M14" s="17">
        <f>(K14-V14)*100/V14</f>
        <v>-58.6</v>
      </c>
      <c r="N14" s="15">
        <v>2205890</v>
      </c>
      <c r="O14" s="15">
        <v>2527057</v>
      </c>
      <c r="P14" s="15">
        <v>2456944</v>
      </c>
      <c r="Q14" s="28">
        <v>5486991</v>
      </c>
      <c r="R14" s="28">
        <v>5064943</v>
      </c>
      <c r="S14" s="28">
        <v>2620966</v>
      </c>
      <c r="T14" s="28">
        <v>4700991</v>
      </c>
      <c r="U14" s="28">
        <v>4623332</v>
      </c>
      <c r="V14" s="28">
        <f>3727351+53504</f>
        <v>3780855</v>
      </c>
      <c r="X14" s="181">
        <v>843389.93</v>
      </c>
      <c r="Y14" s="103">
        <v>722524.97</v>
      </c>
      <c r="Z14" s="3">
        <f>SUM(X14:Y14)</f>
        <v>1565915</v>
      </c>
      <c r="AA14" s="3">
        <f>Z14/1000</f>
        <v>1566</v>
      </c>
    </row>
    <row r="15" spans="1:27" ht="12.75">
      <c r="A15" s="1" t="s">
        <v>9</v>
      </c>
      <c r="B15" s="29">
        <f>3596268+59189</f>
        <v>3655457</v>
      </c>
      <c r="C15" s="38">
        <f>5289481+85062</f>
        <v>5374543</v>
      </c>
      <c r="D15" s="15">
        <f>656867+81479</f>
        <v>738346</v>
      </c>
      <c r="E15" s="15">
        <v>5295960</v>
      </c>
      <c r="F15" s="85">
        <v>4257488</v>
      </c>
      <c r="G15" s="1">
        <v>5362580</v>
      </c>
      <c r="H15" s="1">
        <v>7883848</v>
      </c>
      <c r="I15" s="1">
        <v>5875640</v>
      </c>
      <c r="J15" s="1">
        <v>9409969</v>
      </c>
      <c r="K15" s="1">
        <v>6571893</v>
      </c>
      <c r="L15" s="16">
        <f>(K15-J15)*100/J15</f>
        <v>-30.2</v>
      </c>
      <c r="M15" s="17">
        <f>(K15-V15)*100/V15</f>
        <v>547.6</v>
      </c>
      <c r="N15" s="15">
        <v>1983450</v>
      </c>
      <c r="O15" s="15">
        <v>2028874</v>
      </c>
      <c r="P15" s="15">
        <v>2438845</v>
      </c>
      <c r="Q15" s="28">
        <v>2383626</v>
      </c>
      <c r="R15" s="28">
        <v>2404151</v>
      </c>
      <c r="S15" s="28">
        <v>2733527</v>
      </c>
      <c r="T15" s="28">
        <v>3388696</v>
      </c>
      <c r="U15" s="28">
        <v>3195741</v>
      </c>
      <c r="V15" s="28">
        <f>923066+91816</f>
        <v>1014882</v>
      </c>
      <c r="X15" s="181">
        <v>5127876.02</v>
      </c>
      <c r="Y15" s="181">
        <v>1444016.86</v>
      </c>
      <c r="Z15" s="3">
        <f>SUM(X15:Y15)</f>
        <v>6571893</v>
      </c>
      <c r="AA15" s="3">
        <f>Z15/1000</f>
        <v>6572</v>
      </c>
    </row>
    <row r="16" spans="1:27" ht="12.75">
      <c r="A16" s="1" t="s">
        <v>10</v>
      </c>
      <c r="B16" s="29">
        <f>669001+34821</f>
        <v>703822</v>
      </c>
      <c r="C16" s="38">
        <f>690103+30634</f>
        <v>720737</v>
      </c>
      <c r="D16" s="15">
        <f>706996+34012</f>
        <v>741008</v>
      </c>
      <c r="E16" s="15">
        <v>580928</v>
      </c>
      <c r="F16" s="85">
        <v>698536</v>
      </c>
      <c r="G16" s="1">
        <v>636270</v>
      </c>
      <c r="H16" s="1">
        <v>940586</v>
      </c>
      <c r="I16" s="1">
        <v>1103933</v>
      </c>
      <c r="J16" s="1">
        <v>902856</v>
      </c>
      <c r="K16" s="1">
        <v>1249910</v>
      </c>
      <c r="L16" s="16">
        <f>(K16-J16)*100/J16</f>
        <v>38.4</v>
      </c>
      <c r="M16" s="17">
        <f>(K16-V16)*100/V16</f>
        <v>60.5</v>
      </c>
      <c r="N16" s="15">
        <v>299012</v>
      </c>
      <c r="O16" s="15">
        <v>311121</v>
      </c>
      <c r="P16" s="15">
        <v>299153</v>
      </c>
      <c r="Q16" s="28">
        <v>334940</v>
      </c>
      <c r="R16" s="28">
        <v>391056</v>
      </c>
      <c r="S16" s="28">
        <v>445162</v>
      </c>
      <c r="T16" s="28">
        <v>521214</v>
      </c>
      <c r="U16" s="28">
        <v>601034</v>
      </c>
      <c r="V16" s="28">
        <f>776345+2458</f>
        <v>778803</v>
      </c>
      <c r="X16" s="181">
        <v>917463.34</v>
      </c>
      <c r="Y16" s="185">
        <v>332447.1</v>
      </c>
      <c r="Z16" s="3">
        <f>SUM(X16:Y16)</f>
        <v>1249910</v>
      </c>
      <c r="AA16" s="3">
        <f>Z16/1000</f>
        <v>1250</v>
      </c>
    </row>
    <row r="17" spans="2:25" ht="12.75">
      <c r="B17" s="29"/>
      <c r="C17" s="38"/>
      <c r="D17" s="15"/>
      <c r="E17" s="15"/>
      <c r="F17" s="85">
        <v>0</v>
      </c>
      <c r="L17" s="16"/>
      <c r="M17" s="17"/>
      <c r="N17" s="15"/>
      <c r="P17" s="15"/>
      <c r="Q17" s="28"/>
      <c r="R17" s="28"/>
      <c r="S17" s="28"/>
      <c r="T17" s="28"/>
      <c r="U17" s="28"/>
      <c r="V17" s="28"/>
      <c r="X17" s="103"/>
      <c r="Y17" s="187"/>
    </row>
    <row r="18" spans="1:27" ht="12.75">
      <c r="A18" s="1" t="s">
        <v>11</v>
      </c>
      <c r="B18" s="29">
        <f>389726+16900</f>
        <v>406626</v>
      </c>
      <c r="C18" s="38">
        <f>358427+5877</f>
        <v>364304</v>
      </c>
      <c r="D18" s="15">
        <f>227580+5274</f>
        <v>232854</v>
      </c>
      <c r="E18" s="15">
        <v>318086</v>
      </c>
      <c r="F18" s="85">
        <v>259011</v>
      </c>
      <c r="G18" s="1">
        <v>148674</v>
      </c>
      <c r="H18" s="1">
        <v>298609</v>
      </c>
      <c r="I18" s="1">
        <v>301392</v>
      </c>
      <c r="J18" s="1">
        <v>77348</v>
      </c>
      <c r="K18" s="1">
        <v>218757</v>
      </c>
      <c r="L18" s="16">
        <f>(K18-J18)*100/J18</f>
        <v>182.8</v>
      </c>
      <c r="M18" s="17">
        <f>(K18-V18)*100/V18</f>
        <v>-36.1</v>
      </c>
      <c r="N18" s="15">
        <v>110769</v>
      </c>
      <c r="O18" s="15">
        <v>178969</v>
      </c>
      <c r="P18" s="15">
        <v>80672</v>
      </c>
      <c r="Q18" s="28">
        <v>215012</v>
      </c>
      <c r="R18" s="28">
        <v>271745</v>
      </c>
      <c r="S18" s="28">
        <v>275312</v>
      </c>
      <c r="T18" s="28">
        <v>319483</v>
      </c>
      <c r="U18" s="28">
        <v>251072</v>
      </c>
      <c r="V18" s="28">
        <f>324479+17882</f>
        <v>342361</v>
      </c>
      <c r="X18" s="185">
        <v>136752.56</v>
      </c>
      <c r="Y18" s="185">
        <v>82004.19</v>
      </c>
      <c r="Z18" s="3">
        <f>SUM(X18:Y18)</f>
        <v>218757</v>
      </c>
      <c r="AA18" s="3">
        <f>Z18/1000</f>
        <v>219</v>
      </c>
    </row>
    <row r="19" spans="1:27" ht="12.75">
      <c r="A19" s="1" t="s">
        <v>12</v>
      </c>
      <c r="B19" s="29">
        <f>786476+24737</f>
        <v>811213</v>
      </c>
      <c r="C19" s="38">
        <f>1174873+36333</f>
        <v>1211206</v>
      </c>
      <c r="D19" s="15">
        <f>476446+23125</f>
        <v>499571</v>
      </c>
      <c r="E19" s="15">
        <v>870324</v>
      </c>
      <c r="F19" s="85">
        <v>719098</v>
      </c>
      <c r="G19" s="1">
        <v>1172462</v>
      </c>
      <c r="H19" s="1">
        <v>874649</v>
      </c>
      <c r="I19" s="1">
        <v>984398</v>
      </c>
      <c r="J19" s="1">
        <v>1487827</v>
      </c>
      <c r="K19" s="1">
        <v>2007741</v>
      </c>
      <c r="L19" s="16">
        <f>(K19-J19)*100/J19</f>
        <v>34.9</v>
      </c>
      <c r="M19" s="17">
        <f>(K19-V19)*100/V19</f>
        <v>157.7</v>
      </c>
      <c r="N19" s="15">
        <v>463061</v>
      </c>
      <c r="O19" s="15">
        <v>492295</v>
      </c>
      <c r="P19" s="15">
        <v>501479</v>
      </c>
      <c r="Q19" s="28">
        <v>604270</v>
      </c>
      <c r="R19" s="28">
        <v>658629</v>
      </c>
      <c r="S19" s="28">
        <v>662321</v>
      </c>
      <c r="T19" s="28">
        <v>720849</v>
      </c>
      <c r="U19" s="28">
        <v>772193</v>
      </c>
      <c r="V19" s="28">
        <f>755434+23748</f>
        <v>779182</v>
      </c>
      <c r="X19" s="181">
        <v>1540431.66</v>
      </c>
      <c r="Y19" s="103">
        <v>467309.6</v>
      </c>
      <c r="Z19" s="3">
        <f>SUM(X19:Y19)</f>
        <v>2007741</v>
      </c>
      <c r="AA19" s="3">
        <f>Z19/1000</f>
        <v>2008</v>
      </c>
    </row>
    <row r="20" spans="1:27" ht="12.75">
      <c r="A20" s="1" t="s">
        <v>13</v>
      </c>
      <c r="B20" s="29">
        <f>467886+27201</f>
        <v>495087</v>
      </c>
      <c r="C20" s="38">
        <f>461194+29216</f>
        <v>490410</v>
      </c>
      <c r="D20" s="15">
        <f>437573+35946</f>
        <v>473519</v>
      </c>
      <c r="E20" s="15">
        <v>414048</v>
      </c>
      <c r="F20" s="85">
        <v>577789</v>
      </c>
      <c r="G20" s="1">
        <v>766152</v>
      </c>
      <c r="H20" s="1">
        <v>459429</v>
      </c>
      <c r="I20" s="1">
        <v>525496</v>
      </c>
      <c r="J20" s="1">
        <v>664994</v>
      </c>
      <c r="K20" s="1">
        <v>1126656</v>
      </c>
      <c r="L20" s="16">
        <f>(K20-J20)*100/J20</f>
        <v>69.4</v>
      </c>
      <c r="M20" s="17">
        <f>(K20-V20)*100/V20</f>
        <v>162.7</v>
      </c>
      <c r="N20" s="15">
        <v>345992</v>
      </c>
      <c r="O20" s="15">
        <v>247733</v>
      </c>
      <c r="P20" s="15">
        <v>196257</v>
      </c>
      <c r="Q20" s="28">
        <v>442048</v>
      </c>
      <c r="R20" s="28">
        <v>472914</v>
      </c>
      <c r="S20" s="28">
        <v>506597</v>
      </c>
      <c r="T20" s="28">
        <v>407346</v>
      </c>
      <c r="U20" s="28">
        <v>716046</v>
      </c>
      <c r="V20" s="28">
        <f>400311+28640</f>
        <v>428951</v>
      </c>
      <c r="X20" s="181">
        <v>823183.22</v>
      </c>
      <c r="Y20" s="103">
        <v>303472.29</v>
      </c>
      <c r="Z20" s="3">
        <f>SUM(X20:Y20)</f>
        <v>1126656</v>
      </c>
      <c r="AA20" s="3">
        <f>Z20/1000</f>
        <v>1127</v>
      </c>
    </row>
    <row r="21" spans="1:27" ht="12.75">
      <c r="A21" s="1" t="s">
        <v>14</v>
      </c>
      <c r="B21" s="29">
        <f>488256+7452</f>
        <v>495708</v>
      </c>
      <c r="C21" s="38">
        <f>515153+8091</f>
        <v>523244</v>
      </c>
      <c r="D21" s="15">
        <f>603132+1840</f>
        <v>604972</v>
      </c>
      <c r="E21" s="15">
        <v>698150</v>
      </c>
      <c r="F21" s="85">
        <v>739608</v>
      </c>
      <c r="G21" s="1">
        <v>865474</v>
      </c>
      <c r="H21" s="1">
        <v>1681582</v>
      </c>
      <c r="I21" s="1">
        <v>561420</v>
      </c>
      <c r="J21" s="1">
        <v>626796</v>
      </c>
      <c r="K21" s="1">
        <v>1025170</v>
      </c>
      <c r="L21" s="16">
        <f>(K21-J21)*100/J21</f>
        <v>63.6</v>
      </c>
      <c r="M21" s="17">
        <f>(K21-V21)*100/V21</f>
        <v>87.6</v>
      </c>
      <c r="N21" s="15">
        <v>269864</v>
      </c>
      <c r="O21" s="15">
        <v>353184</v>
      </c>
      <c r="P21" s="15">
        <v>459569</v>
      </c>
      <c r="Q21" s="28">
        <v>541517</v>
      </c>
      <c r="R21" s="28">
        <v>558770</v>
      </c>
      <c r="S21" s="28">
        <v>677026</v>
      </c>
      <c r="T21" s="28">
        <v>703354</v>
      </c>
      <c r="U21" s="28">
        <v>531559</v>
      </c>
      <c r="V21" s="28">
        <f>545626+834</f>
        <v>546460</v>
      </c>
      <c r="X21" s="181">
        <v>805421.47</v>
      </c>
      <c r="Y21" s="103">
        <v>219748.14</v>
      </c>
      <c r="Z21" s="3">
        <f>SUM(X21:Y21)</f>
        <v>1025170</v>
      </c>
      <c r="AA21" s="3">
        <f>Z21/1000</f>
        <v>1025</v>
      </c>
    </row>
    <row r="22" spans="1:27" ht="12.75">
      <c r="A22" s="1" t="s">
        <v>15</v>
      </c>
      <c r="B22" s="29">
        <f>159167+597</f>
        <v>159764</v>
      </c>
      <c r="C22" s="38">
        <f>189727+5949</f>
        <v>195676</v>
      </c>
      <c r="D22" s="15">
        <f>142076+215</f>
        <v>142291</v>
      </c>
      <c r="E22" s="15">
        <v>164467</v>
      </c>
      <c r="F22" s="85">
        <v>71120</v>
      </c>
      <c r="G22" s="1">
        <v>50105</v>
      </c>
      <c r="H22" s="1">
        <v>139802</v>
      </c>
      <c r="I22" s="1">
        <v>84029</v>
      </c>
      <c r="J22" s="1">
        <v>0</v>
      </c>
      <c r="K22" s="1">
        <v>111998</v>
      </c>
      <c r="L22" s="182" t="s">
        <v>143</v>
      </c>
      <c r="M22" s="17">
        <f>(K22-V22)*100/V22</f>
        <v>8.8</v>
      </c>
      <c r="N22" s="15">
        <v>32279</v>
      </c>
      <c r="O22" s="15">
        <v>48824</v>
      </c>
      <c r="P22" s="15">
        <v>46292</v>
      </c>
      <c r="Q22" s="28">
        <v>57848</v>
      </c>
      <c r="R22" s="28">
        <v>50693</v>
      </c>
      <c r="S22" s="28">
        <v>53137</v>
      </c>
      <c r="T22" s="28">
        <v>55907</v>
      </c>
      <c r="U22" s="28">
        <v>79573</v>
      </c>
      <c r="V22" s="28">
        <f>101982+979</f>
        <v>102961</v>
      </c>
      <c r="X22" s="186">
        <v>31068</v>
      </c>
      <c r="Y22" s="103">
        <v>80930.41</v>
      </c>
      <c r="Z22" s="3">
        <f>SUM(X22:Y22)</f>
        <v>111998</v>
      </c>
      <c r="AA22" s="3">
        <f>Z22/1000</f>
        <v>112</v>
      </c>
    </row>
    <row r="23" spans="2:25" ht="12.75">
      <c r="B23" s="29"/>
      <c r="C23" s="38"/>
      <c r="D23" s="15"/>
      <c r="E23" s="15"/>
      <c r="F23" s="85">
        <v>0</v>
      </c>
      <c r="L23" s="16"/>
      <c r="M23" s="17"/>
      <c r="N23" s="15"/>
      <c r="P23" s="15"/>
      <c r="Q23" s="28"/>
      <c r="R23" s="28"/>
      <c r="S23" s="28"/>
      <c r="T23" s="28"/>
      <c r="U23" s="28"/>
      <c r="V23" s="28"/>
      <c r="X23" s="103"/>
      <c r="Y23" s="103"/>
    </row>
    <row r="24" spans="1:27" ht="12.75">
      <c r="A24" s="1" t="s">
        <v>16</v>
      </c>
      <c r="B24" s="29">
        <f>446399+9786</f>
        <v>456185</v>
      </c>
      <c r="C24" s="38">
        <f>677994+13767</f>
        <v>691761</v>
      </c>
      <c r="D24" s="15">
        <f>748084+27885</f>
        <v>775969</v>
      </c>
      <c r="E24" s="15">
        <v>690735</v>
      </c>
      <c r="F24" s="85">
        <v>937324</v>
      </c>
      <c r="G24" s="1">
        <v>1170212</v>
      </c>
      <c r="H24" s="1">
        <v>679359</v>
      </c>
      <c r="I24" s="1">
        <v>1389324</v>
      </c>
      <c r="J24" s="1">
        <v>1904373</v>
      </c>
      <c r="K24" s="1">
        <v>2145139</v>
      </c>
      <c r="L24" s="16">
        <f>(K24-J24)*100/J24</f>
        <v>12.6</v>
      </c>
      <c r="M24" s="17">
        <f>(K24-V24)*100/V24</f>
        <v>210.8</v>
      </c>
      <c r="N24" s="15">
        <v>483116</v>
      </c>
      <c r="O24" s="15">
        <v>457600</v>
      </c>
      <c r="P24" s="15">
        <v>582306</v>
      </c>
      <c r="Q24" s="28">
        <v>638836</v>
      </c>
      <c r="R24" s="28">
        <v>760284</v>
      </c>
      <c r="S24" s="28">
        <v>769689</v>
      </c>
      <c r="T24" s="28">
        <v>908445</v>
      </c>
      <c r="U24" s="28">
        <v>851988</v>
      </c>
      <c r="V24" s="28">
        <f>669856+20447</f>
        <v>690303</v>
      </c>
      <c r="X24" s="181">
        <v>1759951.16</v>
      </c>
      <c r="Y24" s="103">
        <v>385187.63</v>
      </c>
      <c r="Z24" s="3">
        <f>SUM(X24:Y24)</f>
        <v>2145139</v>
      </c>
      <c r="AA24" s="3">
        <f>Z24/1000</f>
        <v>2145</v>
      </c>
    </row>
    <row r="25" spans="1:27" ht="12.75">
      <c r="A25" s="1" t="s">
        <v>17</v>
      </c>
      <c r="B25" s="29">
        <f>223361+1125</f>
        <v>224486</v>
      </c>
      <c r="C25" s="38">
        <f>176481+3700</f>
        <v>180181</v>
      </c>
      <c r="D25" s="15">
        <f>120811+5028</f>
        <v>125839</v>
      </c>
      <c r="E25" s="15">
        <v>165007</v>
      </c>
      <c r="F25" s="85">
        <v>157773</v>
      </c>
      <c r="G25" s="1">
        <v>157649</v>
      </c>
      <c r="H25" s="1">
        <v>269768</v>
      </c>
      <c r="I25" s="1">
        <v>374280</v>
      </c>
      <c r="J25" s="1">
        <v>527022</v>
      </c>
      <c r="K25" s="1">
        <v>513426</v>
      </c>
      <c r="L25" s="16">
        <f>(K25-J25)*100/J25</f>
        <v>-2.6</v>
      </c>
      <c r="M25" s="17">
        <f>(K25-V25)*100/V25</f>
        <v>120.2</v>
      </c>
      <c r="N25" s="15">
        <v>117492</v>
      </c>
      <c r="O25" s="15">
        <v>143450</v>
      </c>
      <c r="P25" s="15">
        <v>181865</v>
      </c>
      <c r="Q25" s="28">
        <v>188967</v>
      </c>
      <c r="R25" s="28">
        <v>84860</v>
      </c>
      <c r="S25" s="28">
        <v>164081</v>
      </c>
      <c r="T25" s="28">
        <v>100890</v>
      </c>
      <c r="U25" s="28">
        <v>241388</v>
      </c>
      <c r="V25" s="28">
        <f>229511+3611</f>
        <v>233122</v>
      </c>
      <c r="X25" s="181">
        <v>451828.16</v>
      </c>
      <c r="Y25" s="185">
        <v>61598.23</v>
      </c>
      <c r="Z25" s="3">
        <f>SUM(X25:Y25)</f>
        <v>513426</v>
      </c>
      <c r="AA25" s="3">
        <f>Z25/1000</f>
        <v>513</v>
      </c>
    </row>
    <row r="26" spans="1:27" ht="12.75">
      <c r="A26" s="1" t="s">
        <v>18</v>
      </c>
      <c r="B26" s="29">
        <f>1934472+58482</f>
        <v>1992954</v>
      </c>
      <c r="C26" s="38">
        <f>2104608+38635</f>
        <v>2143243</v>
      </c>
      <c r="D26" s="15">
        <f>2136146+38014</f>
        <v>2174160</v>
      </c>
      <c r="E26" s="15">
        <v>1958716</v>
      </c>
      <c r="F26" s="85">
        <v>1744082</v>
      </c>
      <c r="G26" s="1">
        <v>1725233</v>
      </c>
      <c r="H26" s="1">
        <v>1688699</v>
      </c>
      <c r="I26" s="1">
        <v>2265427</v>
      </c>
      <c r="J26" s="1">
        <v>2579907</v>
      </c>
      <c r="K26" s="1">
        <v>1332311</v>
      </c>
      <c r="L26" s="16">
        <f>(K26-J26)*100/J26</f>
        <v>-48.4</v>
      </c>
      <c r="M26" s="17">
        <f>(K26-V26)*100/V26</f>
        <v>-25.5</v>
      </c>
      <c r="N26" s="15">
        <v>906186</v>
      </c>
      <c r="O26" s="15">
        <v>871164</v>
      </c>
      <c r="P26" s="15">
        <v>1055055</v>
      </c>
      <c r="Q26" s="28">
        <v>1080419</v>
      </c>
      <c r="R26" s="28">
        <v>1244340</v>
      </c>
      <c r="S26" s="28">
        <v>1349267</v>
      </c>
      <c r="T26" s="28">
        <v>1398153</v>
      </c>
      <c r="U26" s="28">
        <v>1524620</v>
      </c>
      <c r="V26" s="28">
        <f>1751600+37515</f>
        <v>1789115</v>
      </c>
      <c r="X26" s="181">
        <v>1094528.38</v>
      </c>
      <c r="Y26" s="185">
        <v>237782.17</v>
      </c>
      <c r="Z26" s="3">
        <f>SUM(X26:Y26)</f>
        <v>1332311</v>
      </c>
      <c r="AA26" s="3">
        <f>Z26/1000</f>
        <v>1332</v>
      </c>
    </row>
    <row r="27" spans="1:27" ht="12.75">
      <c r="A27" s="1" t="s">
        <v>19</v>
      </c>
      <c r="B27" s="29">
        <f>1643191+1011</f>
        <v>1644202</v>
      </c>
      <c r="C27" s="38">
        <f>887594+3445</f>
        <v>891039</v>
      </c>
      <c r="D27" s="15">
        <f>1481997+5683</f>
        <v>1487680</v>
      </c>
      <c r="E27" s="15">
        <v>939861</v>
      </c>
      <c r="F27" s="85">
        <v>1444500</v>
      </c>
      <c r="G27" s="1">
        <v>1555843</v>
      </c>
      <c r="H27" s="1">
        <v>1831046</v>
      </c>
      <c r="I27" s="1">
        <v>2384530</v>
      </c>
      <c r="J27" s="1">
        <v>2423021</v>
      </c>
      <c r="K27" s="1">
        <v>2199975</v>
      </c>
      <c r="L27" s="16">
        <f>(K27-J27)*100/J27</f>
        <v>-9.2</v>
      </c>
      <c r="M27" s="17">
        <f>(K27-V27)*100/V27</f>
        <v>131.9</v>
      </c>
      <c r="N27" s="15">
        <v>730863</v>
      </c>
      <c r="O27" s="15">
        <v>734168</v>
      </c>
      <c r="P27" s="15">
        <v>721680</v>
      </c>
      <c r="Q27" s="28">
        <v>767942</v>
      </c>
      <c r="R27" s="28">
        <v>983439</v>
      </c>
      <c r="S27" s="28">
        <v>1329553</v>
      </c>
      <c r="T27" s="28">
        <v>2315667</v>
      </c>
      <c r="U27" s="28">
        <v>1510726</v>
      </c>
      <c r="V27" s="28">
        <f>923347+25329</f>
        <v>948676</v>
      </c>
      <c r="X27" s="181">
        <v>985997.54</v>
      </c>
      <c r="Y27" s="185">
        <v>1213977.65</v>
      </c>
      <c r="Z27" s="3">
        <f>SUM(X27:Y27)</f>
        <v>2199975</v>
      </c>
      <c r="AA27" s="3">
        <f>Z27/1000</f>
        <v>2200</v>
      </c>
    </row>
    <row r="28" spans="1:27" ht="12.75">
      <c r="A28" s="1" t="s">
        <v>20</v>
      </c>
      <c r="B28" s="29">
        <f>183858+809</f>
        <v>184667</v>
      </c>
      <c r="C28" s="38">
        <f>176141+6339</f>
        <v>182480</v>
      </c>
      <c r="D28" s="15">
        <f>126916+538</f>
        <v>127454</v>
      </c>
      <c r="E28" s="15">
        <v>203940</v>
      </c>
      <c r="F28" s="85">
        <v>122815</v>
      </c>
      <c r="G28" s="1">
        <v>156085</v>
      </c>
      <c r="H28" s="1">
        <v>124063</v>
      </c>
      <c r="I28" s="1">
        <v>170097</v>
      </c>
      <c r="J28" s="1">
        <v>145732</v>
      </c>
      <c r="K28" s="1">
        <v>165957</v>
      </c>
      <c r="L28" s="16">
        <f>(K28-J28)*100/J28</f>
        <v>13.9</v>
      </c>
      <c r="M28" s="17">
        <f>(K28-V28)*100/V28</f>
        <v>78.3</v>
      </c>
      <c r="N28" s="15">
        <v>70027</v>
      </c>
      <c r="O28" s="15">
        <v>67229</v>
      </c>
      <c r="P28" s="28">
        <v>67061</v>
      </c>
      <c r="Q28" s="28">
        <v>78565</v>
      </c>
      <c r="R28" s="28">
        <v>80239</v>
      </c>
      <c r="S28" s="28">
        <v>78324</v>
      </c>
      <c r="T28" s="28">
        <v>79877</v>
      </c>
      <c r="U28" s="28">
        <v>92304</v>
      </c>
      <c r="V28" s="28">
        <f>92298+763</f>
        <v>93061</v>
      </c>
      <c r="X28" s="181">
        <v>126625.95</v>
      </c>
      <c r="Y28" s="185">
        <v>39331.21</v>
      </c>
      <c r="Z28" s="3">
        <f>SUM(X28:Y28)</f>
        <v>165957</v>
      </c>
      <c r="AA28" s="3">
        <f>Z28/1000</f>
        <v>166</v>
      </c>
    </row>
    <row r="29" spans="2:25" ht="12.75">
      <c r="B29" s="29"/>
      <c r="C29" s="38"/>
      <c r="D29" s="15"/>
      <c r="E29" s="15"/>
      <c r="F29" s="85">
        <v>0</v>
      </c>
      <c r="L29" s="16"/>
      <c r="M29" s="17"/>
      <c r="N29" s="15"/>
      <c r="O29" s="15"/>
      <c r="Q29" s="28"/>
      <c r="R29" s="28"/>
      <c r="S29" s="28"/>
      <c r="T29" s="28"/>
      <c r="U29" s="28"/>
      <c r="V29" s="28"/>
      <c r="X29" s="103"/>
      <c r="Y29" s="185"/>
    </row>
    <row r="30" spans="1:27" ht="12.75">
      <c r="A30" s="1" t="s">
        <v>21</v>
      </c>
      <c r="B30" s="29">
        <f>3229337+109140</f>
        <v>3338477</v>
      </c>
      <c r="C30" s="38">
        <f>3019090+112164</f>
        <v>3131254</v>
      </c>
      <c r="D30" s="15">
        <f>2791494+143846</f>
        <v>2935340</v>
      </c>
      <c r="E30" s="15">
        <v>3107903</v>
      </c>
      <c r="F30" s="85">
        <v>3612660</v>
      </c>
      <c r="G30" s="1">
        <v>5184430</v>
      </c>
      <c r="H30" s="1">
        <v>5581741</v>
      </c>
      <c r="I30" s="1">
        <v>5410880</v>
      </c>
      <c r="J30" s="1">
        <v>5636743</v>
      </c>
      <c r="K30" s="1">
        <v>7395802</v>
      </c>
      <c r="L30" s="16">
        <f>(K30-J30)*100/J30</f>
        <v>31.2</v>
      </c>
      <c r="M30" s="17">
        <f>(K30-V30)*100/V30</f>
        <v>130.6</v>
      </c>
      <c r="N30" s="15">
        <v>1882887</v>
      </c>
      <c r="O30" s="15">
        <v>2149367</v>
      </c>
      <c r="P30" s="28">
        <v>2343447</v>
      </c>
      <c r="Q30" s="28">
        <v>2432657</v>
      </c>
      <c r="R30" s="28">
        <v>2769817</v>
      </c>
      <c r="S30" s="28">
        <v>2849850</v>
      </c>
      <c r="T30" s="28">
        <v>3107873</v>
      </c>
      <c r="U30" s="28">
        <v>2591508</v>
      </c>
      <c r="V30" s="28">
        <f>3115533+92320</f>
        <v>3207853</v>
      </c>
      <c r="X30" s="181">
        <v>5622528</v>
      </c>
      <c r="Y30" s="185">
        <v>1773274.43</v>
      </c>
      <c r="Z30" s="3">
        <f>SUM(X30:Y30)</f>
        <v>7395802</v>
      </c>
      <c r="AA30" s="3">
        <f>Z30/1000</f>
        <v>7396</v>
      </c>
    </row>
    <row r="31" spans="1:27" ht="12.75">
      <c r="A31" s="1" t="s">
        <v>22</v>
      </c>
      <c r="B31" s="29">
        <f>3223358+43152</f>
        <v>3266510</v>
      </c>
      <c r="C31" s="38">
        <f>3788312+51961</f>
        <v>3840273</v>
      </c>
      <c r="D31" s="15">
        <f>4520624+47642</f>
        <v>4568266</v>
      </c>
      <c r="E31" s="15">
        <v>4414646</v>
      </c>
      <c r="F31" s="85">
        <v>4213500</v>
      </c>
      <c r="G31" s="1">
        <v>7683866</v>
      </c>
      <c r="H31" s="1">
        <v>9930859</v>
      </c>
      <c r="I31" s="1">
        <v>11279008</v>
      </c>
      <c r="J31" s="1">
        <v>10845388</v>
      </c>
      <c r="K31" s="1">
        <v>13689387</v>
      </c>
      <c r="L31" s="16">
        <f>(K31-J31)*100/J31</f>
        <v>26.2</v>
      </c>
      <c r="M31" s="17">
        <f>(K31-V31)*100/V31</f>
        <v>270</v>
      </c>
      <c r="N31" s="15">
        <v>2111128</v>
      </c>
      <c r="O31" s="15">
        <v>2607329</v>
      </c>
      <c r="P31" s="28">
        <v>2617989</v>
      </c>
      <c r="Q31" s="28">
        <v>3229397</v>
      </c>
      <c r="R31" s="28">
        <v>2855706</v>
      </c>
      <c r="S31" s="28">
        <v>3723673</v>
      </c>
      <c r="T31" s="28">
        <v>3193729</v>
      </c>
      <c r="U31" s="28">
        <v>3737190</v>
      </c>
      <c r="V31" s="28">
        <f>3662515+37779</f>
        <v>3700294</v>
      </c>
      <c r="X31" s="181">
        <v>12985703</v>
      </c>
      <c r="Y31" s="185">
        <v>703683.68</v>
      </c>
      <c r="Z31" s="3">
        <f>SUM(X31:Y31)</f>
        <v>13689387</v>
      </c>
      <c r="AA31" s="3">
        <f>Z31/1000</f>
        <v>13689</v>
      </c>
    </row>
    <row r="32" spans="1:27" ht="12.75">
      <c r="A32" s="1" t="s">
        <v>23</v>
      </c>
      <c r="B32" s="29">
        <f>194734+7454</f>
        <v>202188</v>
      </c>
      <c r="C32" s="38">
        <f>158232+5273</f>
        <v>163505</v>
      </c>
      <c r="D32" s="15">
        <f>193552+7791</f>
        <v>201343</v>
      </c>
      <c r="E32" s="15">
        <v>342054</v>
      </c>
      <c r="F32" s="85">
        <v>259230</v>
      </c>
      <c r="G32" s="1">
        <v>345123</v>
      </c>
      <c r="H32" s="1">
        <v>360118</v>
      </c>
      <c r="I32" s="1">
        <v>291527</v>
      </c>
      <c r="J32" s="1">
        <v>553069</v>
      </c>
      <c r="K32" s="1">
        <v>823185</v>
      </c>
      <c r="L32" s="16">
        <f>(K32-J32)*100/J32</f>
        <v>48.8</v>
      </c>
      <c r="M32" s="17">
        <f>(K32-V32)*100/V32</f>
        <v>268.8</v>
      </c>
      <c r="N32" s="15">
        <v>109656</v>
      </c>
      <c r="O32" s="15">
        <v>374980</v>
      </c>
      <c r="P32" s="28">
        <v>383380</v>
      </c>
      <c r="Q32" s="28">
        <v>188152</v>
      </c>
      <c r="R32" s="28">
        <v>237176</v>
      </c>
      <c r="S32" s="28">
        <v>155023</v>
      </c>
      <c r="T32" s="28">
        <v>146482</v>
      </c>
      <c r="U32" s="28">
        <v>201010</v>
      </c>
      <c r="V32" s="28">
        <f>215760+7423</f>
        <v>223183</v>
      </c>
      <c r="X32" s="181">
        <v>678152.24</v>
      </c>
      <c r="Y32" s="185">
        <v>145032.6</v>
      </c>
      <c r="Z32" s="3">
        <f>SUM(X32:Y32)</f>
        <v>823185</v>
      </c>
      <c r="AA32" s="3">
        <f>Z32/1000</f>
        <v>823</v>
      </c>
    </row>
    <row r="33" spans="1:27" ht="12.75">
      <c r="A33" s="1" t="s">
        <v>24</v>
      </c>
      <c r="B33" s="29">
        <f>349123+3577</f>
        <v>352700</v>
      </c>
      <c r="C33" s="38">
        <f>572318+3599</f>
        <v>575917</v>
      </c>
      <c r="D33" s="15">
        <f>281495+2930</f>
        <v>284425</v>
      </c>
      <c r="E33" s="15">
        <v>486269</v>
      </c>
      <c r="F33" s="85">
        <v>610723</v>
      </c>
      <c r="G33" s="1">
        <v>719622</v>
      </c>
      <c r="H33" s="1">
        <v>304162</v>
      </c>
      <c r="I33" s="1">
        <v>285120</v>
      </c>
      <c r="J33" s="1">
        <v>466585</v>
      </c>
      <c r="K33" s="1">
        <v>527626</v>
      </c>
      <c r="L33" s="16">
        <f>(K33-J33)*100/J33</f>
        <v>13.1</v>
      </c>
      <c r="M33" s="17">
        <f>(K33-V33)*100/V33</f>
        <v>27.1</v>
      </c>
      <c r="N33" s="15">
        <v>219996</v>
      </c>
      <c r="O33" s="15">
        <v>187161</v>
      </c>
      <c r="P33" s="28">
        <v>209906</v>
      </c>
      <c r="Q33" s="28">
        <v>279962</v>
      </c>
      <c r="R33" s="28">
        <v>394628</v>
      </c>
      <c r="S33" s="28">
        <v>403842</v>
      </c>
      <c r="T33" s="28">
        <v>538898</v>
      </c>
      <c r="U33" s="28">
        <v>515695</v>
      </c>
      <c r="V33" s="28">
        <f>411289+3985</f>
        <v>415274</v>
      </c>
      <c r="X33" s="181">
        <v>194705.93</v>
      </c>
      <c r="Y33" s="185">
        <v>332920.15</v>
      </c>
      <c r="Z33" s="3">
        <f>SUM(X33:Y33)</f>
        <v>527626</v>
      </c>
      <c r="AA33" s="3">
        <f>Z33/1000</f>
        <v>528</v>
      </c>
    </row>
    <row r="34" spans="1:27" ht="12.75">
      <c r="A34" s="1" t="s">
        <v>25</v>
      </c>
      <c r="B34" s="29">
        <v>97631</v>
      </c>
      <c r="C34" s="38">
        <v>131808</v>
      </c>
      <c r="D34" s="15">
        <v>119021</v>
      </c>
      <c r="E34" s="15">
        <v>86423</v>
      </c>
      <c r="F34" s="85">
        <v>288407</v>
      </c>
      <c r="G34" s="1">
        <v>170568</v>
      </c>
      <c r="H34" s="1">
        <v>170681</v>
      </c>
      <c r="I34" s="1">
        <v>210161</v>
      </c>
      <c r="J34" s="1">
        <v>167096</v>
      </c>
      <c r="K34" s="1">
        <v>272583</v>
      </c>
      <c r="L34" s="16">
        <f>(K34-J34)*100/J34</f>
        <v>63.1</v>
      </c>
      <c r="M34" s="17">
        <f>(K34-V34)*100/V34</f>
        <v>84.8</v>
      </c>
      <c r="N34" s="15">
        <v>62473</v>
      </c>
      <c r="O34" s="15">
        <v>66902</v>
      </c>
      <c r="P34" s="28">
        <v>62218</v>
      </c>
      <c r="Q34" s="28">
        <v>82022</v>
      </c>
      <c r="R34" s="28">
        <v>133107</v>
      </c>
      <c r="S34" s="28">
        <v>87005</v>
      </c>
      <c r="T34" s="28">
        <v>118429</v>
      </c>
      <c r="U34" s="28">
        <v>117973</v>
      </c>
      <c r="V34" s="28">
        <v>147489</v>
      </c>
      <c r="X34" s="181">
        <v>231620.35</v>
      </c>
      <c r="Y34" s="185">
        <v>40962.6</v>
      </c>
      <c r="Z34" s="3">
        <f>SUM(X34:Y34)</f>
        <v>272583</v>
      </c>
      <c r="AA34" s="3">
        <f>Z34/1000</f>
        <v>273</v>
      </c>
    </row>
    <row r="35" spans="2:25" ht="12.75">
      <c r="B35" s="29"/>
      <c r="C35" s="38"/>
      <c r="D35" s="15"/>
      <c r="E35" s="15"/>
      <c r="F35" s="85">
        <v>0</v>
      </c>
      <c r="L35" s="16"/>
      <c r="M35" s="17"/>
      <c r="O35" s="15"/>
      <c r="P35" s="28"/>
      <c r="Q35" s="28"/>
      <c r="R35" s="28"/>
      <c r="S35" s="28"/>
      <c r="T35" s="28"/>
      <c r="U35" s="28"/>
      <c r="V35" s="28"/>
      <c r="X35" s="103"/>
      <c r="Y35" s="185"/>
    </row>
    <row r="36" spans="1:27" ht="12.75">
      <c r="A36" s="1" t="s">
        <v>26</v>
      </c>
      <c r="B36" s="29">
        <f>113375+576</f>
        <v>113951</v>
      </c>
      <c r="C36" s="38">
        <v>205583</v>
      </c>
      <c r="D36" s="15">
        <v>108056</v>
      </c>
      <c r="E36" s="15">
        <v>77308</v>
      </c>
      <c r="F36" s="85">
        <v>254153</v>
      </c>
      <c r="G36" s="1">
        <v>163221</v>
      </c>
      <c r="H36" s="1">
        <v>171119</v>
      </c>
      <c r="I36" s="1">
        <v>81052</v>
      </c>
      <c r="J36" s="1">
        <v>153465</v>
      </c>
      <c r="K36" s="1">
        <v>248480</v>
      </c>
      <c r="L36" s="16">
        <f>(K36-J36)*100/J36</f>
        <v>61.9</v>
      </c>
      <c r="M36" s="17">
        <f>(K36-V36)*100/V36</f>
        <v>159.2</v>
      </c>
      <c r="N36" s="15">
        <v>47758</v>
      </c>
      <c r="O36" s="15">
        <v>41689</v>
      </c>
      <c r="P36" s="28">
        <v>62674</v>
      </c>
      <c r="Q36" s="28">
        <v>115603</v>
      </c>
      <c r="R36" s="28">
        <v>67191</v>
      </c>
      <c r="S36" s="28">
        <v>89180</v>
      </c>
      <c r="T36" s="28">
        <v>152822</v>
      </c>
      <c r="U36" s="28">
        <v>54399</v>
      </c>
      <c r="V36" s="28">
        <f>95767+92</f>
        <v>95859</v>
      </c>
      <c r="X36" s="181">
        <v>151782.85</v>
      </c>
      <c r="Y36" s="185">
        <v>96697.2</v>
      </c>
      <c r="Z36" s="3">
        <f>SUM(X36:Y36)</f>
        <v>248480</v>
      </c>
      <c r="AA36" s="3">
        <f>Z36/1000</f>
        <v>248</v>
      </c>
    </row>
    <row r="37" spans="1:27" ht="12.75">
      <c r="A37" s="1" t="s">
        <v>27</v>
      </c>
      <c r="B37" s="29">
        <v>716432</v>
      </c>
      <c r="C37" s="38">
        <v>700384</v>
      </c>
      <c r="D37" s="15">
        <v>607790</v>
      </c>
      <c r="E37" s="15">
        <v>818586</v>
      </c>
      <c r="F37" s="85">
        <v>1183676</v>
      </c>
      <c r="G37" s="1">
        <v>692124</v>
      </c>
      <c r="H37" s="1">
        <v>724550</v>
      </c>
      <c r="I37" s="1">
        <v>675768</v>
      </c>
      <c r="J37" s="1">
        <v>618174</v>
      </c>
      <c r="K37" s="1">
        <v>1171571</v>
      </c>
      <c r="L37" s="16">
        <f>(K37-J37)*100/J37</f>
        <v>89.5</v>
      </c>
      <c r="M37" s="17">
        <f>(K37-V37)*100/V37</f>
        <v>87.1</v>
      </c>
      <c r="N37" s="15">
        <v>317648</v>
      </c>
      <c r="O37" s="15">
        <v>247394</v>
      </c>
      <c r="P37" s="28">
        <v>305873</v>
      </c>
      <c r="Q37" s="28">
        <v>354754</v>
      </c>
      <c r="R37" s="28">
        <v>401453</v>
      </c>
      <c r="S37" s="28">
        <v>422858</v>
      </c>
      <c r="T37" s="28">
        <v>410393</v>
      </c>
      <c r="U37" s="28">
        <v>353038</v>
      </c>
      <c r="V37" s="28">
        <v>626062</v>
      </c>
      <c r="X37" s="181">
        <v>1049154.4</v>
      </c>
      <c r="Y37" s="185">
        <v>122416.99</v>
      </c>
      <c r="Z37" s="3">
        <f>SUM(X37:Y37)</f>
        <v>1171571</v>
      </c>
      <c r="AA37" s="3">
        <f>Z37/1000</f>
        <v>1172</v>
      </c>
    </row>
    <row r="38" spans="1:27" ht="12.75">
      <c r="A38" s="1" t="s">
        <v>28</v>
      </c>
      <c r="B38" s="29">
        <f>475380+4467</f>
        <v>479847</v>
      </c>
      <c r="C38" s="38">
        <f>510056+4106</f>
        <v>514162</v>
      </c>
      <c r="D38" s="15">
        <f>740924+3230</f>
        <v>744154</v>
      </c>
      <c r="E38" s="15">
        <v>787904</v>
      </c>
      <c r="F38" s="85">
        <v>890392</v>
      </c>
      <c r="G38" s="1">
        <v>779076</v>
      </c>
      <c r="H38" s="1">
        <v>858616</v>
      </c>
      <c r="I38" s="1">
        <v>933176</v>
      </c>
      <c r="J38" s="1">
        <v>748557</v>
      </c>
      <c r="K38" s="1">
        <v>1128373</v>
      </c>
      <c r="L38" s="16">
        <f>(K38-J38)*100/J38</f>
        <v>50.7</v>
      </c>
      <c r="M38" s="17">
        <f>(K38-V38)*100/V38</f>
        <v>141.1</v>
      </c>
      <c r="N38" s="15">
        <v>348158</v>
      </c>
      <c r="O38" s="15">
        <v>292779</v>
      </c>
      <c r="P38" s="28">
        <v>406633</v>
      </c>
      <c r="Q38" s="28">
        <v>469013</v>
      </c>
      <c r="R38" s="28">
        <v>399569</v>
      </c>
      <c r="S38" s="28">
        <v>675290</v>
      </c>
      <c r="T38" s="28">
        <v>469003</v>
      </c>
      <c r="U38" s="28">
        <v>230867</v>
      </c>
      <c r="V38" s="28">
        <f>463840+4197</f>
        <v>468037</v>
      </c>
      <c r="X38" s="181">
        <v>864238.99</v>
      </c>
      <c r="Y38" s="185">
        <v>264134.46</v>
      </c>
      <c r="Z38" s="3">
        <f>SUM(X38:Y38)</f>
        <v>1128373</v>
      </c>
      <c r="AA38" s="3">
        <f>Z38/1000</f>
        <v>1128</v>
      </c>
    </row>
    <row r="39" spans="1:27" ht="12.75">
      <c r="A39" s="18" t="s">
        <v>29</v>
      </c>
      <c r="B39" s="29">
        <f>248351+2780</f>
        <v>251131</v>
      </c>
      <c r="C39" s="38">
        <f>270233+554</f>
        <v>270787</v>
      </c>
      <c r="D39" s="15">
        <f>356168+37</f>
        <v>356205</v>
      </c>
      <c r="E39" s="15">
        <v>380330</v>
      </c>
      <c r="F39" s="85">
        <v>359253</v>
      </c>
      <c r="G39" s="1">
        <v>40503</v>
      </c>
      <c r="H39" s="1">
        <v>349042</v>
      </c>
      <c r="I39" s="1">
        <v>336829</v>
      </c>
      <c r="J39" s="1">
        <v>373545</v>
      </c>
      <c r="K39" s="1">
        <v>502910</v>
      </c>
      <c r="L39" s="16">
        <f>(K39-J39)*100/J39</f>
        <v>34.6</v>
      </c>
      <c r="M39" s="17">
        <f>(K39-V39)*100/V39</f>
        <v>27.4</v>
      </c>
      <c r="N39" s="15">
        <v>100647</v>
      </c>
      <c r="O39" s="15">
        <v>146331</v>
      </c>
      <c r="P39" s="28">
        <v>188313</v>
      </c>
      <c r="Q39" s="28">
        <v>188609</v>
      </c>
      <c r="R39" s="28">
        <v>212064</v>
      </c>
      <c r="S39" s="28">
        <v>277432</v>
      </c>
      <c r="T39" s="28">
        <v>269579</v>
      </c>
      <c r="U39" s="28">
        <v>310810</v>
      </c>
      <c r="V39" s="28">
        <f>389147+5636</f>
        <v>394783</v>
      </c>
      <c r="X39" s="120">
        <v>343560.37</v>
      </c>
      <c r="Y39" s="120">
        <v>159349.55</v>
      </c>
      <c r="Z39" s="3">
        <f>SUM(X39:Y39)</f>
        <v>502910</v>
      </c>
      <c r="AA39" s="3">
        <f>Z39/1000</f>
        <v>503</v>
      </c>
    </row>
    <row r="40" spans="1:22" ht="12.75">
      <c r="A40" s="1" t="s">
        <v>68</v>
      </c>
      <c r="B40" s="19"/>
      <c r="C40" s="19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9"/>
      <c r="P40" s="19"/>
      <c r="Q40" s="19"/>
      <c r="R40" s="19"/>
      <c r="V40" s="19"/>
    </row>
    <row r="41" spans="1:4" ht="12.75">
      <c r="A41" s="92" t="s">
        <v>127</v>
      </c>
      <c r="D41" s="15"/>
    </row>
    <row r="42" spans="1:22" ht="12.75">
      <c r="A42" s="3"/>
      <c r="C42" s="15"/>
      <c r="D42" s="15"/>
      <c r="P42" s="15"/>
      <c r="Q42" s="15"/>
      <c r="R42" s="15"/>
      <c r="V42" s="15"/>
    </row>
    <row r="43" spans="3:22" ht="12.75">
      <c r="C43" s="15"/>
      <c r="D43" s="15"/>
      <c r="P43" s="15"/>
      <c r="Q43" s="15"/>
      <c r="R43" s="15"/>
      <c r="V43" s="15"/>
    </row>
    <row r="44" spans="3:22" ht="12.75">
      <c r="C44" s="15"/>
      <c r="D44" s="15"/>
      <c r="P44" s="15"/>
      <c r="Q44" s="15"/>
      <c r="R44" s="15"/>
      <c r="V44" s="15"/>
    </row>
    <row r="45" spans="3:22" ht="12.75">
      <c r="C45" s="15"/>
      <c r="D45" s="15"/>
      <c r="P45" s="15"/>
      <c r="Q45" s="15"/>
      <c r="R45" s="15"/>
      <c r="V45" s="15"/>
    </row>
    <row r="46" spans="3:22" ht="12.75">
      <c r="C46" s="15"/>
      <c r="D46" s="15"/>
      <c r="P46" s="15"/>
      <c r="Q46" s="15"/>
      <c r="R46" s="15"/>
      <c r="V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ht="12.75">
      <c r="D52" s="15"/>
    </row>
    <row r="53" ht="12.75">
      <c r="D53" s="15"/>
    </row>
  </sheetData>
  <mergeCells count="1">
    <mergeCell ref="L7:M7"/>
  </mergeCells>
  <printOptions/>
  <pageMargins left="0.56" right="0.54" top="1" bottom="1" header="0.5" footer="0.5"/>
  <pageSetup fitToHeight="1" fitToWidth="1" orientation="landscape" scale="77" r:id="rId1"/>
  <headerFooter alignWithMargins="0">
    <oddFooter>&amp;L&amp;"Lucida Sans,Italic"&amp;10MSDE-DBS  11/ 2004&amp;C- 13 -&amp;R&amp;"Lucida Sans,Italic"&amp;10Selected Financial Data - Part 4</oddFooter>
  </headerFooter>
  <rowBreaks count="1" manualBreakCount="1"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workbookViewId="0" topLeftCell="I1">
      <selection activeCell="N5" sqref="N5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3" width="6.625" style="1" customWidth="1"/>
    <col min="14" max="14" width="9.375" style="1" bestFit="1" customWidth="1"/>
    <col min="15" max="19" width="10.125" style="1" customWidth="1"/>
    <col min="20" max="21" width="10.125" style="3" customWidth="1"/>
    <col min="22" max="22" width="9.375" style="1" bestFit="1" customWidth="1"/>
    <col min="23" max="35" width="10.125" style="3" customWidth="1"/>
    <col min="36" max="16384" width="10.00390625" style="3" customWidth="1"/>
  </cols>
  <sheetData>
    <row r="1" spans="1:22" s="32" customFormat="1" ht="15.75" customHeight="1">
      <c r="A1" s="129" t="s">
        <v>120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31"/>
      <c r="O1" s="33"/>
      <c r="P1" s="33"/>
      <c r="Q1" s="33"/>
      <c r="V1" s="129"/>
    </row>
    <row r="2" spans="1:22" s="32" customFormat="1" ht="12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33"/>
      <c r="O2" s="33"/>
      <c r="P2" s="33"/>
      <c r="Q2" s="33"/>
      <c r="V2" s="129"/>
    </row>
    <row r="3" spans="1:22" s="32" customFormat="1" ht="12.75">
      <c r="A3" s="129" t="s">
        <v>77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236"/>
      <c r="O3" s="237"/>
      <c r="P3" s="237"/>
      <c r="Q3" s="237"/>
      <c r="R3" s="237"/>
      <c r="S3" s="237"/>
      <c r="T3" s="237"/>
      <c r="V3" s="129"/>
    </row>
    <row r="4" spans="1:22" s="32" customFormat="1" ht="12.75">
      <c r="A4" s="129" t="s">
        <v>196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31"/>
      <c r="O4" s="33"/>
      <c r="P4" s="33"/>
      <c r="Q4" s="33"/>
      <c r="V4" s="129"/>
    </row>
    <row r="5" s="32" customFormat="1" ht="13.5" thickBot="1">
      <c r="V5" s="238"/>
    </row>
    <row r="6" spans="1:25" s="32" customFormat="1" ht="13.5" thickTop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U6" s="34"/>
      <c r="V6" s="34"/>
      <c r="X6" s="239" t="s">
        <v>166</v>
      </c>
      <c r="Y6" s="239" t="s">
        <v>189</v>
      </c>
    </row>
    <row r="7" spans="1:25" s="32" customFormat="1" ht="12.75">
      <c r="A7" s="35"/>
      <c r="B7" s="35"/>
      <c r="C7" s="35"/>
      <c r="D7" s="35"/>
      <c r="E7" s="35"/>
      <c r="F7" s="35"/>
      <c r="L7" s="40" t="s">
        <v>34</v>
      </c>
      <c r="M7" s="40"/>
      <c r="O7" s="35"/>
      <c r="P7" s="35"/>
      <c r="Q7" s="35"/>
      <c r="R7" s="35"/>
      <c r="U7" s="35"/>
      <c r="V7" s="35"/>
      <c r="X7" s="41" t="s">
        <v>161</v>
      </c>
      <c r="Y7" s="31"/>
    </row>
    <row r="8" spans="1:26" s="32" customFormat="1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1" t="s">
        <v>106</v>
      </c>
      <c r="M8" s="31" t="s">
        <v>107</v>
      </c>
      <c r="O8" s="35"/>
      <c r="P8" s="35"/>
      <c r="Q8" s="35"/>
      <c r="R8" s="35"/>
      <c r="U8" s="35"/>
      <c r="V8" s="35"/>
      <c r="X8" s="41" t="s">
        <v>162</v>
      </c>
      <c r="Y8" s="41" t="s">
        <v>161</v>
      </c>
      <c r="Z8" s="115" t="s">
        <v>190</v>
      </c>
    </row>
    <row r="9" spans="1:26" s="32" customFormat="1" ht="13.5" thickBot="1">
      <c r="A9" s="36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42" t="s">
        <v>105</v>
      </c>
      <c r="M9" s="42" t="s">
        <v>105</v>
      </c>
      <c r="N9" s="31" t="s">
        <v>2</v>
      </c>
      <c r="O9" s="42" t="s">
        <v>36</v>
      </c>
      <c r="P9" s="42" t="s">
        <v>37</v>
      </c>
      <c r="Q9" s="42" t="s">
        <v>38</v>
      </c>
      <c r="R9" s="42" t="s">
        <v>39</v>
      </c>
      <c r="S9" s="42" t="s">
        <v>40</v>
      </c>
      <c r="T9" s="42" t="s">
        <v>41</v>
      </c>
      <c r="U9" s="42" t="s">
        <v>4</v>
      </c>
      <c r="V9" s="42" t="s">
        <v>55</v>
      </c>
      <c r="X9" s="42" t="s">
        <v>163</v>
      </c>
      <c r="Y9" s="42" t="s">
        <v>164</v>
      </c>
      <c r="Z9" s="115" t="s">
        <v>137</v>
      </c>
    </row>
    <row r="10" spans="1:26" s="32" customFormat="1" ht="12.75">
      <c r="A10" s="35" t="s">
        <v>5</v>
      </c>
      <c r="B10" s="37">
        <f aca="true" t="shared" si="0" ref="B10:I10">SUM(B12:B39)</f>
        <v>8328978</v>
      </c>
      <c r="C10" s="37">
        <f t="shared" si="0"/>
        <v>9451871</v>
      </c>
      <c r="D10" s="37">
        <f t="shared" si="0"/>
        <v>9460835</v>
      </c>
      <c r="E10" s="37">
        <f t="shared" si="0"/>
        <v>9368893</v>
      </c>
      <c r="F10" s="37">
        <f t="shared" si="0"/>
        <v>8691258</v>
      </c>
      <c r="G10" s="37">
        <f t="shared" si="0"/>
        <v>12578981</v>
      </c>
      <c r="H10" s="37">
        <f t="shared" si="0"/>
        <v>17957929</v>
      </c>
      <c r="I10" s="37">
        <f t="shared" si="0"/>
        <v>24167347</v>
      </c>
      <c r="J10" s="37">
        <f>SUM(J12:J39)</f>
        <v>14545581</v>
      </c>
      <c r="K10" s="37">
        <f>SUM(K12:K39)</f>
        <v>15420540</v>
      </c>
      <c r="L10" s="230">
        <f>(K10-J10)/J10</f>
        <v>0.06</v>
      </c>
      <c r="M10" s="230">
        <f>(K10-V10)/V10</f>
        <v>0.592</v>
      </c>
      <c r="N10" s="37">
        <f aca="true" t="shared" si="1" ref="N10:T10">SUM(N12:N39)</f>
        <v>4413633</v>
      </c>
      <c r="O10" s="37">
        <f t="shared" si="1"/>
        <v>5627928</v>
      </c>
      <c r="P10" s="37">
        <f t="shared" si="1"/>
        <v>6113711</v>
      </c>
      <c r="Q10" s="37">
        <f t="shared" si="1"/>
        <v>7223239</v>
      </c>
      <c r="R10" s="37">
        <f t="shared" si="1"/>
        <v>8226951</v>
      </c>
      <c r="S10" s="37">
        <f t="shared" si="1"/>
        <v>8443005</v>
      </c>
      <c r="T10" s="37">
        <f t="shared" si="1"/>
        <v>7208281</v>
      </c>
      <c r="U10" s="37">
        <f>SUM(U12:U39)</f>
        <v>6520003</v>
      </c>
      <c r="V10" s="37">
        <f>SUM(V12:V39)</f>
        <v>9685458</v>
      </c>
      <c r="X10" s="117">
        <f>SUM(X12:X39)</f>
        <v>15351970</v>
      </c>
      <c r="Y10" s="117">
        <f>SUM(Y12:Y39)</f>
        <v>68568</v>
      </c>
      <c r="Z10" s="32">
        <f>SUM(X10:Y10)</f>
        <v>15420538</v>
      </c>
    </row>
    <row r="11" spans="4:25" s="32" customFormat="1" ht="12.75">
      <c r="D11" s="38"/>
      <c r="E11" s="38"/>
      <c r="M11" s="38"/>
      <c r="O11" s="38"/>
      <c r="R11" s="38"/>
      <c r="S11" s="38"/>
      <c r="X11" s="118"/>
      <c r="Y11" s="35"/>
    </row>
    <row r="12" spans="1:26" s="32" customFormat="1" ht="12.75">
      <c r="A12" s="32" t="s">
        <v>6</v>
      </c>
      <c r="B12" s="240">
        <v>38928</v>
      </c>
      <c r="C12" s="38">
        <v>39690</v>
      </c>
      <c r="D12" s="38">
        <v>34327</v>
      </c>
      <c r="E12" s="38">
        <v>36306</v>
      </c>
      <c r="F12" s="85">
        <v>14526</v>
      </c>
      <c r="G12" s="32">
        <v>4798</v>
      </c>
      <c r="H12" s="32">
        <v>3460</v>
      </c>
      <c r="I12" s="32">
        <v>234399</v>
      </c>
      <c r="J12" s="32">
        <v>154068</v>
      </c>
      <c r="K12" s="32">
        <v>49271</v>
      </c>
      <c r="L12" s="223">
        <f>(K12-J12)*100/J12</f>
        <v>-68</v>
      </c>
      <c r="M12" s="224">
        <f>(K12-V12)*100/V12</f>
        <v>-1.5</v>
      </c>
      <c r="N12" s="38">
        <v>62283</v>
      </c>
      <c r="O12" s="38">
        <v>138205</v>
      </c>
      <c r="P12" s="38">
        <v>144714</v>
      </c>
      <c r="Q12" s="241">
        <v>296281</v>
      </c>
      <c r="R12" s="241">
        <v>214777</v>
      </c>
      <c r="S12" s="241">
        <v>131083</v>
      </c>
      <c r="T12" s="241">
        <v>79788</v>
      </c>
      <c r="U12" s="241">
        <v>76552</v>
      </c>
      <c r="V12" s="241">
        <v>50022</v>
      </c>
      <c r="X12" s="185">
        <v>49270.97</v>
      </c>
      <c r="Y12" s="103">
        <v>0</v>
      </c>
      <c r="Z12" s="32">
        <f>SUM(X12:Y12)</f>
        <v>49271</v>
      </c>
    </row>
    <row r="13" spans="1:26" s="32" customFormat="1" ht="12.75">
      <c r="A13" s="32" t="s">
        <v>7</v>
      </c>
      <c r="B13" s="240">
        <v>437794</v>
      </c>
      <c r="C13" s="38">
        <v>438135</v>
      </c>
      <c r="D13" s="38">
        <v>566181</v>
      </c>
      <c r="E13" s="38">
        <v>501752</v>
      </c>
      <c r="F13" s="85">
        <v>674883</v>
      </c>
      <c r="G13" s="32">
        <v>487202</v>
      </c>
      <c r="H13" s="32">
        <v>1129721</v>
      </c>
      <c r="I13" s="32">
        <v>1099866</v>
      </c>
      <c r="J13" s="32">
        <v>937850</v>
      </c>
      <c r="K13" s="32">
        <v>1389130</v>
      </c>
      <c r="L13" s="223">
        <f>(K13-J13)*100/J13</f>
        <v>48.1</v>
      </c>
      <c r="M13" s="224">
        <f>(K13-V13)*100/V13</f>
        <v>258.4</v>
      </c>
      <c r="N13" s="38">
        <v>466218</v>
      </c>
      <c r="O13" s="38">
        <v>490719</v>
      </c>
      <c r="P13" s="38">
        <v>530971</v>
      </c>
      <c r="Q13" s="241">
        <v>613527</v>
      </c>
      <c r="R13" s="241">
        <v>644514</v>
      </c>
      <c r="S13" s="241">
        <v>637725</v>
      </c>
      <c r="T13" s="241">
        <v>416195</v>
      </c>
      <c r="U13" s="241">
        <v>442113</v>
      </c>
      <c r="V13" s="241">
        <v>387552</v>
      </c>
      <c r="X13" s="185">
        <v>1389129.96</v>
      </c>
      <c r="Y13" s="103">
        <v>0</v>
      </c>
      <c r="Z13" s="32">
        <f>SUM(X13:Y13)</f>
        <v>1389130</v>
      </c>
    </row>
    <row r="14" spans="1:26" s="32" customFormat="1" ht="12.75">
      <c r="A14" s="32" t="s">
        <v>8</v>
      </c>
      <c r="B14" s="240">
        <v>114560</v>
      </c>
      <c r="C14" s="38">
        <v>444093</v>
      </c>
      <c r="D14" s="38">
        <v>122719</v>
      </c>
      <c r="E14" s="38">
        <v>377402</v>
      </c>
      <c r="F14" s="85">
        <v>449107</v>
      </c>
      <c r="G14" s="32">
        <v>903955</v>
      </c>
      <c r="H14" s="32">
        <v>3486044</v>
      </c>
      <c r="I14" s="32">
        <v>327806</v>
      </c>
      <c r="J14" s="32">
        <v>156197</v>
      </c>
      <c r="K14" s="32">
        <v>92344</v>
      </c>
      <c r="L14" s="223">
        <f>(K14-J14)*100/J14</f>
        <v>-40.9</v>
      </c>
      <c r="M14" s="224">
        <f>(K14-V14)*100/V14</f>
        <v>-81.8</v>
      </c>
      <c r="N14" s="38">
        <v>321099</v>
      </c>
      <c r="O14" s="38">
        <v>359959</v>
      </c>
      <c r="P14" s="38">
        <v>270981</v>
      </c>
      <c r="Q14" s="241">
        <v>293488</v>
      </c>
      <c r="R14" s="241">
        <v>183413</v>
      </c>
      <c r="S14" s="241">
        <v>311511</v>
      </c>
      <c r="T14" s="241">
        <v>449506</v>
      </c>
      <c r="U14" s="241">
        <v>278445</v>
      </c>
      <c r="V14" s="241">
        <v>507837</v>
      </c>
      <c r="X14" s="185">
        <v>76905</v>
      </c>
      <c r="Y14" s="103">
        <v>15438.93</v>
      </c>
      <c r="Z14" s="32">
        <f>SUM(X14:Y14)</f>
        <v>92344</v>
      </c>
    </row>
    <row r="15" spans="1:26" s="32" customFormat="1" ht="12.75">
      <c r="A15" s="32" t="s">
        <v>9</v>
      </c>
      <c r="B15" s="240">
        <v>144266</v>
      </c>
      <c r="C15" s="38">
        <v>117513</v>
      </c>
      <c r="D15" s="38">
        <v>102214</v>
      </c>
      <c r="E15" s="38">
        <v>193539</v>
      </c>
      <c r="F15" s="85">
        <v>396253</v>
      </c>
      <c r="G15" s="32">
        <v>1314080</v>
      </c>
      <c r="H15" s="32">
        <v>1233158</v>
      </c>
      <c r="I15" s="32">
        <v>11678704</v>
      </c>
      <c r="J15" s="32">
        <v>2210777</v>
      </c>
      <c r="K15" s="32">
        <v>2187597</v>
      </c>
      <c r="L15" s="223">
        <f>(K15-J15)*100/J15</f>
        <v>-1</v>
      </c>
      <c r="M15" s="224">
        <f>(K15-V15)*100/V15</f>
        <v>342.4</v>
      </c>
      <c r="N15" s="38">
        <v>205317</v>
      </c>
      <c r="O15" s="38">
        <v>492756</v>
      </c>
      <c r="P15" s="38">
        <v>556216</v>
      </c>
      <c r="Q15" s="241">
        <v>949437</v>
      </c>
      <c r="R15" s="241">
        <v>626812</v>
      </c>
      <c r="S15" s="241">
        <v>596915</v>
      </c>
      <c r="T15" s="241">
        <v>513842</v>
      </c>
      <c r="U15" s="241">
        <v>292973</v>
      </c>
      <c r="V15" s="241">
        <v>494486</v>
      </c>
      <c r="X15" s="185">
        <v>2184973.52</v>
      </c>
      <c r="Y15" s="103">
        <v>2623.01</v>
      </c>
      <c r="Z15" s="32">
        <f>SUM(X15:Y15)</f>
        <v>2187597</v>
      </c>
    </row>
    <row r="16" spans="1:26" s="32" customFormat="1" ht="12.75">
      <c r="A16" s="32" t="s">
        <v>10</v>
      </c>
      <c r="B16" s="240">
        <v>222524</v>
      </c>
      <c r="C16" s="38">
        <v>183137</v>
      </c>
      <c r="D16" s="38">
        <v>264751</v>
      </c>
      <c r="E16" s="38">
        <v>407637</v>
      </c>
      <c r="F16" s="85">
        <v>358252</v>
      </c>
      <c r="G16" s="32">
        <v>248851</v>
      </c>
      <c r="H16" s="32">
        <v>335798</v>
      </c>
      <c r="I16" s="32">
        <v>311758</v>
      </c>
      <c r="J16" s="32">
        <v>266847</v>
      </c>
      <c r="K16" s="32">
        <v>220102</v>
      </c>
      <c r="L16" s="223">
        <f>(K16-J16)*100/J16</f>
        <v>-17.5</v>
      </c>
      <c r="M16" s="224">
        <f>(K16-V16)*100/V16</f>
        <v>-10.9</v>
      </c>
      <c r="N16" s="38">
        <v>100013</v>
      </c>
      <c r="O16" s="38">
        <v>110123</v>
      </c>
      <c r="P16" s="38">
        <v>125605</v>
      </c>
      <c r="Q16" s="241">
        <v>138653</v>
      </c>
      <c r="R16" s="241">
        <v>134985</v>
      </c>
      <c r="S16" s="241">
        <v>135287</v>
      </c>
      <c r="T16" s="241">
        <v>180945</v>
      </c>
      <c r="U16" s="241">
        <v>175586</v>
      </c>
      <c r="V16" s="241">
        <v>247062</v>
      </c>
      <c r="X16" s="185">
        <v>220102.45</v>
      </c>
      <c r="Y16" s="103">
        <v>0</v>
      </c>
      <c r="Z16" s="32">
        <f>SUM(X16:Y16)</f>
        <v>220102</v>
      </c>
    </row>
    <row r="17" spans="2:25" s="32" customFormat="1" ht="12.75">
      <c r="B17" s="240"/>
      <c r="C17" s="38"/>
      <c r="D17" s="38"/>
      <c r="E17" s="38"/>
      <c r="F17" s="85"/>
      <c r="L17" s="223"/>
      <c r="M17" s="224"/>
      <c r="N17" s="38"/>
      <c r="P17" s="38"/>
      <c r="Q17" s="241"/>
      <c r="R17" s="241"/>
      <c r="S17" s="241"/>
      <c r="T17" s="241"/>
      <c r="U17" s="241"/>
      <c r="V17" s="241"/>
      <c r="X17" s="103"/>
      <c r="Y17" s="103"/>
    </row>
    <row r="18" spans="1:26" s="32" customFormat="1" ht="12.75">
      <c r="A18" s="32" t="s">
        <v>11</v>
      </c>
      <c r="B18" s="240">
        <v>41492</v>
      </c>
      <c r="C18" s="38">
        <v>45934</v>
      </c>
      <c r="D18" s="38">
        <v>42352</v>
      </c>
      <c r="E18" s="38">
        <v>40608</v>
      </c>
      <c r="F18" s="85">
        <v>48298</v>
      </c>
      <c r="G18" s="32">
        <v>88567</v>
      </c>
      <c r="H18" s="32">
        <v>94053</v>
      </c>
      <c r="I18" s="32">
        <v>117915</v>
      </c>
      <c r="J18" s="32">
        <v>92311</v>
      </c>
      <c r="K18" s="32">
        <v>98740</v>
      </c>
      <c r="L18" s="223">
        <f>(K18-J18)*100/J18</f>
        <v>7</v>
      </c>
      <c r="M18" s="224">
        <f>(K18-V18)*100/V18</f>
        <v>120.9</v>
      </c>
      <c r="N18" s="38">
        <v>49743</v>
      </c>
      <c r="O18" s="38">
        <v>33828</v>
      </c>
      <c r="P18" s="38">
        <v>45606</v>
      </c>
      <c r="Q18" s="241">
        <v>30924</v>
      </c>
      <c r="R18" s="241">
        <v>38144</v>
      </c>
      <c r="S18" s="241">
        <v>36846</v>
      </c>
      <c r="T18" s="241">
        <v>38007</v>
      </c>
      <c r="U18" s="241">
        <v>36557</v>
      </c>
      <c r="V18" s="241">
        <v>44705</v>
      </c>
      <c r="X18" s="185">
        <v>98739.86</v>
      </c>
      <c r="Y18" s="103">
        <v>0</v>
      </c>
      <c r="Z18" s="32">
        <f>SUM(X18:Y18)</f>
        <v>98740</v>
      </c>
    </row>
    <row r="19" spans="1:26" s="32" customFormat="1" ht="12.75">
      <c r="A19" s="32" t="s">
        <v>12</v>
      </c>
      <c r="B19" s="240">
        <f>229618+1364</f>
        <v>230982</v>
      </c>
      <c r="C19" s="38">
        <f>271288+3945</f>
        <v>275233</v>
      </c>
      <c r="D19" s="38">
        <f>378493+6758</f>
        <v>385251</v>
      </c>
      <c r="E19" s="38">
        <v>514645</v>
      </c>
      <c r="F19" s="85">
        <v>248098</v>
      </c>
      <c r="G19" s="32">
        <v>276470</v>
      </c>
      <c r="H19" s="32">
        <v>446800</v>
      </c>
      <c r="I19" s="32">
        <v>700576</v>
      </c>
      <c r="J19" s="32">
        <v>627924</v>
      </c>
      <c r="K19" s="32">
        <v>729886</v>
      </c>
      <c r="L19" s="223">
        <f>(K19-J19)*100/J19</f>
        <v>16.2</v>
      </c>
      <c r="M19" s="224">
        <f>(K19-V19)*100/V19</f>
        <v>88.3</v>
      </c>
      <c r="N19" s="38">
        <v>252454</v>
      </c>
      <c r="O19" s="38">
        <v>216336</v>
      </c>
      <c r="P19" s="38">
        <v>281435</v>
      </c>
      <c r="Q19" s="241">
        <v>268155</v>
      </c>
      <c r="R19" s="241">
        <v>222236</v>
      </c>
      <c r="S19" s="241">
        <v>353915</v>
      </c>
      <c r="T19" s="241">
        <v>367118</v>
      </c>
      <c r="U19" s="241">
        <v>283938</v>
      </c>
      <c r="V19" s="241">
        <f>379142+8438</f>
        <v>387580</v>
      </c>
      <c r="X19" s="185">
        <v>729886.15</v>
      </c>
      <c r="Y19" s="181">
        <v>0</v>
      </c>
      <c r="Z19" s="32">
        <f>SUM(X19:Y19)</f>
        <v>729886</v>
      </c>
    </row>
    <row r="20" spans="1:26" s="32" customFormat="1" ht="12.75">
      <c r="A20" s="32" t="s">
        <v>13</v>
      </c>
      <c r="B20" s="240">
        <v>148946</v>
      </c>
      <c r="C20" s="38">
        <v>151813</v>
      </c>
      <c r="D20" s="38">
        <v>168840</v>
      </c>
      <c r="E20" s="38">
        <v>164238</v>
      </c>
      <c r="F20" s="85">
        <v>191272</v>
      </c>
      <c r="G20" s="32">
        <v>294160</v>
      </c>
      <c r="H20" s="32">
        <v>240958</v>
      </c>
      <c r="I20" s="32">
        <v>243460</v>
      </c>
      <c r="J20" s="32">
        <v>271655</v>
      </c>
      <c r="K20" s="32">
        <v>298111</v>
      </c>
      <c r="L20" s="223">
        <f>(K20-J20)*100/J20</f>
        <v>9.7</v>
      </c>
      <c r="M20" s="224">
        <f>(K20-V20)*100/V20</f>
        <v>53.4</v>
      </c>
      <c r="N20" s="38">
        <v>122868</v>
      </c>
      <c r="O20" s="38">
        <v>135731</v>
      </c>
      <c r="P20" s="38">
        <v>75317</v>
      </c>
      <c r="Q20" s="241">
        <v>231428</v>
      </c>
      <c r="R20" s="241">
        <v>258452</v>
      </c>
      <c r="S20" s="241">
        <v>207019</v>
      </c>
      <c r="T20" s="241">
        <v>214098</v>
      </c>
      <c r="U20" s="241">
        <v>268308</v>
      </c>
      <c r="V20" s="241">
        <v>194357</v>
      </c>
      <c r="X20" s="185">
        <v>298110.86</v>
      </c>
      <c r="Y20" s="103">
        <v>0</v>
      </c>
      <c r="Z20" s="32">
        <f>SUM(X20:Y20)</f>
        <v>298111</v>
      </c>
    </row>
    <row r="21" spans="1:26" s="32" customFormat="1" ht="12.75">
      <c r="A21" s="32" t="s">
        <v>14</v>
      </c>
      <c r="B21" s="240">
        <f>281619+61101</f>
        <v>342720</v>
      </c>
      <c r="C21" s="38">
        <v>318345</v>
      </c>
      <c r="D21" s="38">
        <v>221947</v>
      </c>
      <c r="E21" s="38">
        <v>704823</v>
      </c>
      <c r="F21" s="85">
        <v>148332</v>
      </c>
      <c r="G21" s="32">
        <v>262237</v>
      </c>
      <c r="H21" s="32">
        <v>352005</v>
      </c>
      <c r="I21" s="32">
        <v>302142</v>
      </c>
      <c r="J21" s="32">
        <v>394192</v>
      </c>
      <c r="K21" s="32">
        <v>329812</v>
      </c>
      <c r="L21" s="223">
        <f>(K21-J21)*100/J21</f>
        <v>-16.3</v>
      </c>
      <c r="M21" s="224">
        <f>(K21-V21)*100/V21</f>
        <v>-22.8</v>
      </c>
      <c r="N21" s="38">
        <v>114196</v>
      </c>
      <c r="O21" s="38">
        <v>168500</v>
      </c>
      <c r="P21" s="38">
        <v>318700</v>
      </c>
      <c r="Q21" s="241">
        <v>325242</v>
      </c>
      <c r="R21" s="241">
        <v>323019</v>
      </c>
      <c r="S21" s="241">
        <v>399087</v>
      </c>
      <c r="T21" s="241">
        <v>337207</v>
      </c>
      <c r="U21" s="241">
        <v>165289</v>
      </c>
      <c r="V21" s="241">
        <v>427002</v>
      </c>
      <c r="X21" s="185">
        <v>329812.02</v>
      </c>
      <c r="Y21" s="103">
        <v>0</v>
      </c>
      <c r="Z21" s="32">
        <f>SUM(X21:Y21)</f>
        <v>329812</v>
      </c>
    </row>
    <row r="22" spans="1:26" s="32" customFormat="1" ht="12.75">
      <c r="A22" s="32" t="s">
        <v>15</v>
      </c>
      <c r="B22" s="240">
        <v>42940</v>
      </c>
      <c r="C22" s="38">
        <f>20457+650</f>
        <v>21107</v>
      </c>
      <c r="D22" s="38">
        <v>25813</v>
      </c>
      <c r="E22" s="38">
        <v>43893</v>
      </c>
      <c r="F22" s="85">
        <v>23077</v>
      </c>
      <c r="G22" s="32">
        <v>45862</v>
      </c>
      <c r="H22" s="32">
        <v>49352</v>
      </c>
      <c r="I22" s="32">
        <v>40251</v>
      </c>
      <c r="J22" s="32">
        <v>27181</v>
      </c>
      <c r="K22" s="32">
        <v>130614</v>
      </c>
      <c r="L22" s="223">
        <f>(K22-J22)*100/J22</f>
        <v>380.5</v>
      </c>
      <c r="M22" s="224">
        <f>(K22-V22)*100/V22</f>
        <v>338.7</v>
      </c>
      <c r="N22" s="38">
        <v>30520</v>
      </c>
      <c r="O22" s="38">
        <v>47799</v>
      </c>
      <c r="P22" s="38">
        <v>42012</v>
      </c>
      <c r="Q22" s="241">
        <v>38181</v>
      </c>
      <c r="R22" s="241">
        <v>26419</v>
      </c>
      <c r="S22" s="241">
        <v>36256</v>
      </c>
      <c r="T22" s="241">
        <v>29922</v>
      </c>
      <c r="U22" s="241">
        <v>27043</v>
      </c>
      <c r="V22" s="241">
        <v>29770</v>
      </c>
      <c r="X22" s="185">
        <v>130148.56</v>
      </c>
      <c r="Y22" s="185">
        <v>465</v>
      </c>
      <c r="Z22" s="32">
        <f>SUM(X22:Y22)</f>
        <v>130614</v>
      </c>
    </row>
    <row r="23" spans="2:25" s="32" customFormat="1" ht="12.75">
      <c r="B23" s="240"/>
      <c r="C23" s="38"/>
      <c r="D23" s="38"/>
      <c r="E23" s="38"/>
      <c r="F23" s="85"/>
      <c r="L23" s="223"/>
      <c r="M23" s="224"/>
      <c r="N23" s="38"/>
      <c r="P23" s="38"/>
      <c r="Q23" s="241"/>
      <c r="R23" s="241"/>
      <c r="S23" s="241"/>
      <c r="T23" s="241"/>
      <c r="U23" s="241"/>
      <c r="V23" s="241"/>
      <c r="X23" s="103"/>
      <c r="Y23" s="185"/>
    </row>
    <row r="24" spans="1:26" s="32" customFormat="1" ht="12.75">
      <c r="A24" s="32" t="s">
        <v>16</v>
      </c>
      <c r="B24" s="240">
        <v>462051</v>
      </c>
      <c r="C24" s="38">
        <v>441347</v>
      </c>
      <c r="D24" s="38">
        <v>434955</v>
      </c>
      <c r="E24" s="38">
        <v>388406</v>
      </c>
      <c r="F24" s="85">
        <v>435263</v>
      </c>
      <c r="G24" s="32">
        <v>401672</v>
      </c>
      <c r="H24" s="32">
        <v>421917</v>
      </c>
      <c r="I24" s="32">
        <v>712565</v>
      </c>
      <c r="J24" s="32">
        <v>778301</v>
      </c>
      <c r="K24" s="32">
        <v>750717</v>
      </c>
      <c r="L24" s="223">
        <f>(K24-J24)*100/J24</f>
        <v>-3.5</v>
      </c>
      <c r="M24" s="224">
        <f>(K24-V24)*100/V24</f>
        <v>55</v>
      </c>
      <c r="N24" s="38">
        <v>312601</v>
      </c>
      <c r="O24" s="38">
        <v>193574</v>
      </c>
      <c r="P24" s="38">
        <v>242936</v>
      </c>
      <c r="Q24" s="241">
        <v>345800</v>
      </c>
      <c r="R24" s="241">
        <v>350019</v>
      </c>
      <c r="S24" s="241">
        <v>359865</v>
      </c>
      <c r="T24" s="241">
        <v>335891</v>
      </c>
      <c r="U24" s="241">
        <v>394574</v>
      </c>
      <c r="V24" s="241">
        <v>484306</v>
      </c>
      <c r="X24" s="185">
        <v>750627.81</v>
      </c>
      <c r="Y24" s="185">
        <v>89.02</v>
      </c>
      <c r="Z24" s="32">
        <f>SUM(X24:Y24)</f>
        <v>750717</v>
      </c>
    </row>
    <row r="25" spans="1:26" s="32" customFormat="1" ht="12.75">
      <c r="A25" s="32" t="s">
        <v>17</v>
      </c>
      <c r="B25" s="240">
        <v>44245</v>
      </c>
      <c r="C25" s="38">
        <v>40572</v>
      </c>
      <c r="D25" s="38">
        <v>42600</v>
      </c>
      <c r="E25" s="38">
        <v>37971</v>
      </c>
      <c r="F25" s="85">
        <v>34690</v>
      </c>
      <c r="G25" s="32">
        <v>47579</v>
      </c>
      <c r="H25" s="32">
        <v>54609</v>
      </c>
      <c r="I25" s="32">
        <v>57360</v>
      </c>
      <c r="J25" s="32">
        <v>66130</v>
      </c>
      <c r="K25" s="32">
        <v>57997</v>
      </c>
      <c r="L25" s="223">
        <f>(K25-J25)*100/J25</f>
        <v>-12.3</v>
      </c>
      <c r="M25" s="224">
        <f>(K25-V25)*100/V25</f>
        <v>-11.3</v>
      </c>
      <c r="N25" s="38">
        <v>21237</v>
      </c>
      <c r="O25" s="38">
        <v>36667</v>
      </c>
      <c r="P25" s="38">
        <v>44336</v>
      </c>
      <c r="Q25" s="241">
        <v>40266</v>
      </c>
      <c r="R25" s="241">
        <v>78239</v>
      </c>
      <c r="S25" s="241">
        <v>69133</v>
      </c>
      <c r="T25" s="241">
        <v>32859</v>
      </c>
      <c r="U25" s="241">
        <v>51931</v>
      </c>
      <c r="V25" s="241">
        <v>65391</v>
      </c>
      <c r="X25" s="185">
        <v>57997.11</v>
      </c>
      <c r="Y25" s="185"/>
      <c r="Z25" s="32">
        <f>SUM(X25:Y25)</f>
        <v>57997</v>
      </c>
    </row>
    <row r="26" spans="1:26" s="32" customFormat="1" ht="12.75">
      <c r="A26" s="32" t="s">
        <v>18</v>
      </c>
      <c r="B26" s="240">
        <f>1112470+39453</f>
        <v>1151923</v>
      </c>
      <c r="C26" s="38">
        <f>1069372+25854</f>
        <v>1095226</v>
      </c>
      <c r="D26" s="38">
        <f>708195+20989</f>
        <v>729184</v>
      </c>
      <c r="E26" s="38">
        <v>656666</v>
      </c>
      <c r="F26" s="85">
        <v>674740</v>
      </c>
      <c r="G26" s="32">
        <v>974172</v>
      </c>
      <c r="H26" s="32">
        <v>455787</v>
      </c>
      <c r="I26" s="32">
        <v>802437</v>
      </c>
      <c r="J26" s="32">
        <v>852613</v>
      </c>
      <c r="K26" s="32">
        <v>881475</v>
      </c>
      <c r="L26" s="223">
        <f>(K26-J26)*100/J26</f>
        <v>3.4</v>
      </c>
      <c r="M26" s="224">
        <f>(K26-V26)*100/V26</f>
        <v>14.9</v>
      </c>
      <c r="N26" s="38">
        <v>373709</v>
      </c>
      <c r="O26" s="38">
        <v>378877</v>
      </c>
      <c r="P26" s="38">
        <v>339773</v>
      </c>
      <c r="Q26" s="241">
        <v>381207</v>
      </c>
      <c r="R26" s="241">
        <v>366661</v>
      </c>
      <c r="S26" s="241">
        <v>437517</v>
      </c>
      <c r="T26" s="241">
        <v>336207</v>
      </c>
      <c r="U26" s="241">
        <v>456938</v>
      </c>
      <c r="V26" s="241">
        <f>736663+30729</f>
        <v>767392</v>
      </c>
      <c r="X26" s="185">
        <v>876117.94</v>
      </c>
      <c r="Y26" s="188">
        <v>5357.03</v>
      </c>
      <c r="Z26" s="32">
        <f>SUM(X26:Y26)</f>
        <v>881475</v>
      </c>
    </row>
    <row r="27" spans="1:26" s="32" customFormat="1" ht="12.75">
      <c r="A27" s="32" t="s">
        <v>19</v>
      </c>
      <c r="B27" s="240">
        <f>681425+6237</f>
        <v>687662</v>
      </c>
      <c r="C27" s="38">
        <f>1431185+11377</f>
        <v>1442562</v>
      </c>
      <c r="D27" s="38">
        <f>1499554+5619</f>
        <v>1505173</v>
      </c>
      <c r="E27" s="38">
        <v>1686294</v>
      </c>
      <c r="F27" s="85">
        <v>655977</v>
      </c>
      <c r="G27" s="32">
        <v>757612</v>
      </c>
      <c r="H27" s="32">
        <v>765790</v>
      </c>
      <c r="I27" s="32">
        <v>1581293</v>
      </c>
      <c r="J27" s="32">
        <v>1242751</v>
      </c>
      <c r="K27" s="32">
        <v>1502960</v>
      </c>
      <c r="L27" s="223">
        <f>(K27-J27)*100/J27</f>
        <v>20.9</v>
      </c>
      <c r="M27" s="224">
        <f>(K27-V27)*100/V27</f>
        <v>26.5</v>
      </c>
      <c r="N27" s="38">
        <v>345433</v>
      </c>
      <c r="O27" s="38">
        <v>528914</v>
      </c>
      <c r="P27" s="38">
        <v>378864</v>
      </c>
      <c r="Q27" s="241">
        <v>411256</v>
      </c>
      <c r="R27" s="241">
        <v>473594</v>
      </c>
      <c r="S27" s="241">
        <v>613909</v>
      </c>
      <c r="T27" s="241">
        <v>7048</v>
      </c>
      <c r="U27" s="241">
        <v>630199</v>
      </c>
      <c r="V27" s="241">
        <f>1182898+4997</f>
        <v>1187895</v>
      </c>
      <c r="X27" s="185">
        <v>1499670.32</v>
      </c>
      <c r="Y27" s="185">
        <v>3289.33</v>
      </c>
      <c r="Z27" s="32">
        <f>SUM(X27:Y27)</f>
        <v>1502960</v>
      </c>
    </row>
    <row r="28" spans="1:26" s="32" customFormat="1" ht="12.75">
      <c r="A28" s="32" t="s">
        <v>20</v>
      </c>
      <c r="B28" s="240">
        <v>34126</v>
      </c>
      <c r="C28" s="38">
        <v>39969</v>
      </c>
      <c r="D28" s="38">
        <v>32642</v>
      </c>
      <c r="E28" s="38">
        <v>926</v>
      </c>
      <c r="F28" s="85">
        <v>9154</v>
      </c>
      <c r="G28" s="32">
        <v>1058</v>
      </c>
      <c r="H28" s="32">
        <v>60082</v>
      </c>
      <c r="I28" s="32">
        <v>11353</v>
      </c>
      <c r="J28" s="32">
        <v>60162</v>
      </c>
      <c r="K28" s="32">
        <v>1500</v>
      </c>
      <c r="L28" s="223">
        <f>(K28-J28)*100/J28</f>
        <v>-97.5</v>
      </c>
      <c r="M28" s="224">
        <f>(K28-V28)*100/V28</f>
        <v>-95.6</v>
      </c>
      <c r="N28" s="38">
        <v>27070</v>
      </c>
      <c r="O28" s="38">
        <v>28570</v>
      </c>
      <c r="P28" s="241">
        <v>34463</v>
      </c>
      <c r="Q28" s="241">
        <v>29475</v>
      </c>
      <c r="R28" s="241">
        <v>30427</v>
      </c>
      <c r="S28" s="241">
        <v>35716</v>
      </c>
      <c r="T28" s="241">
        <v>29384</v>
      </c>
      <c r="U28" s="241">
        <v>33101</v>
      </c>
      <c r="V28" s="241">
        <v>33854</v>
      </c>
      <c r="X28" s="185">
        <v>1500</v>
      </c>
      <c r="Y28" s="103"/>
      <c r="Z28" s="32">
        <f>SUM(X28:Y28)</f>
        <v>1500</v>
      </c>
    </row>
    <row r="29" spans="2:25" s="32" customFormat="1" ht="12.75">
      <c r="B29" s="240"/>
      <c r="C29" s="38"/>
      <c r="D29" s="38"/>
      <c r="E29" s="38"/>
      <c r="F29" s="85"/>
      <c r="L29" s="223"/>
      <c r="M29" s="224"/>
      <c r="N29" s="38"/>
      <c r="O29" s="38"/>
      <c r="Q29" s="241"/>
      <c r="R29" s="241"/>
      <c r="S29" s="241"/>
      <c r="T29" s="241"/>
      <c r="U29" s="241"/>
      <c r="V29" s="241"/>
      <c r="X29" s="103"/>
      <c r="Y29" s="103"/>
    </row>
    <row r="30" spans="1:26" s="32" customFormat="1" ht="12.75">
      <c r="A30" s="32" t="s">
        <v>21</v>
      </c>
      <c r="B30" s="240">
        <f>2197702+31115</f>
        <v>2228817</v>
      </c>
      <c r="C30" s="38">
        <f>2113387+33528</f>
        <v>2146915</v>
      </c>
      <c r="D30" s="38">
        <f>2452468+31693</f>
        <v>2484161</v>
      </c>
      <c r="E30" s="38">
        <v>2186196</v>
      </c>
      <c r="F30" s="85">
        <v>2652522</v>
      </c>
      <c r="G30" s="32">
        <v>4127075</v>
      </c>
      <c r="H30" s="32">
        <v>4886583</v>
      </c>
      <c r="I30" s="32">
        <v>2886871</v>
      </c>
      <c r="J30" s="32">
        <v>3358750</v>
      </c>
      <c r="K30" s="32">
        <v>2672046</v>
      </c>
      <c r="L30" s="223">
        <f>(K30-J30)*100/J30</f>
        <v>-20.4</v>
      </c>
      <c r="M30" s="224">
        <f>(K30-V30)*100/V30</f>
        <v>23.7</v>
      </c>
      <c r="N30" s="38">
        <v>686482</v>
      </c>
      <c r="O30" s="38">
        <v>1244798</v>
      </c>
      <c r="P30" s="241">
        <v>1429256</v>
      </c>
      <c r="Q30" s="241">
        <v>1608283</v>
      </c>
      <c r="R30" s="241">
        <v>3087089</v>
      </c>
      <c r="S30" s="241">
        <v>2561520</v>
      </c>
      <c r="T30" s="241">
        <v>2727806</v>
      </c>
      <c r="U30" s="241">
        <v>1911204</v>
      </c>
      <c r="V30" s="241">
        <f>2133613+27204</f>
        <v>2160817</v>
      </c>
      <c r="X30" s="185">
        <v>2633574.44</v>
      </c>
      <c r="Y30" s="103">
        <v>38471.27</v>
      </c>
      <c r="Z30" s="32">
        <f>SUM(X30:Y30)</f>
        <v>2672046</v>
      </c>
    </row>
    <row r="31" spans="1:26" s="32" customFormat="1" ht="12.75">
      <c r="A31" s="32" t="s">
        <v>22</v>
      </c>
      <c r="B31" s="240">
        <f>1081911-3</f>
        <v>1081908</v>
      </c>
      <c r="C31" s="38">
        <f>1087871+67</f>
        <v>1087938</v>
      </c>
      <c r="D31" s="38">
        <f>1572536+113</f>
        <v>1572649</v>
      </c>
      <c r="E31" s="38">
        <v>630375</v>
      </c>
      <c r="F31" s="85">
        <v>640664</v>
      </c>
      <c r="G31" s="32">
        <v>1052345</v>
      </c>
      <c r="H31" s="32">
        <v>2587073</v>
      </c>
      <c r="I31" s="32">
        <v>1689013</v>
      </c>
      <c r="J31" s="32">
        <v>1642100</v>
      </c>
      <c r="K31" s="32">
        <v>2805440</v>
      </c>
      <c r="L31" s="223">
        <f>(K31-J31)*100/J31</f>
        <v>70.8</v>
      </c>
      <c r="M31" s="224">
        <f>(K31-V31)*100/V31</f>
        <v>143.3</v>
      </c>
      <c r="N31" s="38">
        <v>234909</v>
      </c>
      <c r="O31" s="38">
        <v>371196</v>
      </c>
      <c r="P31" s="241">
        <v>468302</v>
      </c>
      <c r="Q31" s="241">
        <v>305388</v>
      </c>
      <c r="R31" s="241">
        <v>323055</v>
      </c>
      <c r="S31" s="241">
        <v>399076</v>
      </c>
      <c r="T31" s="241">
        <v>0</v>
      </c>
      <c r="U31" s="241">
        <v>306195</v>
      </c>
      <c r="V31" s="241">
        <v>1153256</v>
      </c>
      <c r="X31" s="185">
        <v>2804812.83</v>
      </c>
      <c r="Y31" s="103">
        <v>626.7</v>
      </c>
      <c r="Z31" s="32">
        <f>SUM(X31:Y31)</f>
        <v>2805440</v>
      </c>
    </row>
    <row r="32" spans="1:26" s="32" customFormat="1" ht="12.75">
      <c r="A32" s="32" t="s">
        <v>23</v>
      </c>
      <c r="B32" s="240">
        <v>168377</v>
      </c>
      <c r="C32" s="38">
        <v>212752</v>
      </c>
      <c r="D32" s="38">
        <v>182387</v>
      </c>
      <c r="E32" s="38">
        <v>177704</v>
      </c>
      <c r="F32" s="85">
        <v>152291</v>
      </c>
      <c r="G32" s="32">
        <v>155156</v>
      </c>
      <c r="H32" s="32">
        <v>187841</v>
      </c>
      <c r="I32" s="32">
        <v>207919</v>
      </c>
      <c r="J32" s="32">
        <v>173510</v>
      </c>
      <c r="K32" s="32">
        <v>246770</v>
      </c>
      <c r="L32" s="223">
        <f>(K32-J32)*100/J32</f>
        <v>42.2</v>
      </c>
      <c r="M32" s="224">
        <f>(K32-V32)*100/V32</f>
        <v>32.9</v>
      </c>
      <c r="N32" s="38">
        <v>66526</v>
      </c>
      <c r="O32" s="38">
        <v>1</v>
      </c>
      <c r="P32" s="241">
        <v>93968</v>
      </c>
      <c r="Q32" s="241">
        <v>108102</v>
      </c>
      <c r="R32" s="241">
        <v>81982</v>
      </c>
      <c r="S32" s="241">
        <v>160056</v>
      </c>
      <c r="T32" s="241">
        <v>134115</v>
      </c>
      <c r="U32" s="241">
        <v>189152</v>
      </c>
      <c r="V32" s="241">
        <v>185749</v>
      </c>
      <c r="X32" s="185">
        <v>246770.43</v>
      </c>
      <c r="Y32" s="103">
        <v>0</v>
      </c>
      <c r="Z32" s="32">
        <f>SUM(X32:Y32)</f>
        <v>246770</v>
      </c>
    </row>
    <row r="33" spans="1:26" s="32" customFormat="1" ht="12.75">
      <c r="A33" s="32" t="s">
        <v>24</v>
      </c>
      <c r="B33" s="240">
        <f>166253+1704</f>
        <v>167957</v>
      </c>
      <c r="C33" s="38">
        <f>305412+1670</f>
        <v>307082</v>
      </c>
      <c r="D33" s="38">
        <f>65974+1296</f>
        <v>67270</v>
      </c>
      <c r="E33" s="38">
        <v>124381</v>
      </c>
      <c r="F33" s="85">
        <v>308582</v>
      </c>
      <c r="G33" s="32">
        <v>229198</v>
      </c>
      <c r="H33" s="32">
        <v>278553</v>
      </c>
      <c r="I33" s="32">
        <v>287904</v>
      </c>
      <c r="J33" s="32">
        <v>382804</v>
      </c>
      <c r="K33" s="32">
        <v>125442</v>
      </c>
      <c r="L33" s="223">
        <f>(K33-J33)*100/J33</f>
        <v>-67.2</v>
      </c>
      <c r="M33" s="224">
        <f>(K33-V33)*100/V33</f>
        <v>-58.1</v>
      </c>
      <c r="N33" s="38">
        <v>190394</v>
      </c>
      <c r="O33" s="38">
        <v>225049</v>
      </c>
      <c r="P33" s="241">
        <v>188419</v>
      </c>
      <c r="Q33" s="241">
        <v>197708</v>
      </c>
      <c r="R33" s="241">
        <v>173163</v>
      </c>
      <c r="S33" s="241">
        <v>316928</v>
      </c>
      <c r="T33" s="241">
        <v>204470</v>
      </c>
      <c r="U33" s="241">
        <v>160980</v>
      </c>
      <c r="V33" s="241">
        <f>298272+1461</f>
        <v>299733</v>
      </c>
      <c r="X33" s="185">
        <v>125441.64</v>
      </c>
      <c r="Y33" s="103">
        <v>0</v>
      </c>
      <c r="Z33" s="32">
        <f>SUM(X33:Y33)</f>
        <v>125442</v>
      </c>
    </row>
    <row r="34" spans="1:26" s="32" customFormat="1" ht="12.75">
      <c r="A34" s="32" t="s">
        <v>25</v>
      </c>
      <c r="B34" s="240">
        <f>14513+378</f>
        <v>14891</v>
      </c>
      <c r="C34" s="38">
        <v>15592</v>
      </c>
      <c r="D34" s="38">
        <v>10981</v>
      </c>
      <c r="E34" s="38">
        <v>27626</v>
      </c>
      <c r="F34" s="85">
        <v>20506</v>
      </c>
      <c r="G34" s="32">
        <v>78225</v>
      </c>
      <c r="H34" s="32">
        <v>33742</v>
      </c>
      <c r="I34" s="32">
        <v>41152</v>
      </c>
      <c r="J34" s="32">
        <v>28744</v>
      </c>
      <c r="K34" s="32">
        <v>32538</v>
      </c>
      <c r="L34" s="223">
        <f>(K34-J34)*100/J34</f>
        <v>13.2</v>
      </c>
      <c r="M34" s="224">
        <f>(K34-V34)*100/V34</f>
        <v>65.3</v>
      </c>
      <c r="N34" s="38">
        <v>17226</v>
      </c>
      <c r="O34" s="38">
        <v>18143</v>
      </c>
      <c r="P34" s="241">
        <v>17439</v>
      </c>
      <c r="Q34" s="241">
        <v>19340</v>
      </c>
      <c r="R34" s="241">
        <v>12505</v>
      </c>
      <c r="S34" s="241">
        <v>12129</v>
      </c>
      <c r="T34" s="241">
        <v>12592</v>
      </c>
      <c r="U34" s="241">
        <v>8618</v>
      </c>
      <c r="V34" s="241">
        <f>18922+758</f>
        <v>19680</v>
      </c>
      <c r="X34" s="185">
        <v>32537.56</v>
      </c>
      <c r="Y34" s="103">
        <v>0</v>
      </c>
      <c r="Z34" s="32">
        <f>SUM(X34:Y34)</f>
        <v>32538</v>
      </c>
    </row>
    <row r="35" spans="2:25" s="32" customFormat="1" ht="12.75">
      <c r="B35" s="240"/>
      <c r="C35" s="38"/>
      <c r="D35" s="38"/>
      <c r="E35" s="38"/>
      <c r="F35" s="85"/>
      <c r="L35" s="223"/>
      <c r="M35" s="224"/>
      <c r="O35" s="38"/>
      <c r="P35" s="241"/>
      <c r="Q35" s="241"/>
      <c r="R35" s="241"/>
      <c r="S35" s="241"/>
      <c r="T35" s="241"/>
      <c r="U35" s="241"/>
      <c r="V35" s="241"/>
      <c r="X35" s="103"/>
      <c r="Y35" s="103"/>
    </row>
    <row r="36" spans="1:26" s="32" customFormat="1" ht="12.75">
      <c r="A36" s="32" t="s">
        <v>26</v>
      </c>
      <c r="B36" s="240">
        <v>38430</v>
      </c>
      <c r="C36" s="38">
        <v>52103</v>
      </c>
      <c r="D36" s="38">
        <v>34035</v>
      </c>
      <c r="E36" s="38">
        <v>37797</v>
      </c>
      <c r="F36" s="85">
        <v>43183</v>
      </c>
      <c r="G36" s="32">
        <v>92725</v>
      </c>
      <c r="H36" s="32">
        <v>38242</v>
      </c>
      <c r="I36" s="32">
        <v>77368</v>
      </c>
      <c r="J36" s="32">
        <v>79442</v>
      </c>
      <c r="K36" s="32">
        <v>51054</v>
      </c>
      <c r="L36" s="223">
        <f>(K36-J36)*100/J36</f>
        <v>-35.7</v>
      </c>
      <c r="M36" s="224">
        <f>(K36-V36)*100/V36</f>
        <v>143.7</v>
      </c>
      <c r="N36" s="38">
        <v>60663</v>
      </c>
      <c r="O36" s="38">
        <v>62051</v>
      </c>
      <c r="P36" s="241">
        <v>52640</v>
      </c>
      <c r="Q36" s="241">
        <v>99868</v>
      </c>
      <c r="R36" s="241">
        <v>43448</v>
      </c>
      <c r="S36" s="241">
        <v>45408</v>
      </c>
      <c r="T36" s="241">
        <v>54945</v>
      </c>
      <c r="U36" s="241">
        <v>4957</v>
      </c>
      <c r="V36" s="241">
        <v>20950</v>
      </c>
      <c r="X36" s="185">
        <v>51053.93</v>
      </c>
      <c r="Y36" s="103">
        <v>0</v>
      </c>
      <c r="Z36" s="32">
        <f>SUM(X36:Y36)</f>
        <v>51054</v>
      </c>
    </row>
    <row r="37" spans="1:26" s="32" customFormat="1" ht="12.75">
      <c r="A37" s="32" t="s">
        <v>27</v>
      </c>
      <c r="B37" s="240">
        <v>240233</v>
      </c>
      <c r="C37" s="38">
        <f>294216+884</f>
        <v>295100</v>
      </c>
      <c r="D37" s="38">
        <f>249785+815</f>
        <v>250600</v>
      </c>
      <c r="E37" s="38">
        <v>250241</v>
      </c>
      <c r="F37" s="85">
        <v>279258</v>
      </c>
      <c r="G37" s="32">
        <v>349303</v>
      </c>
      <c r="H37" s="32">
        <v>408119</v>
      </c>
      <c r="I37" s="32">
        <v>371637</v>
      </c>
      <c r="J37" s="32">
        <v>347364</v>
      </c>
      <c r="K37" s="32">
        <v>347986</v>
      </c>
      <c r="L37" s="223">
        <f>(K37-J37)*100/J37</f>
        <v>0.2</v>
      </c>
      <c r="M37" s="224">
        <f>(K37-V37)*100/V37</f>
        <v>73.1</v>
      </c>
      <c r="N37" s="38">
        <v>154546</v>
      </c>
      <c r="O37" s="38">
        <v>150943</v>
      </c>
      <c r="P37" s="241">
        <v>199366</v>
      </c>
      <c r="Q37" s="241">
        <v>207246</v>
      </c>
      <c r="R37" s="241">
        <v>223549</v>
      </c>
      <c r="S37" s="241">
        <v>267279</v>
      </c>
      <c r="T37" s="241">
        <v>245866</v>
      </c>
      <c r="U37" s="241">
        <v>173419</v>
      </c>
      <c r="V37" s="241">
        <v>201023</v>
      </c>
      <c r="X37" s="185">
        <v>346841</v>
      </c>
      <c r="Y37" s="185">
        <v>1145</v>
      </c>
      <c r="Z37" s="32">
        <f>SUM(X37:Y37)</f>
        <v>347986</v>
      </c>
    </row>
    <row r="38" spans="1:26" s="32" customFormat="1" ht="12.75">
      <c r="A38" s="32" t="s">
        <v>28</v>
      </c>
      <c r="B38" s="240">
        <f>124302+1631</f>
        <v>125933</v>
      </c>
      <c r="C38" s="38">
        <f>116343+1777</f>
        <v>118120</v>
      </c>
      <c r="D38" s="38">
        <f>77870+1661</f>
        <v>79531</v>
      </c>
      <c r="E38" s="38">
        <v>74190</v>
      </c>
      <c r="F38" s="85">
        <v>126472</v>
      </c>
      <c r="G38" s="32">
        <v>225399</v>
      </c>
      <c r="H38" s="32">
        <v>243876</v>
      </c>
      <c r="I38" s="32">
        <v>229167</v>
      </c>
      <c r="J38" s="32">
        <v>235172</v>
      </c>
      <c r="K38" s="32">
        <v>229765</v>
      </c>
      <c r="L38" s="223">
        <f>(K38-J38)*100/J38</f>
        <v>-2.3</v>
      </c>
      <c r="M38" s="224">
        <f>(K38-V38)*100/V38</f>
        <v>9.6</v>
      </c>
      <c r="N38" s="38">
        <v>142447</v>
      </c>
      <c r="O38" s="38">
        <v>141851</v>
      </c>
      <c r="P38" s="241">
        <v>168467</v>
      </c>
      <c r="Q38" s="241">
        <v>183889</v>
      </c>
      <c r="R38" s="241">
        <v>208756</v>
      </c>
      <c r="S38" s="241">
        <v>222621</v>
      </c>
      <c r="T38" s="241">
        <v>356605</v>
      </c>
      <c r="U38" s="241">
        <v>55760</v>
      </c>
      <c r="V38" s="241">
        <f>207881+1796</f>
        <v>209677</v>
      </c>
      <c r="X38" s="185">
        <v>229765.45</v>
      </c>
      <c r="Y38" s="103">
        <v>0</v>
      </c>
      <c r="Z38" s="32">
        <f>SUM(X38:Y38)</f>
        <v>229765</v>
      </c>
    </row>
    <row r="39" spans="1:26" s="32" customFormat="1" ht="12.75">
      <c r="A39" s="44" t="s">
        <v>29</v>
      </c>
      <c r="B39" s="240">
        <f>116387+886</f>
        <v>117273</v>
      </c>
      <c r="C39" s="38">
        <f>120573+1020</f>
        <v>121593</v>
      </c>
      <c r="D39" s="38">
        <f>97650+2622</f>
        <v>100272</v>
      </c>
      <c r="E39" s="38">
        <v>105277</v>
      </c>
      <c r="F39" s="85">
        <v>105858</v>
      </c>
      <c r="G39" s="32">
        <v>161280</v>
      </c>
      <c r="H39" s="32">
        <v>164366</v>
      </c>
      <c r="I39" s="32">
        <v>154431</v>
      </c>
      <c r="J39" s="32">
        <v>158736</v>
      </c>
      <c r="K39" s="32">
        <v>189243</v>
      </c>
      <c r="L39" s="223">
        <f>(K39-J39)*100/J39</f>
        <v>19.2</v>
      </c>
      <c r="M39" s="224">
        <f>(K39-V39)*100/V39</f>
        <v>51</v>
      </c>
      <c r="N39" s="38">
        <v>55679</v>
      </c>
      <c r="O39" s="38">
        <v>53338</v>
      </c>
      <c r="P39" s="241">
        <v>63925</v>
      </c>
      <c r="Q39" s="241">
        <v>100095</v>
      </c>
      <c r="R39" s="241">
        <v>101693</v>
      </c>
      <c r="S39" s="241">
        <v>96204</v>
      </c>
      <c r="T39" s="241">
        <v>103865</v>
      </c>
      <c r="U39" s="241">
        <v>96171</v>
      </c>
      <c r="V39" s="241">
        <f>125083+279</f>
        <v>125362</v>
      </c>
      <c r="X39" s="189">
        <v>188180.37</v>
      </c>
      <c r="Y39" s="120">
        <v>1062.94</v>
      </c>
      <c r="Z39" s="32">
        <f>SUM(X39:Y39)</f>
        <v>189243</v>
      </c>
    </row>
    <row r="40" spans="1:25" s="32" customFormat="1" ht="12.75">
      <c r="A40" s="32" t="s">
        <v>68</v>
      </c>
      <c r="B40" s="39"/>
      <c r="C40" s="45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V40" s="39"/>
      <c r="Y40" s="103"/>
    </row>
    <row r="41" spans="1:25" s="32" customFormat="1" ht="12.75">
      <c r="A41" s="242"/>
      <c r="C41" s="38"/>
      <c r="Y41" s="103"/>
    </row>
    <row r="42" spans="2:17" s="32" customFormat="1" ht="12.75">
      <c r="B42" s="38"/>
      <c r="C42" s="38"/>
      <c r="O42" s="38"/>
      <c r="P42" s="38"/>
      <c r="Q42" s="38"/>
    </row>
    <row r="43" spans="2:17" ht="12.75">
      <c r="B43" s="15"/>
      <c r="C43" s="15"/>
      <c r="O43" s="15"/>
      <c r="P43" s="15"/>
      <c r="Q43" s="15"/>
    </row>
    <row r="44" spans="2:17" ht="12.75">
      <c r="B44" s="15"/>
      <c r="C44" s="15"/>
      <c r="O44" s="15"/>
      <c r="P44" s="15"/>
      <c r="Q44" s="15"/>
    </row>
    <row r="45" spans="2:17" ht="12.75">
      <c r="B45" s="15"/>
      <c r="C45" s="15"/>
      <c r="O45" s="15"/>
      <c r="P45" s="15"/>
      <c r="Q45" s="15"/>
    </row>
    <row r="46" spans="2:17" ht="12.75">
      <c r="B46" s="15"/>
      <c r="C46" s="15"/>
      <c r="O46" s="15"/>
      <c r="P46" s="15"/>
      <c r="Q46" s="15"/>
    </row>
    <row r="47" spans="2:3" ht="12.75">
      <c r="B47" s="15"/>
      <c r="C47" s="15"/>
    </row>
    <row r="48" spans="2:3" ht="12.75">
      <c r="B48" s="15"/>
      <c r="C48" s="15"/>
    </row>
    <row r="49" spans="2:3" ht="12.75">
      <c r="B49" s="15"/>
      <c r="C49" s="15"/>
    </row>
    <row r="50" spans="2:3" ht="12.75">
      <c r="B50" s="15"/>
      <c r="C50" s="15"/>
    </row>
    <row r="51" spans="2:3" ht="12.75">
      <c r="B51" s="15"/>
      <c r="C51" s="15"/>
    </row>
    <row r="52" ht="12.75">
      <c r="C52" s="15"/>
    </row>
    <row r="53" ht="12.75">
      <c r="C53" s="15"/>
    </row>
  </sheetData>
  <printOptions/>
  <pageMargins left="0.49" right="0.47" top="1" bottom="0.9" header="0.5" footer="0.5"/>
  <pageSetup fitToHeight="1" fitToWidth="1" orientation="landscape" scale="78" r:id="rId1"/>
  <headerFooter alignWithMargins="0">
    <oddHeader>&amp;R&amp;10
</oddHeader>
    <oddFooter>&amp;L&amp;"Lucida Sans,Italic"&amp;10MSDE-DBS 11 / 2004&amp;C- 14 -&amp;R&amp;"Lucida Sans,Italic"&amp;10Selected Financial Data - Part 4</oddFooter>
  </headerFooter>
  <rowBreaks count="1" manualBreakCount="1">
    <brk id="4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workbookViewId="0" topLeftCell="C13">
      <selection activeCell="J43" sqref="J43"/>
    </sheetView>
  </sheetViews>
  <sheetFormatPr defaultColWidth="9.00390625" defaultRowHeight="15.75"/>
  <cols>
    <col min="1" max="1" width="17.50390625" style="32" customWidth="1"/>
    <col min="2" max="11" width="12.625" style="32" customWidth="1"/>
    <col min="12" max="13" width="6.625" style="32" customWidth="1"/>
    <col min="14" max="14" width="8.625" style="32" bestFit="1" customWidth="1"/>
    <col min="15" max="20" width="10.125" style="32" customWidth="1"/>
    <col min="21" max="21" width="12.50390625" style="32" customWidth="1"/>
    <col min="22" max="22" width="12.875" style="32" customWidth="1"/>
    <col min="23" max="40" width="10.125" style="32" customWidth="1"/>
    <col min="41" max="16384" width="10.00390625" style="32" customWidth="1"/>
  </cols>
  <sheetData>
    <row r="1" spans="1:22" ht="15.75" customHeight="1">
      <c r="A1" s="129" t="s">
        <v>121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31"/>
      <c r="P1" s="33"/>
      <c r="Q1" s="33"/>
      <c r="R1" s="33"/>
      <c r="U1" s="129"/>
      <c r="V1" s="129"/>
    </row>
    <row r="2" spans="1:22" ht="12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33"/>
      <c r="P2" s="33"/>
      <c r="Q2" s="33"/>
      <c r="R2" s="33"/>
      <c r="U2" s="129"/>
      <c r="V2" s="129"/>
    </row>
    <row r="3" spans="1:22" ht="12.75">
      <c r="A3" s="129" t="s">
        <v>78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31"/>
      <c r="P3" s="33"/>
      <c r="Q3" s="33"/>
      <c r="R3" s="33"/>
      <c r="U3" s="129"/>
      <c r="V3" s="129"/>
    </row>
    <row r="4" spans="1:22" ht="12.75">
      <c r="A4" s="129" t="s">
        <v>200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31"/>
      <c r="P4" s="33"/>
      <c r="Q4" s="33"/>
      <c r="R4" s="33"/>
      <c r="U4" s="129"/>
      <c r="V4" s="129"/>
    </row>
    <row r="5" spans="24:26" ht="13.5" thickBot="1">
      <c r="X5" s="211" t="s">
        <v>199</v>
      </c>
      <c r="Y5" s="211"/>
      <c r="Z5" s="211"/>
    </row>
    <row r="6" spans="1:26" ht="13.5" thickTop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  <c r="U6" s="34"/>
      <c r="V6" s="34"/>
      <c r="X6" s="233" t="s">
        <v>157</v>
      </c>
      <c r="Y6" s="233"/>
      <c r="Z6" s="233"/>
    </row>
    <row r="7" spans="1:26" ht="12.75">
      <c r="A7" s="35"/>
      <c r="B7" s="35"/>
      <c r="C7" s="35"/>
      <c r="D7" s="35"/>
      <c r="L7" s="40" t="s">
        <v>34</v>
      </c>
      <c r="M7" s="40"/>
      <c r="O7" s="35"/>
      <c r="P7" s="35"/>
      <c r="Q7" s="35"/>
      <c r="R7" s="35"/>
      <c r="T7" s="35"/>
      <c r="U7" s="35"/>
      <c r="V7" s="35"/>
      <c r="X7" s="233" t="s">
        <v>158</v>
      </c>
      <c r="Y7" s="233"/>
      <c r="Z7" s="233"/>
    </row>
    <row r="8" spans="1:26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1" t="s">
        <v>106</v>
      </c>
      <c r="M8" s="31" t="s">
        <v>107</v>
      </c>
      <c r="O8" s="35"/>
      <c r="P8" s="35"/>
      <c r="Q8" s="35"/>
      <c r="R8" s="35"/>
      <c r="T8" s="35"/>
      <c r="U8" s="35"/>
      <c r="V8" s="35"/>
      <c r="X8" s="218" t="s">
        <v>131</v>
      </c>
      <c r="Y8" s="218"/>
      <c r="Z8" s="218"/>
    </row>
    <row r="9" spans="1:26" ht="13.5" thickBot="1">
      <c r="A9" s="36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42" t="s">
        <v>105</v>
      </c>
      <c r="M9" s="42" t="s">
        <v>105</v>
      </c>
      <c r="N9" s="31" t="s">
        <v>48</v>
      </c>
      <c r="O9" s="42" t="s">
        <v>70</v>
      </c>
      <c r="P9" s="42" t="s">
        <v>71</v>
      </c>
      <c r="Q9" s="42" t="s">
        <v>72</v>
      </c>
      <c r="R9" s="42" t="s">
        <v>73</v>
      </c>
      <c r="S9" s="42" t="s">
        <v>40</v>
      </c>
      <c r="T9" s="42" t="s">
        <v>41</v>
      </c>
      <c r="U9" s="42" t="s">
        <v>52</v>
      </c>
      <c r="V9" s="42" t="s">
        <v>96</v>
      </c>
      <c r="X9" s="42" t="s">
        <v>159</v>
      </c>
      <c r="Y9" s="234" t="s">
        <v>160</v>
      </c>
      <c r="Z9" s="234"/>
    </row>
    <row r="10" spans="1:26" ht="13.5" thickTop="1">
      <c r="A10" s="35" t="s">
        <v>5</v>
      </c>
      <c r="B10" s="53">
        <v>6106.38</v>
      </c>
      <c r="C10" s="54">
        <v>6337.74</v>
      </c>
      <c r="D10" s="55">
        <v>6445.42</v>
      </c>
      <c r="E10" s="56">
        <v>6584.22</v>
      </c>
      <c r="F10" s="87">
        <v>6821.41</v>
      </c>
      <c r="G10" s="87">
        <v>7125.3</v>
      </c>
      <c r="H10" s="87">
        <f>7466.58</f>
        <v>7466.58</v>
      </c>
      <c r="I10" s="87">
        <v>7970.84</v>
      </c>
      <c r="J10" s="87">
        <v>8351.42</v>
      </c>
      <c r="K10" s="87">
        <v>8765.45</v>
      </c>
      <c r="L10" s="230">
        <f>(K10-J10)/J10</f>
        <v>0.05</v>
      </c>
      <c r="M10" s="230">
        <f>(K10-V10)/V10</f>
        <v>0.466</v>
      </c>
      <c r="N10" s="57">
        <v>3672.77</v>
      </c>
      <c r="O10" s="53">
        <v>3990.31</v>
      </c>
      <c r="P10" s="53">
        <v>4300.19</v>
      </c>
      <c r="Q10" s="53">
        <v>4650.73</v>
      </c>
      <c r="R10" s="53">
        <v>5054.34</v>
      </c>
      <c r="S10" s="53">
        <v>5460.65</v>
      </c>
      <c r="T10" s="53">
        <v>5814.75</v>
      </c>
      <c r="U10" s="53">
        <v>5823.27</v>
      </c>
      <c r="V10" s="53">
        <v>5978.27</v>
      </c>
      <c r="X10" s="87">
        <v>8765.45</v>
      </c>
      <c r="Y10" s="235"/>
      <c r="Z10" s="235"/>
    </row>
    <row r="11" spans="2:24" ht="12.75">
      <c r="B11" s="137"/>
      <c r="C11" s="137"/>
      <c r="D11" s="230"/>
      <c r="E11" s="230"/>
      <c r="F11" s="230"/>
      <c r="G11" s="230"/>
      <c r="H11" s="230"/>
      <c r="I11" s="230"/>
      <c r="J11" s="53"/>
      <c r="K11" s="53"/>
      <c r="M11" s="222"/>
      <c r="O11" s="38"/>
      <c r="R11" s="38"/>
      <c r="S11" s="38"/>
      <c r="U11" s="136">
        <f>(U10-T10)/T10</f>
        <v>0.0015</v>
      </c>
      <c r="V11" s="137"/>
      <c r="X11" s="53"/>
    </row>
    <row r="12" spans="1:25" ht="12.75">
      <c r="A12" s="32" t="s">
        <v>6</v>
      </c>
      <c r="B12" s="60">
        <v>5346.5</v>
      </c>
      <c r="C12" s="86">
        <v>5623.59</v>
      </c>
      <c r="D12" s="58">
        <v>5843.24</v>
      </c>
      <c r="E12" s="61">
        <v>5888.74</v>
      </c>
      <c r="F12" s="86">
        <v>6130.88</v>
      </c>
      <c r="G12" s="86">
        <v>6476.04</v>
      </c>
      <c r="H12" s="86">
        <v>6967.45</v>
      </c>
      <c r="I12" s="58">
        <v>7209.84</v>
      </c>
      <c r="J12" s="86">
        <v>7848.37</v>
      </c>
      <c r="K12" s="86">
        <v>8051.21</v>
      </c>
      <c r="L12" s="231">
        <f>(K12-J12)*100/J12</f>
        <v>2.6</v>
      </c>
      <c r="M12" s="231">
        <f>((K12-V12)*100)/V12</f>
        <v>59.9</v>
      </c>
      <c r="N12" s="59">
        <v>3143.03</v>
      </c>
      <c r="O12" s="59">
        <v>3361.84</v>
      </c>
      <c r="P12" s="59">
        <v>3591.75</v>
      </c>
      <c r="Q12" s="59">
        <v>3911.9</v>
      </c>
      <c r="R12" s="59">
        <v>4241.6</v>
      </c>
      <c r="S12" s="59">
        <v>4489.65</v>
      </c>
      <c r="T12" s="59">
        <v>4781.72</v>
      </c>
      <c r="U12" s="59">
        <v>4957.29</v>
      </c>
      <c r="V12" s="59">
        <v>5034.47</v>
      </c>
      <c r="X12" s="86">
        <v>8051.21</v>
      </c>
      <c r="Y12" s="32">
        <v>16</v>
      </c>
    </row>
    <row r="13" spans="1:25" ht="12.75">
      <c r="A13" s="32" t="s">
        <v>7</v>
      </c>
      <c r="B13" s="60">
        <v>6144.22</v>
      </c>
      <c r="C13" s="86">
        <v>6451.81</v>
      </c>
      <c r="D13" s="58">
        <v>6455.32</v>
      </c>
      <c r="E13" s="61">
        <v>6463.42</v>
      </c>
      <c r="F13" s="86">
        <v>6628.59</v>
      </c>
      <c r="G13" s="86">
        <v>6811.6</v>
      </c>
      <c r="H13" s="86">
        <v>7190.8</v>
      </c>
      <c r="I13" s="58">
        <v>7782.27</v>
      </c>
      <c r="J13" s="86">
        <v>8103.5</v>
      </c>
      <c r="K13" s="86">
        <v>8522.46</v>
      </c>
      <c r="L13" s="231">
        <f>(K13-J13)*100/J13</f>
        <v>5.2</v>
      </c>
      <c r="M13" s="231">
        <f>((K13-V13)*100)/V13</f>
        <v>42.4</v>
      </c>
      <c r="N13" s="59">
        <v>3515.09</v>
      </c>
      <c r="O13" s="59">
        <v>3813.25</v>
      </c>
      <c r="P13" s="59">
        <v>4128.23</v>
      </c>
      <c r="Q13" s="59">
        <v>4467.11</v>
      </c>
      <c r="R13" s="59">
        <v>4889.18</v>
      </c>
      <c r="S13" s="59">
        <v>5385.05</v>
      </c>
      <c r="T13" s="59">
        <v>5836.6</v>
      </c>
      <c r="U13" s="59">
        <v>5713.41</v>
      </c>
      <c r="V13" s="59">
        <v>5984.26</v>
      </c>
      <c r="X13" s="86">
        <v>8522.46</v>
      </c>
      <c r="Y13" s="32">
        <v>9</v>
      </c>
    </row>
    <row r="14" spans="1:25" ht="12.75">
      <c r="A14" s="32" t="s">
        <v>8</v>
      </c>
      <c r="B14" s="60">
        <v>5565.52</v>
      </c>
      <c r="C14" s="86">
        <v>5872.83</v>
      </c>
      <c r="D14" s="58">
        <v>6151.88</v>
      </c>
      <c r="E14" s="61">
        <v>6407.68</v>
      </c>
      <c r="F14" s="86">
        <v>6924.13</v>
      </c>
      <c r="G14" s="86">
        <v>7415.36</v>
      </c>
      <c r="H14" s="86">
        <v>7963.33</v>
      </c>
      <c r="I14" s="58">
        <v>8789.62</v>
      </c>
      <c r="J14" s="86">
        <v>9086.31</v>
      </c>
      <c r="K14" s="86">
        <v>9585.49</v>
      </c>
      <c r="L14" s="231">
        <f>(K14-J14)*100/J14</f>
        <v>5.5</v>
      </c>
      <c r="M14" s="231">
        <f>((K14-V14)*100)/V14</f>
        <v>77.8</v>
      </c>
      <c r="N14" s="59">
        <v>3098.6</v>
      </c>
      <c r="O14" s="59">
        <v>3443.97</v>
      </c>
      <c r="P14" s="59">
        <v>3639.97</v>
      </c>
      <c r="Q14" s="59">
        <v>3965.85</v>
      </c>
      <c r="R14" s="59">
        <v>4255.14</v>
      </c>
      <c r="S14" s="59">
        <v>4613.84</v>
      </c>
      <c r="T14" s="59">
        <v>4947.03</v>
      </c>
      <c r="U14" s="59">
        <v>5181.83</v>
      </c>
      <c r="V14" s="59">
        <v>5391.47</v>
      </c>
      <c r="X14" s="86">
        <v>9585.49</v>
      </c>
      <c r="Y14" s="32">
        <v>4</v>
      </c>
    </row>
    <row r="15" spans="1:25" ht="12.75">
      <c r="A15" s="32" t="s">
        <v>9</v>
      </c>
      <c r="B15" s="60">
        <v>6191.3</v>
      </c>
      <c r="C15" s="86">
        <v>6337.14</v>
      </c>
      <c r="D15" s="58">
        <v>6380.34</v>
      </c>
      <c r="E15" s="61">
        <v>6600.55</v>
      </c>
      <c r="F15" s="86">
        <v>6917.99</v>
      </c>
      <c r="G15" s="86">
        <v>7006.98</v>
      </c>
      <c r="H15" s="86">
        <v>7320.69</v>
      </c>
      <c r="I15" s="58">
        <v>7907.94</v>
      </c>
      <c r="J15" s="86">
        <v>8240.94</v>
      </c>
      <c r="K15" s="86">
        <v>8562.39</v>
      </c>
      <c r="L15" s="231">
        <f>(K15-J15)*100/J15</f>
        <v>3.9</v>
      </c>
      <c r="M15" s="231">
        <f>((K15-V15)*100)/V15</f>
        <v>38</v>
      </c>
      <c r="N15" s="59">
        <v>4315.15</v>
      </c>
      <c r="O15" s="59">
        <v>3465.46</v>
      </c>
      <c r="P15" s="59">
        <v>4943.29</v>
      </c>
      <c r="Q15" s="59">
        <v>5162.31</v>
      </c>
      <c r="R15" s="59">
        <v>5722.35</v>
      </c>
      <c r="S15" s="59">
        <v>6006.49</v>
      </c>
      <c r="T15" s="59">
        <v>6219.88</v>
      </c>
      <c r="U15" s="59">
        <v>6199.86</v>
      </c>
      <c r="V15" s="59">
        <v>6202.94</v>
      </c>
      <c r="X15" s="86">
        <v>8562.39</v>
      </c>
      <c r="Y15" s="32">
        <v>8</v>
      </c>
    </row>
    <row r="16" spans="1:25" ht="12.75">
      <c r="A16" s="32" t="s">
        <v>10</v>
      </c>
      <c r="B16" s="60">
        <v>5686.91</v>
      </c>
      <c r="C16" s="86">
        <v>5872.26</v>
      </c>
      <c r="D16" s="58">
        <v>5996.86</v>
      </c>
      <c r="E16" s="61">
        <v>6038.52</v>
      </c>
      <c r="F16" s="86">
        <v>6227.32</v>
      </c>
      <c r="G16" s="86">
        <v>6520.8</v>
      </c>
      <c r="H16" s="86">
        <v>6706.31</v>
      </c>
      <c r="I16" s="58">
        <v>7043.38</v>
      </c>
      <c r="J16" s="86">
        <v>7642.87</v>
      </c>
      <c r="K16" s="86">
        <v>8224.67</v>
      </c>
      <c r="L16" s="231">
        <f>(K16-J16)*100/J16</f>
        <v>7.6</v>
      </c>
      <c r="M16" s="231">
        <f>((K16-V16)*100)/V16</f>
        <v>46.6</v>
      </c>
      <c r="N16" s="59">
        <v>3575.04</v>
      </c>
      <c r="O16" s="59">
        <v>3854.38</v>
      </c>
      <c r="P16" s="59">
        <v>3985.16</v>
      </c>
      <c r="Q16" s="59">
        <v>4154.94</v>
      </c>
      <c r="R16" s="59">
        <v>4510.55</v>
      </c>
      <c r="S16" s="59">
        <v>4821.59</v>
      </c>
      <c r="T16" s="59">
        <v>5165.02</v>
      </c>
      <c r="U16" s="59">
        <v>5423.39</v>
      </c>
      <c r="V16" s="59">
        <v>5609.6</v>
      </c>
      <c r="X16" s="86">
        <v>8224.67</v>
      </c>
      <c r="Y16" s="32">
        <v>14</v>
      </c>
    </row>
    <row r="17" spans="2:24" ht="12.75">
      <c r="B17" s="60"/>
      <c r="C17" s="86"/>
      <c r="D17" s="58"/>
      <c r="E17" s="61"/>
      <c r="F17" s="86"/>
      <c r="G17" s="86"/>
      <c r="H17" s="86"/>
      <c r="I17" s="58"/>
      <c r="J17" s="86"/>
      <c r="K17" s="86"/>
      <c r="L17" s="224"/>
      <c r="M17" s="224"/>
      <c r="N17" s="59"/>
      <c r="O17" s="59"/>
      <c r="P17" s="59"/>
      <c r="Q17" s="59"/>
      <c r="R17" s="59"/>
      <c r="S17" s="59"/>
      <c r="T17" s="59"/>
      <c r="U17" s="59"/>
      <c r="V17" s="59"/>
      <c r="X17" s="86"/>
    </row>
    <row r="18" spans="1:25" ht="12.75">
      <c r="A18" s="32" t="s">
        <v>11</v>
      </c>
      <c r="B18" s="60">
        <v>5063</v>
      </c>
      <c r="C18" s="86">
        <v>5262.09</v>
      </c>
      <c r="D18" s="58">
        <v>5354.61</v>
      </c>
      <c r="E18" s="61">
        <v>5631.2</v>
      </c>
      <c r="F18" s="86">
        <v>5984.79</v>
      </c>
      <c r="G18" s="86">
        <v>6281.77</v>
      </c>
      <c r="H18" s="86">
        <v>6419.54</v>
      </c>
      <c r="I18" s="58">
        <v>6681.47</v>
      </c>
      <c r="J18" s="86">
        <v>7090.43</v>
      </c>
      <c r="K18" s="86">
        <v>7657.2</v>
      </c>
      <c r="L18" s="231">
        <f>(K18-J18)*100/J18</f>
        <v>8</v>
      </c>
      <c r="M18" s="231">
        <f>((K18-V18)*100)/V18</f>
        <v>56.3</v>
      </c>
      <c r="N18" s="59">
        <v>2879.04</v>
      </c>
      <c r="O18" s="59">
        <v>3076.12</v>
      </c>
      <c r="P18" s="59">
        <v>3396.75</v>
      </c>
      <c r="Q18" s="59">
        <v>3760.86</v>
      </c>
      <c r="R18" s="59">
        <v>4048.73</v>
      </c>
      <c r="S18" s="59">
        <v>4283.82</v>
      </c>
      <c r="T18" s="59">
        <v>4557.7</v>
      </c>
      <c r="U18" s="59">
        <v>4705.98</v>
      </c>
      <c r="V18" s="59">
        <v>4898.29</v>
      </c>
      <c r="X18" s="86">
        <v>7657.2</v>
      </c>
      <c r="Y18" s="32">
        <v>23</v>
      </c>
    </row>
    <row r="19" spans="1:25" ht="12.75">
      <c r="A19" s="32" t="s">
        <v>12</v>
      </c>
      <c r="B19" s="60">
        <v>5529.32</v>
      </c>
      <c r="C19" s="86">
        <v>5795.44</v>
      </c>
      <c r="D19" s="58">
        <v>5827.92</v>
      </c>
      <c r="E19" s="61">
        <v>5873.88</v>
      </c>
      <c r="F19" s="86">
        <v>6066.49</v>
      </c>
      <c r="G19" s="86">
        <v>6379.48</v>
      </c>
      <c r="H19" s="86">
        <v>6621.8</v>
      </c>
      <c r="I19" s="58">
        <v>7058.83</v>
      </c>
      <c r="J19" s="86">
        <v>7334.79</v>
      </c>
      <c r="K19" s="86">
        <v>7723.83</v>
      </c>
      <c r="L19" s="231">
        <f>(K19-J19)*100/J19</f>
        <v>5.3</v>
      </c>
      <c r="M19" s="231">
        <f>((K19-V19)*100)/V19</f>
        <v>45.3</v>
      </c>
      <c r="N19" s="59">
        <v>3051.56</v>
      </c>
      <c r="O19" s="59">
        <v>3250.68</v>
      </c>
      <c r="P19" s="59">
        <v>3568.15</v>
      </c>
      <c r="Q19" s="59">
        <v>3892.91</v>
      </c>
      <c r="R19" s="59">
        <v>4320.33</v>
      </c>
      <c r="S19" s="59">
        <v>4736.49</v>
      </c>
      <c r="T19" s="59">
        <v>5076.25</v>
      </c>
      <c r="U19" s="59">
        <v>5188.56</v>
      </c>
      <c r="V19" s="59">
        <v>5315.48</v>
      </c>
      <c r="X19" s="86">
        <v>7723.83</v>
      </c>
      <c r="Y19" s="32">
        <v>22</v>
      </c>
    </row>
    <row r="20" spans="1:25" ht="12.75">
      <c r="A20" s="32" t="s">
        <v>13</v>
      </c>
      <c r="B20" s="60">
        <v>5477.49</v>
      </c>
      <c r="C20" s="86">
        <v>5687.69</v>
      </c>
      <c r="D20" s="58">
        <v>5830.79</v>
      </c>
      <c r="E20" s="61">
        <v>5893.97</v>
      </c>
      <c r="F20" s="86">
        <v>6122.02</v>
      </c>
      <c r="G20" s="86">
        <v>6451.34</v>
      </c>
      <c r="H20" s="86">
        <v>6729.38</v>
      </c>
      <c r="I20" s="58">
        <v>7185.25</v>
      </c>
      <c r="J20" s="86">
        <v>7454.28</v>
      </c>
      <c r="K20" s="86">
        <v>7798.56</v>
      </c>
      <c r="L20" s="231">
        <f>(K20-J20)*100/J20</f>
        <v>4.6</v>
      </c>
      <c r="M20" s="231">
        <f>((K20-V20)*100)/V20</f>
        <v>52</v>
      </c>
      <c r="N20" s="59">
        <v>3071.63</v>
      </c>
      <c r="O20" s="59">
        <v>3341.91</v>
      </c>
      <c r="P20" s="59">
        <v>3592.77</v>
      </c>
      <c r="Q20" s="59">
        <v>3931.81</v>
      </c>
      <c r="R20" s="59">
        <v>4169.63</v>
      </c>
      <c r="S20" s="59">
        <v>4630.23</v>
      </c>
      <c r="T20" s="59">
        <v>4912.61</v>
      </c>
      <c r="U20" s="59">
        <v>5075.28</v>
      </c>
      <c r="V20" s="59">
        <v>5131.01</v>
      </c>
      <c r="X20" s="86">
        <v>7798.56</v>
      </c>
      <c r="Y20" s="32">
        <v>20</v>
      </c>
    </row>
    <row r="21" spans="1:25" ht="12.75">
      <c r="A21" s="32" t="s">
        <v>14</v>
      </c>
      <c r="B21" s="60">
        <v>5830.56</v>
      </c>
      <c r="C21" s="86">
        <v>5958.52</v>
      </c>
      <c r="D21" s="58">
        <v>5969.27</v>
      </c>
      <c r="E21" s="61">
        <v>6157.69</v>
      </c>
      <c r="F21" s="86">
        <v>6271.22</v>
      </c>
      <c r="G21" s="86">
        <v>6422.98</v>
      </c>
      <c r="H21" s="86">
        <v>6748.79</v>
      </c>
      <c r="I21" s="58">
        <v>7023.29</v>
      </c>
      <c r="J21" s="86">
        <v>7363.01</v>
      </c>
      <c r="K21" s="86">
        <v>7786.32</v>
      </c>
      <c r="L21" s="231">
        <f>(K21-J21)*100/J21</f>
        <v>5.7</v>
      </c>
      <c r="M21" s="231">
        <f>((K21-V21)*100)/V21</f>
        <v>38.4</v>
      </c>
      <c r="N21" s="59">
        <v>3200.65</v>
      </c>
      <c r="O21" s="59">
        <v>3419.11</v>
      </c>
      <c r="P21" s="59">
        <v>3709.63</v>
      </c>
      <c r="Q21" s="59">
        <v>4012.31</v>
      </c>
      <c r="R21" s="59">
        <v>4396.36</v>
      </c>
      <c r="S21" s="59">
        <v>4928.76</v>
      </c>
      <c r="T21" s="59">
        <v>5226.64</v>
      </c>
      <c r="U21" s="59">
        <v>5448.45</v>
      </c>
      <c r="V21" s="59">
        <v>5626.86</v>
      </c>
      <c r="X21" s="86">
        <v>7786.32</v>
      </c>
      <c r="Y21" s="32">
        <v>21</v>
      </c>
    </row>
    <row r="22" spans="1:25" ht="12.75">
      <c r="A22" s="32" t="s">
        <v>15</v>
      </c>
      <c r="B22" s="60">
        <v>5668.1</v>
      </c>
      <c r="C22" s="86">
        <v>6057.77</v>
      </c>
      <c r="D22" s="58">
        <v>6137.75</v>
      </c>
      <c r="E22" s="61">
        <v>6428.24</v>
      </c>
      <c r="F22" s="86">
        <v>6791.72</v>
      </c>
      <c r="G22" s="86">
        <v>6937.82</v>
      </c>
      <c r="H22" s="86">
        <v>7435.29</v>
      </c>
      <c r="I22" s="58">
        <v>8066.98</v>
      </c>
      <c r="J22" s="86">
        <v>8280.43</v>
      </c>
      <c r="K22" s="86">
        <v>8830.7</v>
      </c>
      <c r="L22" s="231">
        <f>(K22-J22)*100/J22</f>
        <v>6.6</v>
      </c>
      <c r="M22" s="231">
        <f>((K22-V22)*100)/V22</f>
        <v>63.8</v>
      </c>
      <c r="N22" s="59">
        <v>3359.17</v>
      </c>
      <c r="O22" s="59">
        <v>3698.52</v>
      </c>
      <c r="P22" s="59">
        <v>3862.66</v>
      </c>
      <c r="Q22" s="59">
        <v>4174.21</v>
      </c>
      <c r="R22" s="59">
        <v>4550.95</v>
      </c>
      <c r="S22" s="59">
        <v>5056.99</v>
      </c>
      <c r="T22" s="59">
        <v>5289.09</v>
      </c>
      <c r="U22" s="59">
        <v>5366.62</v>
      </c>
      <c r="V22" s="59">
        <v>5390.79</v>
      </c>
      <c r="X22" s="86">
        <v>8830.7</v>
      </c>
      <c r="Y22" s="32">
        <v>7</v>
      </c>
    </row>
    <row r="23" spans="2:24" ht="12.75">
      <c r="B23" s="60"/>
      <c r="C23" s="86"/>
      <c r="D23" s="58"/>
      <c r="E23" s="61"/>
      <c r="F23" s="86"/>
      <c r="G23" s="86"/>
      <c r="H23" s="86"/>
      <c r="I23" s="58"/>
      <c r="J23" s="86"/>
      <c r="K23" s="86"/>
      <c r="L23" s="224"/>
      <c r="M23" s="224"/>
      <c r="N23" s="59"/>
      <c r="O23" s="59"/>
      <c r="P23" s="59"/>
      <c r="Q23" s="59"/>
      <c r="R23" s="59"/>
      <c r="S23" s="59"/>
      <c r="T23" s="59"/>
      <c r="U23" s="59"/>
      <c r="V23" s="59"/>
      <c r="X23" s="86"/>
    </row>
    <row r="24" spans="1:25" ht="12.75">
      <c r="A24" s="32" t="s">
        <v>16</v>
      </c>
      <c r="B24" s="60">
        <v>5514.07</v>
      </c>
      <c r="C24" s="86">
        <v>5767.39</v>
      </c>
      <c r="D24" s="58">
        <v>5803.58</v>
      </c>
      <c r="E24" s="61">
        <v>5858.42</v>
      </c>
      <c r="F24" s="86">
        <v>6116.11</v>
      </c>
      <c r="G24" s="86">
        <v>6364.13</v>
      </c>
      <c r="H24" s="86">
        <v>6573.55</v>
      </c>
      <c r="I24" s="58">
        <v>6973.44</v>
      </c>
      <c r="J24" s="86">
        <v>7436.25</v>
      </c>
      <c r="K24" s="86">
        <v>7930.36</v>
      </c>
      <c r="L24" s="231">
        <f>(K24-J24)*100/J24</f>
        <v>6.6</v>
      </c>
      <c r="M24" s="231">
        <f>((K24-V24)*100)/V24</f>
        <v>48</v>
      </c>
      <c r="N24" s="59">
        <v>3270.32</v>
      </c>
      <c r="O24" s="59">
        <v>3410.66</v>
      </c>
      <c r="P24" s="59">
        <v>3655.45</v>
      </c>
      <c r="Q24" s="59">
        <v>3991.87</v>
      </c>
      <c r="R24" s="59">
        <v>4396.78</v>
      </c>
      <c r="S24" s="59">
        <v>4852.38</v>
      </c>
      <c r="T24" s="59">
        <v>5299.73</v>
      </c>
      <c r="U24" s="59">
        <v>5326.5</v>
      </c>
      <c r="V24" s="59">
        <v>5358.17</v>
      </c>
      <c r="X24" s="86">
        <v>7930.36</v>
      </c>
      <c r="Y24" s="32">
        <v>18</v>
      </c>
    </row>
    <row r="25" spans="1:25" ht="12.75">
      <c r="A25" s="32" t="s">
        <v>17</v>
      </c>
      <c r="B25" s="60">
        <v>5437.88</v>
      </c>
      <c r="C25" s="86">
        <v>5710.73</v>
      </c>
      <c r="D25" s="58">
        <v>5865.05</v>
      </c>
      <c r="E25" s="61">
        <v>6105.15</v>
      </c>
      <c r="F25" s="86">
        <v>6471.54</v>
      </c>
      <c r="G25" s="86">
        <v>6701.91</v>
      </c>
      <c r="H25" s="86">
        <v>6977.85</v>
      </c>
      <c r="I25" s="58">
        <v>7455.2</v>
      </c>
      <c r="J25" s="86">
        <v>7927.12</v>
      </c>
      <c r="K25" s="86">
        <v>8402.57</v>
      </c>
      <c r="L25" s="231">
        <f>(K25-J25)*100/J25</f>
        <v>6</v>
      </c>
      <c r="M25" s="231">
        <f>((K25-V25)*100)/V25</f>
        <v>58.9</v>
      </c>
      <c r="N25" s="59">
        <v>2794.14</v>
      </c>
      <c r="O25" s="59">
        <v>3264.64</v>
      </c>
      <c r="P25" s="59">
        <v>3558.42</v>
      </c>
      <c r="Q25" s="59">
        <v>3862.36</v>
      </c>
      <c r="R25" s="59">
        <v>4211.3</v>
      </c>
      <c r="S25" s="59">
        <v>4602.61</v>
      </c>
      <c r="T25" s="59">
        <v>5036.21</v>
      </c>
      <c r="U25" s="59">
        <v>5019.7</v>
      </c>
      <c r="V25" s="59">
        <v>5286.78</v>
      </c>
      <c r="X25" s="86">
        <v>8402.57</v>
      </c>
      <c r="Y25" s="32">
        <v>11</v>
      </c>
    </row>
    <row r="26" spans="1:25" ht="12.75">
      <c r="A26" s="32" t="s">
        <v>18</v>
      </c>
      <c r="B26" s="60">
        <v>5447.48</v>
      </c>
      <c r="C26" s="86">
        <v>5696.95</v>
      </c>
      <c r="D26" s="58">
        <v>5858.13</v>
      </c>
      <c r="E26" s="61">
        <v>5945.78</v>
      </c>
      <c r="F26" s="86">
        <v>6131.75</v>
      </c>
      <c r="G26" s="86">
        <v>6218.09</v>
      </c>
      <c r="H26" s="86">
        <v>6532.17</v>
      </c>
      <c r="I26" s="58">
        <v>6962.42</v>
      </c>
      <c r="J26" s="86">
        <v>7311.55</v>
      </c>
      <c r="K26" s="86">
        <v>7304.12</v>
      </c>
      <c r="L26" s="231">
        <f>(K26-J26)*100/J26</f>
        <v>-0.1</v>
      </c>
      <c r="M26" s="231">
        <f>((K26-V26)*100)/V26</f>
        <v>39.8</v>
      </c>
      <c r="N26" s="59">
        <v>3175.72</v>
      </c>
      <c r="O26" s="59">
        <v>3416.96</v>
      </c>
      <c r="P26" s="59">
        <v>3645.3</v>
      </c>
      <c r="Q26" s="59">
        <v>3869.8</v>
      </c>
      <c r="R26" s="59">
        <v>4190.94</v>
      </c>
      <c r="S26" s="59">
        <v>4505.41</v>
      </c>
      <c r="T26" s="59">
        <v>4857.55</v>
      </c>
      <c r="U26" s="59">
        <v>5006.56</v>
      </c>
      <c r="V26" s="59">
        <v>5223.39</v>
      </c>
      <c r="X26" s="86">
        <v>7304.12</v>
      </c>
      <c r="Y26" s="32">
        <v>24</v>
      </c>
    </row>
    <row r="27" spans="1:25" ht="12.75">
      <c r="A27" s="32" t="s">
        <v>19</v>
      </c>
      <c r="B27" s="60">
        <v>6570.92</v>
      </c>
      <c r="C27" s="86">
        <v>6793.21</v>
      </c>
      <c r="D27" s="58">
        <v>5996.98</v>
      </c>
      <c r="E27" s="61">
        <v>6987.95</v>
      </c>
      <c r="F27" s="86">
        <v>7189.81</v>
      </c>
      <c r="G27" s="86">
        <v>7434.36</v>
      </c>
      <c r="H27" s="86">
        <v>7879.56</v>
      </c>
      <c r="I27" s="58">
        <v>8431.89</v>
      </c>
      <c r="J27" s="86">
        <v>8976.89</v>
      </c>
      <c r="K27" s="86">
        <v>8969.6</v>
      </c>
      <c r="L27" s="231">
        <f>(K27-J27)*100/J27</f>
        <v>-0.1</v>
      </c>
      <c r="M27" s="231">
        <f>((K27-V27)*100)/V27</f>
        <v>38.9</v>
      </c>
      <c r="N27" s="59">
        <v>3959.87</v>
      </c>
      <c r="O27" s="59">
        <v>4313</v>
      </c>
      <c r="P27" s="59">
        <v>4726.7</v>
      </c>
      <c r="Q27" s="59">
        <v>5072.81</v>
      </c>
      <c r="R27" s="59">
        <v>5549.22</v>
      </c>
      <c r="S27" s="59">
        <v>6028.51</v>
      </c>
      <c r="T27" s="59">
        <v>6694.59</v>
      </c>
      <c r="U27" s="59">
        <v>6488.66</v>
      </c>
      <c r="V27" s="59">
        <v>6456.71</v>
      </c>
      <c r="X27" s="86">
        <v>8969.6</v>
      </c>
      <c r="Y27" s="32">
        <v>6</v>
      </c>
    </row>
    <row r="28" spans="1:25" ht="12.75">
      <c r="A28" s="32" t="s">
        <v>20</v>
      </c>
      <c r="B28" s="60">
        <v>6430.17</v>
      </c>
      <c r="C28" s="86">
        <v>6688.63</v>
      </c>
      <c r="D28" s="58">
        <v>6815.05</v>
      </c>
      <c r="E28" s="61">
        <v>6944.64</v>
      </c>
      <c r="F28" s="86">
        <v>7850.25</v>
      </c>
      <c r="G28" s="86">
        <v>7771.19</v>
      </c>
      <c r="H28" s="86">
        <v>7964.04</v>
      </c>
      <c r="I28" s="58">
        <v>8979.82</v>
      </c>
      <c r="J28" s="86">
        <v>9460.65</v>
      </c>
      <c r="K28" s="86">
        <v>10038.36</v>
      </c>
      <c r="L28" s="231">
        <f>(K28-J28)*100/J28</f>
        <v>6.1</v>
      </c>
      <c r="M28" s="231">
        <f>((K28-V28)*100)/V28</f>
        <v>67</v>
      </c>
      <c r="N28" s="59">
        <v>3453.43</v>
      </c>
      <c r="O28" s="59">
        <v>3962.2</v>
      </c>
      <c r="P28" s="59">
        <v>4315.83</v>
      </c>
      <c r="Q28" s="59">
        <v>4712.62</v>
      </c>
      <c r="R28" s="59">
        <v>5277.09</v>
      </c>
      <c r="S28" s="59">
        <v>5622.85</v>
      </c>
      <c r="T28" s="59">
        <v>5753.16</v>
      </c>
      <c r="U28" s="59">
        <v>6015.61</v>
      </c>
      <c r="V28" s="59">
        <v>6009.46</v>
      </c>
      <c r="X28" s="86">
        <v>10038.36</v>
      </c>
      <c r="Y28" s="32">
        <v>3</v>
      </c>
    </row>
    <row r="29" spans="2:24" ht="12.75">
      <c r="B29" s="60"/>
      <c r="C29" s="86"/>
      <c r="D29" s="58"/>
      <c r="E29" s="61"/>
      <c r="F29" s="86"/>
      <c r="G29" s="86"/>
      <c r="H29" s="86"/>
      <c r="I29" s="58"/>
      <c r="J29" s="86"/>
      <c r="K29" s="86"/>
      <c r="L29" s="224"/>
      <c r="M29" s="224"/>
      <c r="N29" s="59"/>
      <c r="O29" s="59"/>
      <c r="P29" s="59"/>
      <c r="Q29" s="59"/>
      <c r="R29" s="59"/>
      <c r="S29" s="59"/>
      <c r="T29" s="59"/>
      <c r="U29" s="59"/>
      <c r="V29" s="59"/>
      <c r="X29" s="86"/>
    </row>
    <row r="30" spans="1:25" ht="12.75">
      <c r="A30" s="32" t="s">
        <v>21</v>
      </c>
      <c r="B30" s="60">
        <v>7538.69</v>
      </c>
      <c r="C30" s="86">
        <v>7697.39</v>
      </c>
      <c r="D30" s="58">
        <v>7886.82</v>
      </c>
      <c r="E30" s="61">
        <v>8034.88</v>
      </c>
      <c r="F30" s="86">
        <v>8287</v>
      </c>
      <c r="G30" s="86">
        <v>8574.38</v>
      </c>
      <c r="H30" s="86">
        <v>8888.19</v>
      </c>
      <c r="I30" s="58">
        <v>9488.3</v>
      </c>
      <c r="J30" s="86">
        <v>9876.27</v>
      </c>
      <c r="K30" s="86">
        <v>10415.11</v>
      </c>
      <c r="L30" s="231">
        <f>(K30-J30)*100/J30</f>
        <v>5.5</v>
      </c>
      <c r="M30" s="231">
        <f>((K30-V30)*100)/V30</f>
        <v>38.1</v>
      </c>
      <c r="N30" s="59">
        <v>4901.45</v>
      </c>
      <c r="O30" s="59">
        <v>5295.02</v>
      </c>
      <c r="P30" s="59">
        <v>5643.57</v>
      </c>
      <c r="Q30" s="59">
        <v>6111.85</v>
      </c>
      <c r="R30" s="59">
        <v>6629.5</v>
      </c>
      <c r="S30" s="59">
        <v>7213.13</v>
      </c>
      <c r="T30" s="59">
        <v>7590.72</v>
      </c>
      <c r="U30" s="59">
        <v>7376.56</v>
      </c>
      <c r="V30" s="59">
        <v>7543.66</v>
      </c>
      <c r="X30" s="86">
        <v>10415.11</v>
      </c>
      <c r="Y30" s="32">
        <v>2</v>
      </c>
    </row>
    <row r="31" spans="1:25" ht="12.75">
      <c r="A31" s="32" t="s">
        <v>22</v>
      </c>
      <c r="B31" s="60">
        <v>6018.46</v>
      </c>
      <c r="C31" s="86">
        <v>6272.26</v>
      </c>
      <c r="D31" s="58">
        <v>6282.47</v>
      </c>
      <c r="E31" s="61">
        <v>6370.12</v>
      </c>
      <c r="F31" s="86">
        <v>6584.5</v>
      </c>
      <c r="G31" s="86">
        <v>6853.48</v>
      </c>
      <c r="H31" s="86">
        <v>7116.13</v>
      </c>
      <c r="I31" s="58">
        <v>7313.09</v>
      </c>
      <c r="J31" s="86">
        <v>7698.87</v>
      </c>
      <c r="K31" s="86">
        <v>8261.77</v>
      </c>
      <c r="L31" s="231">
        <f>(K31-J31)*100/J31</f>
        <v>7.3</v>
      </c>
      <c r="M31" s="231">
        <f>((K31-V31)*100)/V31</f>
        <v>40.1</v>
      </c>
      <c r="N31" s="59">
        <v>3577.89</v>
      </c>
      <c r="O31" s="59">
        <v>3931.28</v>
      </c>
      <c r="P31" s="59">
        <v>4326.44</v>
      </c>
      <c r="Q31" s="59">
        <v>4805.36</v>
      </c>
      <c r="R31" s="59">
        <v>5157.42</v>
      </c>
      <c r="S31" s="59">
        <v>5470.57</v>
      </c>
      <c r="T31" s="59">
        <v>5802.68</v>
      </c>
      <c r="U31" s="59">
        <v>5636.98</v>
      </c>
      <c r="V31" s="59">
        <v>5897.43</v>
      </c>
      <c r="X31" s="86">
        <v>8261.77</v>
      </c>
      <c r="Y31" s="32">
        <v>13</v>
      </c>
    </row>
    <row r="32" spans="1:25" ht="12.75">
      <c r="A32" s="32" t="s">
        <v>23</v>
      </c>
      <c r="B32" s="60">
        <v>5932.42</v>
      </c>
      <c r="C32" s="86">
        <v>6095.58</v>
      </c>
      <c r="D32" s="58">
        <v>6059.12</v>
      </c>
      <c r="E32" s="61">
        <v>6281.33</v>
      </c>
      <c r="F32" s="86">
        <v>6382.87</v>
      </c>
      <c r="G32" s="86">
        <v>6741.51</v>
      </c>
      <c r="H32" s="86">
        <v>6966.58</v>
      </c>
      <c r="I32" s="58">
        <v>7395.2</v>
      </c>
      <c r="J32" s="86">
        <v>7919.13</v>
      </c>
      <c r="K32" s="86">
        <v>8098</v>
      </c>
      <c r="L32" s="231">
        <f>(K32-J32)*100/J32</f>
        <v>2.3</v>
      </c>
      <c r="M32" s="231">
        <f>((K32-V32)*100)/V32</f>
        <v>43.7</v>
      </c>
      <c r="N32" s="59">
        <v>3367.29</v>
      </c>
      <c r="O32" s="59">
        <v>3852.69</v>
      </c>
      <c r="P32" s="59">
        <v>4262.23</v>
      </c>
      <c r="Q32" s="59">
        <v>4443.58</v>
      </c>
      <c r="R32" s="59">
        <v>4726.82</v>
      </c>
      <c r="S32" s="59">
        <v>5132.51</v>
      </c>
      <c r="T32" s="59">
        <v>5357.94</v>
      </c>
      <c r="U32" s="59">
        <v>5591.5</v>
      </c>
      <c r="V32" s="59">
        <v>5635.29</v>
      </c>
      <c r="X32" s="86">
        <v>8098</v>
      </c>
      <c r="Y32" s="32">
        <v>15</v>
      </c>
    </row>
    <row r="33" spans="1:25" ht="12.75">
      <c r="A33" s="32" t="s">
        <v>24</v>
      </c>
      <c r="B33" s="60">
        <v>6020.72</v>
      </c>
      <c r="C33" s="86">
        <v>6234.93</v>
      </c>
      <c r="D33" s="58">
        <v>5993.81</v>
      </c>
      <c r="E33" s="61">
        <v>6270.88</v>
      </c>
      <c r="F33" s="86">
        <v>6421.45</v>
      </c>
      <c r="G33" s="86">
        <v>6708.32</v>
      </c>
      <c r="H33" s="86">
        <v>6953.05</v>
      </c>
      <c r="I33" s="58">
        <v>7425.96</v>
      </c>
      <c r="J33" s="86">
        <v>7852.41</v>
      </c>
      <c r="K33" s="86">
        <v>7968.32</v>
      </c>
      <c r="L33" s="231">
        <f>(K33-J33)*100/J33</f>
        <v>1.5</v>
      </c>
      <c r="M33" s="231">
        <f>((K33-V33)*100)/V33</f>
        <v>35.8</v>
      </c>
      <c r="N33" s="59">
        <v>3186.08</v>
      </c>
      <c r="O33" s="59">
        <v>3634.98</v>
      </c>
      <c r="P33" s="59">
        <v>3898.11</v>
      </c>
      <c r="Q33" s="59">
        <v>4185.04</v>
      </c>
      <c r="R33" s="59">
        <v>4436.57</v>
      </c>
      <c r="S33" s="59">
        <v>4833.87</v>
      </c>
      <c r="T33" s="59">
        <v>5179.09</v>
      </c>
      <c r="U33" s="59">
        <v>5668.47</v>
      </c>
      <c r="V33" s="59">
        <v>5865.71</v>
      </c>
      <c r="X33" s="86">
        <v>7968.32</v>
      </c>
      <c r="Y33" s="32">
        <v>17</v>
      </c>
    </row>
    <row r="34" spans="1:25" ht="12.75">
      <c r="A34" s="32" t="s">
        <v>25</v>
      </c>
      <c r="B34" s="60">
        <v>5622.46</v>
      </c>
      <c r="C34" s="86">
        <v>5956.8</v>
      </c>
      <c r="D34" s="58">
        <v>6586.33</v>
      </c>
      <c r="E34" s="61">
        <v>6624.11</v>
      </c>
      <c r="F34" s="86">
        <v>7313.89</v>
      </c>
      <c r="G34" s="86">
        <v>7637.66</v>
      </c>
      <c r="H34" s="86">
        <v>8033.8</v>
      </c>
      <c r="I34" s="58">
        <v>8465.22</v>
      </c>
      <c r="J34" s="86">
        <v>8978.08</v>
      </c>
      <c r="K34" s="86">
        <v>9523.81</v>
      </c>
      <c r="L34" s="231">
        <f>(K34-J34)*100/J34</f>
        <v>6.1</v>
      </c>
      <c r="M34" s="231">
        <f>((K34-V34)*100)/V34</f>
        <v>86.5</v>
      </c>
      <c r="N34" s="59">
        <v>3018.29</v>
      </c>
      <c r="O34" s="59">
        <v>3277.55</v>
      </c>
      <c r="P34" s="59">
        <v>3559.04</v>
      </c>
      <c r="Q34" s="59">
        <v>3829.65</v>
      </c>
      <c r="R34" s="59">
        <v>4251</v>
      </c>
      <c r="S34" s="59">
        <v>4638.96</v>
      </c>
      <c r="T34" s="59">
        <v>5109.56</v>
      </c>
      <c r="U34" s="59">
        <v>4938.42</v>
      </c>
      <c r="V34" s="59">
        <v>5106.73</v>
      </c>
      <c r="X34" s="86">
        <v>9523.81</v>
      </c>
      <c r="Y34" s="32">
        <v>5</v>
      </c>
    </row>
    <row r="35" spans="2:24" ht="12.75">
      <c r="B35" s="60"/>
      <c r="C35" s="86"/>
      <c r="D35" s="58"/>
      <c r="E35" s="61"/>
      <c r="F35" s="86"/>
      <c r="G35" s="86"/>
      <c r="H35" s="86"/>
      <c r="I35" s="58"/>
      <c r="J35" s="86"/>
      <c r="K35" s="86"/>
      <c r="L35" s="224"/>
      <c r="M35" s="224"/>
      <c r="N35" s="59"/>
      <c r="O35" s="59"/>
      <c r="P35" s="59"/>
      <c r="Q35" s="59"/>
      <c r="R35" s="59"/>
      <c r="S35" s="59"/>
      <c r="T35" s="59"/>
      <c r="U35" s="59"/>
      <c r="V35" s="59"/>
      <c r="X35" s="86"/>
    </row>
    <row r="36" spans="1:25" ht="12.75">
      <c r="A36" s="32" t="s">
        <v>26</v>
      </c>
      <c r="B36" s="60">
        <v>5699.62</v>
      </c>
      <c r="C36" s="86">
        <v>5879.46</v>
      </c>
      <c r="D36" s="58">
        <v>6023.79</v>
      </c>
      <c r="E36" s="61">
        <v>6163.83</v>
      </c>
      <c r="F36" s="86">
        <v>6201.98</v>
      </c>
      <c r="G36" s="86">
        <v>6608.51</v>
      </c>
      <c r="H36" s="86">
        <v>6819.4</v>
      </c>
      <c r="I36" s="58">
        <v>7337.71</v>
      </c>
      <c r="J36" s="86">
        <v>7911.52</v>
      </c>
      <c r="K36" s="86">
        <v>8483.29</v>
      </c>
      <c r="L36" s="231">
        <f>(K36-J36)*100/J36</f>
        <v>7.2</v>
      </c>
      <c r="M36" s="231">
        <f>((K36-V36)*100)/V36</f>
        <v>57.1</v>
      </c>
      <c r="N36" s="59">
        <v>3490.67</v>
      </c>
      <c r="O36" s="59">
        <v>3767.92</v>
      </c>
      <c r="P36" s="59">
        <v>3859.43</v>
      </c>
      <c r="Q36" s="59">
        <v>4342.83</v>
      </c>
      <c r="R36" s="59">
        <v>4722.49</v>
      </c>
      <c r="S36" s="59">
        <v>5304.5</v>
      </c>
      <c r="T36" s="59">
        <v>5325.86</v>
      </c>
      <c r="U36" s="59">
        <v>5306.71</v>
      </c>
      <c r="V36" s="59">
        <v>5398.95</v>
      </c>
      <c r="X36" s="86">
        <v>8483.29</v>
      </c>
      <c r="Y36" s="32">
        <v>10</v>
      </c>
    </row>
    <row r="37" spans="1:25" ht="12.75">
      <c r="A37" s="32" t="s">
        <v>27</v>
      </c>
      <c r="B37" s="60">
        <v>5504.58</v>
      </c>
      <c r="C37" s="86">
        <v>5723.08</v>
      </c>
      <c r="D37" s="58">
        <v>5695.8</v>
      </c>
      <c r="E37" s="61">
        <v>5869.49</v>
      </c>
      <c r="F37" s="86">
        <v>6047.48</v>
      </c>
      <c r="G37" s="86">
        <v>6412.16</v>
      </c>
      <c r="H37" s="86">
        <v>6792.21</v>
      </c>
      <c r="I37" s="58">
        <v>7085.97</v>
      </c>
      <c r="J37" s="86">
        <v>7593.66</v>
      </c>
      <c r="K37" s="86">
        <v>7910.1</v>
      </c>
      <c r="L37" s="231">
        <f>(K37-J37)*100/J37</f>
        <v>4.2</v>
      </c>
      <c r="M37" s="231">
        <f>((K37-V37)*100)/V37</f>
        <v>48.5</v>
      </c>
      <c r="N37" s="59">
        <v>3359.32</v>
      </c>
      <c r="O37" s="59">
        <v>3701.96</v>
      </c>
      <c r="P37" s="59">
        <v>3934.99</v>
      </c>
      <c r="Q37" s="59">
        <v>4181.36</v>
      </c>
      <c r="R37" s="59">
        <v>4567.52</v>
      </c>
      <c r="S37" s="59">
        <v>4867.91</v>
      </c>
      <c r="T37" s="59">
        <v>5183.48</v>
      </c>
      <c r="U37" s="59">
        <v>5306.75</v>
      </c>
      <c r="V37" s="59">
        <v>5328.12</v>
      </c>
      <c r="X37" s="86">
        <v>7910.1</v>
      </c>
      <c r="Y37" s="32">
        <v>19</v>
      </c>
    </row>
    <row r="38" spans="1:25" ht="12.75">
      <c r="A38" s="32" t="s">
        <v>28</v>
      </c>
      <c r="B38" s="60">
        <v>5305.65</v>
      </c>
      <c r="C38" s="86">
        <v>5526.54</v>
      </c>
      <c r="D38" s="58">
        <v>5567.09</v>
      </c>
      <c r="E38" s="61">
        <v>5882.29</v>
      </c>
      <c r="F38" s="86">
        <v>6216.07</v>
      </c>
      <c r="G38" s="86">
        <v>6580.28</v>
      </c>
      <c r="H38" s="86">
        <v>7011.51</v>
      </c>
      <c r="I38" s="58">
        <v>7686.17</v>
      </c>
      <c r="J38" s="86">
        <v>7948.4</v>
      </c>
      <c r="K38" s="86">
        <v>8298.92</v>
      </c>
      <c r="L38" s="231">
        <f>(K38-J38)*100/J38</f>
        <v>4.4</v>
      </c>
      <c r="M38" s="231">
        <f>((K38-V38)*100)/V38</f>
        <v>61.9</v>
      </c>
      <c r="N38" s="59">
        <v>3161.46</v>
      </c>
      <c r="O38" s="59">
        <v>3361.15</v>
      </c>
      <c r="P38" s="59">
        <v>3623.26</v>
      </c>
      <c r="Q38" s="59">
        <v>3882.99</v>
      </c>
      <c r="R38" s="59">
        <v>4159.17</v>
      </c>
      <c r="S38" s="59">
        <v>4537.09</v>
      </c>
      <c r="T38" s="59">
        <v>4923.35</v>
      </c>
      <c r="U38" s="59">
        <v>5039.23</v>
      </c>
      <c r="V38" s="59">
        <v>5126.69</v>
      </c>
      <c r="X38" s="86">
        <v>8298.92</v>
      </c>
      <c r="Y38" s="32">
        <v>12</v>
      </c>
    </row>
    <row r="39" spans="1:26" ht="12.75">
      <c r="A39" s="44" t="s">
        <v>29</v>
      </c>
      <c r="B39" s="60">
        <v>6337.8</v>
      </c>
      <c r="C39" s="62">
        <v>6304.4</v>
      </c>
      <c r="D39" s="58">
        <v>6399.96</v>
      </c>
      <c r="E39" s="62">
        <v>6649.65</v>
      </c>
      <c r="F39" s="62">
        <v>7027.51</v>
      </c>
      <c r="G39" s="62">
        <v>7409.32</v>
      </c>
      <c r="H39" s="62">
        <v>7769.11</v>
      </c>
      <c r="I39" s="190">
        <v>8506.95</v>
      </c>
      <c r="J39" s="62">
        <v>9417.95</v>
      </c>
      <c r="K39" s="62">
        <v>10749.71</v>
      </c>
      <c r="L39" s="232">
        <f>(K39-J39)*100/J39</f>
        <v>14.1</v>
      </c>
      <c r="M39" s="232">
        <f>((K39-V39)*100)/V39</f>
        <v>75.7</v>
      </c>
      <c r="N39" s="59">
        <v>3895.8</v>
      </c>
      <c r="O39" s="59">
        <v>4189.02</v>
      </c>
      <c r="P39" s="59">
        <v>4730.35</v>
      </c>
      <c r="Q39" s="59">
        <v>5032.04</v>
      </c>
      <c r="R39" s="59">
        <v>5267.84</v>
      </c>
      <c r="S39" s="59">
        <v>5649.71</v>
      </c>
      <c r="T39" s="59">
        <v>5922.01</v>
      </c>
      <c r="U39" s="59">
        <v>6104.16</v>
      </c>
      <c r="V39" s="59">
        <v>6118.32</v>
      </c>
      <c r="X39" s="62">
        <v>10749.71</v>
      </c>
      <c r="Y39" s="44">
        <v>1</v>
      </c>
      <c r="Z39" s="44"/>
    </row>
    <row r="40" spans="1:22" ht="12.75">
      <c r="A40" s="32" t="s">
        <v>100</v>
      </c>
      <c r="B40" s="45"/>
      <c r="C40" s="39"/>
      <c r="D40" s="39"/>
      <c r="E40" s="39"/>
      <c r="F40" s="39"/>
      <c r="G40" s="39"/>
      <c r="H40" s="61"/>
      <c r="I40" s="61"/>
      <c r="J40" s="61"/>
      <c r="K40" s="61"/>
      <c r="L40" s="61"/>
      <c r="M40" s="61"/>
      <c r="N40" s="39"/>
      <c r="P40" s="39"/>
      <c r="Q40" s="39"/>
      <c r="R40" s="39"/>
      <c r="U40" s="39"/>
      <c r="V40" s="39"/>
    </row>
    <row r="41" spans="1:22" ht="12.75">
      <c r="A41" s="32" t="s">
        <v>101</v>
      </c>
      <c r="B41" s="38"/>
      <c r="H41" s="61"/>
      <c r="I41" s="61"/>
      <c r="J41" s="61"/>
      <c r="K41" s="61"/>
      <c r="L41" s="61"/>
      <c r="M41" s="61"/>
      <c r="P41" s="38"/>
      <c r="Q41" s="38"/>
      <c r="R41" s="38"/>
      <c r="V41" s="38"/>
    </row>
    <row r="42" spans="2:22" ht="12.75">
      <c r="B42" s="38"/>
      <c r="H42" s="61"/>
      <c r="I42" s="61"/>
      <c r="J42" s="61"/>
      <c r="K42" s="61"/>
      <c r="L42" s="61"/>
      <c r="M42" s="61"/>
      <c r="P42" s="38"/>
      <c r="Q42" s="38"/>
      <c r="R42" s="38"/>
      <c r="V42" s="38"/>
    </row>
    <row r="43" spans="2:22" ht="12.75">
      <c r="B43" s="38"/>
      <c r="H43" s="61"/>
      <c r="I43" s="61"/>
      <c r="J43" s="61"/>
      <c r="K43" s="61"/>
      <c r="L43" s="61"/>
      <c r="M43" s="61"/>
      <c r="P43" s="38"/>
      <c r="Q43" s="38"/>
      <c r="R43" s="38"/>
      <c r="V43" s="38"/>
    </row>
    <row r="44" spans="2:22" ht="12.75">
      <c r="B44" s="38"/>
      <c r="H44" s="61"/>
      <c r="I44" s="61"/>
      <c r="J44" s="61"/>
      <c r="K44" s="61"/>
      <c r="L44" s="61"/>
      <c r="M44" s="61"/>
      <c r="P44" s="38"/>
      <c r="Q44" s="38"/>
      <c r="R44" s="38"/>
      <c r="V44" s="38"/>
    </row>
    <row r="45" spans="2:22" ht="12.75">
      <c r="B45" s="38"/>
      <c r="H45" s="61"/>
      <c r="I45" s="61"/>
      <c r="J45" s="61"/>
      <c r="K45" s="61"/>
      <c r="L45" s="61"/>
      <c r="M45" s="61"/>
      <c r="P45" s="38"/>
      <c r="Q45" s="38"/>
      <c r="R45" s="38"/>
      <c r="V45" s="38"/>
    </row>
    <row r="46" spans="2:22" ht="12.75">
      <c r="B46" s="38"/>
      <c r="H46" s="61"/>
      <c r="I46" s="61"/>
      <c r="J46" s="61"/>
      <c r="K46" s="61"/>
      <c r="L46" s="61"/>
      <c r="M46" s="61"/>
      <c r="P46" s="38"/>
      <c r="Q46" s="38"/>
      <c r="R46" s="38"/>
      <c r="V46" s="38"/>
    </row>
    <row r="47" spans="2:22" ht="12.75">
      <c r="B47" s="38"/>
      <c r="H47" s="61"/>
      <c r="I47" s="61"/>
      <c r="J47" s="61"/>
      <c r="K47" s="61"/>
      <c r="L47" s="61"/>
      <c r="M47" s="61"/>
      <c r="V47" s="38"/>
    </row>
    <row r="48" spans="2:22" ht="12.75">
      <c r="B48" s="38"/>
      <c r="H48" s="61"/>
      <c r="I48" s="61"/>
      <c r="J48" s="61"/>
      <c r="K48" s="61"/>
      <c r="L48" s="61"/>
      <c r="M48" s="61"/>
      <c r="V48" s="38"/>
    </row>
    <row r="49" spans="2:22" ht="12.75">
      <c r="B49" s="38"/>
      <c r="H49" s="61"/>
      <c r="I49" s="61"/>
      <c r="J49" s="61"/>
      <c r="K49" s="61"/>
      <c r="L49" s="61"/>
      <c r="M49" s="61"/>
      <c r="V49" s="38"/>
    </row>
    <row r="50" spans="2:22" ht="12.75">
      <c r="B50" s="38"/>
      <c r="H50" s="61"/>
      <c r="I50" s="61"/>
      <c r="J50" s="61"/>
      <c r="K50" s="61"/>
      <c r="L50" s="61"/>
      <c r="M50" s="61"/>
      <c r="V50" s="38"/>
    </row>
    <row r="51" spans="2:22" ht="12.75">
      <c r="B51" s="38"/>
      <c r="H51" s="61"/>
      <c r="I51" s="61"/>
      <c r="J51" s="61"/>
      <c r="K51" s="61"/>
      <c r="L51" s="61"/>
      <c r="M51" s="61"/>
      <c r="V51" s="38"/>
    </row>
    <row r="52" spans="2:13" ht="12.75">
      <c r="B52" s="38"/>
      <c r="H52" s="61"/>
      <c r="I52" s="61"/>
      <c r="J52" s="61"/>
      <c r="K52" s="61"/>
      <c r="L52" s="61"/>
      <c r="M52" s="61"/>
    </row>
    <row r="53" spans="2:13" ht="12.75">
      <c r="B53" s="38"/>
      <c r="H53" s="61"/>
      <c r="I53" s="61"/>
      <c r="J53" s="61"/>
      <c r="K53" s="61"/>
      <c r="L53" s="61"/>
      <c r="M53" s="61"/>
    </row>
    <row r="54" spans="8:13" ht="12.75">
      <c r="H54" s="61"/>
      <c r="I54" s="61"/>
      <c r="J54" s="61"/>
      <c r="K54" s="61"/>
      <c r="L54" s="61"/>
      <c r="M54" s="61"/>
    </row>
    <row r="55" spans="8:13" ht="12.75">
      <c r="H55" s="61"/>
      <c r="I55" s="61"/>
      <c r="J55" s="61"/>
      <c r="K55" s="61"/>
      <c r="L55" s="61"/>
      <c r="M55" s="61"/>
    </row>
    <row r="56" spans="8:13" ht="12.75">
      <c r="H56" s="61"/>
      <c r="I56" s="61"/>
      <c r="J56" s="61"/>
      <c r="K56" s="61"/>
      <c r="L56" s="61"/>
      <c r="M56" s="61"/>
    </row>
    <row r="57" spans="8:13" ht="12.75">
      <c r="H57" s="61"/>
      <c r="I57" s="61"/>
      <c r="J57" s="61"/>
      <c r="K57" s="61"/>
      <c r="L57" s="61"/>
      <c r="M57" s="61"/>
    </row>
    <row r="58" spans="8:13" ht="12.75">
      <c r="H58" s="61"/>
      <c r="I58" s="61"/>
      <c r="J58" s="61"/>
      <c r="K58" s="61"/>
      <c r="L58" s="61"/>
      <c r="M58" s="61"/>
    </row>
    <row r="59" spans="8:13" ht="12.75">
      <c r="H59" s="61"/>
      <c r="I59" s="61"/>
      <c r="J59" s="61"/>
      <c r="K59" s="61"/>
      <c r="L59" s="61"/>
      <c r="M59" s="61"/>
    </row>
    <row r="60" spans="8:13" ht="12.75">
      <c r="H60" s="61"/>
      <c r="I60" s="61"/>
      <c r="J60" s="61"/>
      <c r="K60" s="61"/>
      <c r="L60" s="61"/>
      <c r="M60" s="61"/>
    </row>
    <row r="61" spans="8:13" ht="12.75">
      <c r="H61" s="61"/>
      <c r="I61" s="61"/>
      <c r="J61" s="61"/>
      <c r="K61" s="61"/>
      <c r="L61" s="61"/>
      <c r="M61" s="61"/>
    </row>
    <row r="62" spans="8:13" ht="12.75">
      <c r="H62" s="61"/>
      <c r="I62" s="61"/>
      <c r="J62" s="61"/>
      <c r="K62" s="61"/>
      <c r="L62" s="61"/>
      <c r="M62" s="61"/>
    </row>
    <row r="63" spans="8:13" ht="12.75">
      <c r="H63" s="61"/>
      <c r="I63" s="61"/>
      <c r="J63" s="61"/>
      <c r="K63" s="61"/>
      <c r="L63" s="61"/>
      <c r="M63" s="61"/>
    </row>
    <row r="64" spans="8:13" ht="12.75">
      <c r="H64" s="61"/>
      <c r="I64" s="61"/>
      <c r="J64" s="61"/>
      <c r="K64" s="61"/>
      <c r="L64" s="61"/>
      <c r="M64" s="61"/>
    </row>
    <row r="65" spans="8:13" ht="12.75">
      <c r="H65" s="61"/>
      <c r="I65" s="61"/>
      <c r="J65" s="61"/>
      <c r="K65" s="61"/>
      <c r="L65" s="61"/>
      <c r="M65" s="61"/>
    </row>
    <row r="66" spans="8:13" ht="12.75">
      <c r="H66" s="61"/>
      <c r="I66" s="61"/>
      <c r="J66" s="61"/>
      <c r="K66" s="61"/>
      <c r="L66" s="61"/>
      <c r="M66" s="61"/>
    </row>
    <row r="67" spans="8:13" ht="12.75">
      <c r="H67" s="61"/>
      <c r="I67" s="61"/>
      <c r="J67" s="61"/>
      <c r="K67" s="61"/>
      <c r="L67" s="61"/>
      <c r="M67" s="61"/>
    </row>
    <row r="68" spans="8:13" ht="12.75">
      <c r="H68" s="61"/>
      <c r="I68" s="61"/>
      <c r="J68" s="61"/>
      <c r="K68" s="61"/>
      <c r="L68" s="61"/>
      <c r="M68" s="61"/>
    </row>
    <row r="69" spans="8:13" ht="12.75">
      <c r="H69" s="61"/>
      <c r="I69" s="61"/>
      <c r="J69" s="61"/>
      <c r="K69" s="61"/>
      <c r="L69" s="61"/>
      <c r="M69" s="61"/>
    </row>
    <row r="70" spans="8:13" ht="12.75">
      <c r="H70" s="61"/>
      <c r="I70" s="61"/>
      <c r="J70" s="61"/>
      <c r="K70" s="61"/>
      <c r="L70" s="61"/>
      <c r="M70" s="61"/>
    </row>
    <row r="71" spans="8:13" ht="12.75">
      <c r="H71" s="61"/>
      <c r="I71" s="61"/>
      <c r="J71" s="61"/>
      <c r="K71" s="61"/>
      <c r="L71" s="61"/>
      <c r="M71" s="61"/>
    </row>
    <row r="72" spans="8:13" ht="12.75">
      <c r="H72" s="61"/>
      <c r="I72" s="61"/>
      <c r="J72" s="61"/>
      <c r="K72" s="61"/>
      <c r="L72" s="61"/>
      <c r="M72" s="61"/>
    </row>
    <row r="73" spans="8:13" ht="12.75">
      <c r="H73" s="61"/>
      <c r="I73" s="61"/>
      <c r="J73" s="61"/>
      <c r="K73" s="61"/>
      <c r="L73" s="61"/>
      <c r="M73" s="61"/>
    </row>
    <row r="74" spans="8:13" ht="12.75">
      <c r="H74" s="61"/>
      <c r="I74" s="61"/>
      <c r="J74" s="61"/>
      <c r="K74" s="61"/>
      <c r="L74" s="61"/>
      <c r="M74" s="61"/>
    </row>
    <row r="75" spans="8:13" ht="12.75">
      <c r="H75" s="61"/>
      <c r="I75" s="61"/>
      <c r="J75" s="61"/>
      <c r="K75" s="61"/>
      <c r="L75" s="61"/>
      <c r="M75" s="61"/>
    </row>
  </sheetData>
  <mergeCells count="5">
    <mergeCell ref="X5:Z5"/>
    <mergeCell ref="X7:Z7"/>
    <mergeCell ref="X8:Z8"/>
    <mergeCell ref="Y9:Z9"/>
    <mergeCell ref="X6:Z6"/>
  </mergeCells>
  <printOptions/>
  <pageMargins left="0.61" right="0.64" top="1" bottom="1" header="0.5" footer="0.5"/>
  <pageSetup fitToHeight="1" fitToWidth="1" orientation="landscape" scale="74" r:id="rId1"/>
  <headerFooter alignWithMargins="0">
    <oddFooter>&amp;L&amp;"Lucida Sans,Italic"&amp;10MSDE-DBS  11 /2004&amp;C-15 -&amp;R&amp;"Lucida Sans,Italic"&amp;10Selected Financial Data - Part 4</oddFooter>
  </headerFooter>
  <rowBreaks count="1" manualBreakCount="1">
    <brk id="4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workbookViewId="0" topLeftCell="A1">
      <pane xSplit="14970" topLeftCell="A1" activePane="topLeft" state="split"/>
      <selection pane="topLeft" activeCell="J12" sqref="J12"/>
      <selection pane="topRight" activeCell="X3" sqref="X3"/>
    </sheetView>
  </sheetViews>
  <sheetFormatPr defaultColWidth="9.00390625" defaultRowHeight="15.75"/>
  <cols>
    <col min="1" max="1" width="15.50390625" style="1" customWidth="1"/>
    <col min="2" max="11" width="12.625" style="1" customWidth="1"/>
    <col min="12" max="13" width="6.625" style="1" customWidth="1"/>
    <col min="14" max="14" width="8.75390625" style="1" customWidth="1"/>
    <col min="15" max="20" width="10.125" style="1" customWidth="1"/>
    <col min="21" max="23" width="10.125" style="3" customWidth="1"/>
    <col min="24" max="24" width="14.125" style="3" customWidth="1"/>
    <col min="25" max="25" width="11.75390625" style="3" customWidth="1"/>
    <col min="26" max="26" width="10.125" style="3" customWidth="1"/>
    <col min="27" max="27" width="10.125" style="113" customWidth="1"/>
    <col min="28" max="28" width="10.125" style="3" customWidth="1"/>
    <col min="29" max="16384" width="10.00390625" style="3" customWidth="1"/>
  </cols>
  <sheetData>
    <row r="1" spans="1:17" ht="15.75" customHeight="1">
      <c r="A1" s="128" t="s">
        <v>98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"/>
      <c r="O1" s="2"/>
      <c r="P1" s="2"/>
      <c r="Q1" s="2"/>
    </row>
    <row r="2" spans="1:17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2"/>
      <c r="O2" s="2"/>
      <c r="P2" s="2"/>
      <c r="Q2" s="2"/>
    </row>
    <row r="3" spans="1:17" ht="12.75">
      <c r="A3" s="128" t="s">
        <v>79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0"/>
      <c r="O3" s="10"/>
      <c r="P3" s="10"/>
      <c r="Q3" s="10"/>
    </row>
    <row r="4" spans="1:17" ht="12.75">
      <c r="A4" s="128" t="s">
        <v>196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0"/>
      <c r="O4" s="10"/>
      <c r="P4" s="10"/>
      <c r="Q4" s="10"/>
    </row>
    <row r="5" spans="1:24" ht="13.5" thickBo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06"/>
      <c r="X5" s="3" t="s">
        <v>217</v>
      </c>
    </row>
    <row r="6" spans="1:23" ht="14.25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7"/>
      <c r="W6" s="7"/>
    </row>
    <row r="7" spans="1:27" ht="16.5" thickTop="1">
      <c r="A7" s="7"/>
      <c r="B7" s="7"/>
      <c r="C7" s="7"/>
      <c r="D7" s="7"/>
      <c r="E7" s="7"/>
      <c r="F7" s="7"/>
      <c r="H7" s="32"/>
      <c r="I7" s="32"/>
      <c r="L7" s="40" t="s">
        <v>34</v>
      </c>
      <c r="M7" s="40"/>
      <c r="O7" s="7"/>
      <c r="P7" s="7"/>
      <c r="Q7" s="7"/>
      <c r="T7" s="7"/>
      <c r="U7" s="7"/>
      <c r="V7" s="7"/>
      <c r="W7" s="7"/>
      <c r="X7" s="110" t="s">
        <v>148</v>
      </c>
      <c r="Y7" s="110" t="s">
        <v>151</v>
      </c>
      <c r="Z7" s="110" t="s">
        <v>153</v>
      </c>
      <c r="AA7" s="5"/>
    </row>
    <row r="8" spans="1:27" ht="15.75">
      <c r="A8" s="7"/>
      <c r="B8" s="7"/>
      <c r="C8" s="7"/>
      <c r="D8" s="7"/>
      <c r="E8" s="7"/>
      <c r="F8" s="7"/>
      <c r="G8" s="7"/>
      <c r="H8" s="35"/>
      <c r="I8" s="35"/>
      <c r="J8" s="7"/>
      <c r="K8" s="7"/>
      <c r="L8" s="31" t="s">
        <v>106</v>
      </c>
      <c r="M8" s="31" t="s">
        <v>107</v>
      </c>
      <c r="O8" s="7"/>
      <c r="P8" s="7"/>
      <c r="Q8" s="7"/>
      <c r="T8" s="7"/>
      <c r="U8" s="7"/>
      <c r="V8" s="7"/>
      <c r="W8" s="7"/>
      <c r="X8" s="111" t="s">
        <v>149</v>
      </c>
      <c r="Y8" s="111" t="s">
        <v>148</v>
      </c>
      <c r="Z8" s="111" t="s">
        <v>148</v>
      </c>
      <c r="AA8" s="111" t="s">
        <v>155</v>
      </c>
    </row>
    <row r="9" spans="1:27" ht="16.5" thickBot="1">
      <c r="A9" s="8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42" t="s">
        <v>105</v>
      </c>
      <c r="M9" s="42" t="s">
        <v>105</v>
      </c>
      <c r="N9" s="10" t="s">
        <v>48</v>
      </c>
      <c r="O9" s="9" t="s">
        <v>70</v>
      </c>
      <c r="P9" s="9" t="s">
        <v>71</v>
      </c>
      <c r="Q9" s="9" t="s">
        <v>72</v>
      </c>
      <c r="R9" s="9" t="s">
        <v>73</v>
      </c>
      <c r="S9" s="9" t="s">
        <v>40</v>
      </c>
      <c r="T9" s="9" t="s">
        <v>41</v>
      </c>
      <c r="U9" s="9" t="s">
        <v>4</v>
      </c>
      <c r="V9" s="27" t="s">
        <v>42</v>
      </c>
      <c r="W9" s="27"/>
      <c r="X9" s="112" t="s">
        <v>150</v>
      </c>
      <c r="Y9" s="112" t="s">
        <v>152</v>
      </c>
      <c r="Z9" s="112" t="s">
        <v>154</v>
      </c>
      <c r="AA9" s="112" t="s">
        <v>156</v>
      </c>
    </row>
    <row r="10" spans="1:28" ht="16.5" thickTop="1">
      <c r="A10" s="7" t="s">
        <v>5</v>
      </c>
      <c r="B10" s="47">
        <f>2987.64+535.85</f>
        <v>3523.49</v>
      </c>
      <c r="C10" s="63">
        <v>3704.73</v>
      </c>
      <c r="D10" s="48">
        <f>3178.33+593.15</f>
        <v>3771.48</v>
      </c>
      <c r="E10" s="56">
        <v>3849.2</v>
      </c>
      <c r="F10" s="56">
        <v>3656.13</v>
      </c>
      <c r="G10" s="96">
        <v>3850.06</v>
      </c>
      <c r="H10" s="96">
        <v>4043.74</v>
      </c>
      <c r="I10" s="96">
        <v>4392.63</v>
      </c>
      <c r="J10" s="96">
        <v>4694.88</v>
      </c>
      <c r="K10" s="96">
        <v>4862.83</v>
      </c>
      <c r="L10" s="12">
        <f>(K10-J10)/J10</f>
        <v>0.036</v>
      </c>
      <c r="M10" s="12">
        <f>(J10-U10)/U10</f>
        <v>0.393</v>
      </c>
      <c r="N10" s="49">
        <v>2073.76</v>
      </c>
      <c r="O10" s="47">
        <v>2280.49</v>
      </c>
      <c r="P10" s="47">
        <v>2483.39</v>
      </c>
      <c r="Q10" s="47">
        <v>2694.63</v>
      </c>
      <c r="R10" s="47">
        <v>2946.96</v>
      </c>
      <c r="S10" s="47">
        <v>3180.1</v>
      </c>
      <c r="T10" s="47">
        <v>3390.88</v>
      </c>
      <c r="U10" s="47">
        <v>3370.3</v>
      </c>
      <c r="V10" s="47">
        <v>3453.14</v>
      </c>
      <c r="W10" s="47"/>
      <c r="X10" s="107">
        <v>3645.58</v>
      </c>
      <c r="Y10" s="107">
        <v>188.25</v>
      </c>
      <c r="Z10" s="3">
        <v>113</v>
      </c>
      <c r="AA10" s="3">
        <v>916</v>
      </c>
      <c r="AB10" s="191">
        <f>SUM(X10:AA10)</f>
        <v>4862.83</v>
      </c>
    </row>
    <row r="11" spans="4:28" ht="15.75">
      <c r="D11" s="15"/>
      <c r="E11" s="32"/>
      <c r="F11" s="32"/>
      <c r="M11" s="99"/>
      <c r="N11" s="15"/>
      <c r="Q11" s="15"/>
      <c r="R11" s="15"/>
      <c r="U11" s="1"/>
      <c r="V11" s="1"/>
      <c r="W11" s="1"/>
      <c r="X11" s="108"/>
      <c r="Y11" s="108"/>
      <c r="AA11" s="3"/>
      <c r="AB11" s="113"/>
    </row>
    <row r="12" spans="1:28" ht="15.75">
      <c r="A12" s="1" t="s">
        <v>6</v>
      </c>
      <c r="B12" s="52">
        <f>2691.17+384.97</f>
        <v>3076.14</v>
      </c>
      <c r="C12" s="52">
        <v>3217.06</v>
      </c>
      <c r="D12" s="50">
        <f>2890.23+470.3</f>
        <v>3360.53</v>
      </c>
      <c r="E12" s="61">
        <v>3378.38</v>
      </c>
      <c r="F12" s="61">
        <v>3312.7</v>
      </c>
      <c r="G12" s="50">
        <v>3562.27</v>
      </c>
      <c r="H12" s="50">
        <v>3736.9</v>
      </c>
      <c r="I12" s="50">
        <v>3899.32</v>
      </c>
      <c r="J12" s="50">
        <v>4353.24</v>
      </c>
      <c r="K12" s="50">
        <v>4427.71</v>
      </c>
      <c r="L12" s="16">
        <f>(K12-J12)*100/J12</f>
        <v>1.7</v>
      </c>
      <c r="M12" s="138">
        <f>((J12-U12)*100)/U12</f>
        <v>53</v>
      </c>
      <c r="N12" s="51">
        <v>1777.12</v>
      </c>
      <c r="O12" s="51">
        <v>1916.7</v>
      </c>
      <c r="P12" s="51">
        <v>2042.32</v>
      </c>
      <c r="Q12" s="51">
        <v>2194.89</v>
      </c>
      <c r="R12" s="51">
        <v>2420.21</v>
      </c>
      <c r="S12" s="51">
        <v>2588.24</v>
      </c>
      <c r="T12" s="51">
        <v>2775.1</v>
      </c>
      <c r="U12" s="51">
        <v>2845.96</v>
      </c>
      <c r="V12" s="51">
        <v>2906.88</v>
      </c>
      <c r="W12" s="51"/>
      <c r="X12" s="108">
        <v>3315.85</v>
      </c>
      <c r="Y12" s="108">
        <v>172.86</v>
      </c>
      <c r="Z12" s="3">
        <v>83</v>
      </c>
      <c r="AA12" s="3">
        <v>856</v>
      </c>
      <c r="AB12" s="192">
        <f>SUM(X12:AA12)</f>
        <v>4427.71</v>
      </c>
    </row>
    <row r="13" spans="1:28" ht="15.75">
      <c r="A13" s="1" t="s">
        <v>7</v>
      </c>
      <c r="B13" s="52">
        <f>3047.86+489.19</f>
        <v>3537.05</v>
      </c>
      <c r="C13" s="52">
        <v>3723.53</v>
      </c>
      <c r="D13" s="50">
        <f>3185.09+520.24</f>
        <v>3705.33</v>
      </c>
      <c r="E13" s="61">
        <v>3718.17</v>
      </c>
      <c r="F13" s="61">
        <v>3442.61</v>
      </c>
      <c r="G13" s="50">
        <v>3568.9</v>
      </c>
      <c r="H13" s="50">
        <v>3792.15</v>
      </c>
      <c r="I13" s="50">
        <v>4169.31</v>
      </c>
      <c r="J13" s="50">
        <v>4377.38</v>
      </c>
      <c r="K13" s="50">
        <v>4547.35</v>
      </c>
      <c r="L13" s="16">
        <f>(K13-J13)*100/J13</f>
        <v>3.9</v>
      </c>
      <c r="M13" s="138">
        <f>((J13-U13)*100)/U13</f>
        <v>31.5</v>
      </c>
      <c r="N13" s="51">
        <v>2067.27</v>
      </c>
      <c r="O13" s="51">
        <v>2240.93</v>
      </c>
      <c r="P13" s="51">
        <v>2421.43</v>
      </c>
      <c r="Q13" s="51">
        <v>2624.73</v>
      </c>
      <c r="R13" s="51">
        <v>2865.27</v>
      </c>
      <c r="S13" s="51">
        <v>3154.02</v>
      </c>
      <c r="T13" s="51">
        <v>3424.88</v>
      </c>
      <c r="U13" s="51">
        <v>3328.76</v>
      </c>
      <c r="V13" s="51">
        <v>3466.13</v>
      </c>
      <c r="W13" s="51"/>
      <c r="X13" s="108">
        <v>3401.78</v>
      </c>
      <c r="Y13" s="108">
        <v>187.57</v>
      </c>
      <c r="Z13" s="3">
        <v>127</v>
      </c>
      <c r="AA13" s="3">
        <v>831</v>
      </c>
      <c r="AB13" s="192">
        <f>SUM(X13:AA13)</f>
        <v>4547.35</v>
      </c>
    </row>
    <row r="14" spans="1:28" ht="15.75">
      <c r="A14" s="1" t="s">
        <v>8</v>
      </c>
      <c r="B14" s="52">
        <f>2490.13+692.48</f>
        <v>3182.61</v>
      </c>
      <c r="C14" s="52">
        <v>3459.36</v>
      </c>
      <c r="D14" s="50">
        <f>2803.59+887.57</f>
        <v>3691.16</v>
      </c>
      <c r="E14" s="61">
        <v>3779.48</v>
      </c>
      <c r="F14" s="61">
        <v>3750.06</v>
      </c>
      <c r="G14" s="50">
        <v>4082.53</v>
      </c>
      <c r="H14" s="50">
        <v>4195.28</v>
      </c>
      <c r="I14" s="50">
        <v>4838.53</v>
      </c>
      <c r="J14" s="50">
        <v>5261.24</v>
      </c>
      <c r="K14" s="50">
        <v>5492.31</v>
      </c>
      <c r="L14" s="16">
        <f>(K14-J14)*100/J14</f>
        <v>4.4</v>
      </c>
      <c r="M14" s="138">
        <f>((J14-U14)*100)/U14</f>
        <v>76.1</v>
      </c>
      <c r="N14" s="51">
        <v>1772.86</v>
      </c>
      <c r="O14" s="51">
        <v>1981.98</v>
      </c>
      <c r="P14" s="51">
        <v>2119.93</v>
      </c>
      <c r="Q14" s="51">
        <v>2336.38</v>
      </c>
      <c r="R14" s="51">
        <v>2510.83</v>
      </c>
      <c r="S14" s="51">
        <v>2683.8</v>
      </c>
      <c r="T14" s="51">
        <v>2911.71</v>
      </c>
      <c r="U14" s="51">
        <v>2987.21</v>
      </c>
      <c r="V14" s="51">
        <v>3133.5</v>
      </c>
      <c r="W14" s="51"/>
      <c r="X14" s="108">
        <v>3625.41</v>
      </c>
      <c r="Y14" s="108">
        <v>59.9</v>
      </c>
      <c r="Z14" s="3">
        <v>306</v>
      </c>
      <c r="AA14" s="3">
        <v>1501</v>
      </c>
      <c r="AB14" s="192">
        <f>SUM(X14:AA14)</f>
        <v>5492.31</v>
      </c>
    </row>
    <row r="15" spans="1:28" ht="15.75">
      <c r="A15" s="1" t="s">
        <v>9</v>
      </c>
      <c r="B15" s="52">
        <f>3056.47+505.74</f>
        <v>3562.21</v>
      </c>
      <c r="C15" s="52">
        <v>3701.71</v>
      </c>
      <c r="D15" s="50">
        <f>3204.6+530.05</f>
        <v>3734.65</v>
      </c>
      <c r="E15" s="61">
        <v>3904.21</v>
      </c>
      <c r="F15" s="61">
        <v>3667.37</v>
      </c>
      <c r="G15" s="50">
        <v>3703.6</v>
      </c>
      <c r="H15" s="50">
        <v>3973.68</v>
      </c>
      <c r="I15" s="50">
        <v>4346.25</v>
      </c>
      <c r="J15" s="50">
        <v>4556.16</v>
      </c>
      <c r="K15" s="50">
        <v>4607.15</v>
      </c>
      <c r="L15" s="16">
        <f>(K15-J15)*100/J15</f>
        <v>1.1</v>
      </c>
      <c r="M15" s="138">
        <f>((J15-U15)*100)/U15</f>
        <v>25.4</v>
      </c>
      <c r="N15" s="51">
        <v>2463.92</v>
      </c>
      <c r="O15" s="51">
        <v>2666.57</v>
      </c>
      <c r="P15" s="51">
        <v>2915.41</v>
      </c>
      <c r="Q15" s="51">
        <v>3006.46</v>
      </c>
      <c r="R15" s="51">
        <v>3394.1</v>
      </c>
      <c r="S15" s="51">
        <v>3502.67</v>
      </c>
      <c r="T15" s="51">
        <v>3655.93</v>
      </c>
      <c r="U15" s="51">
        <v>3634.45</v>
      </c>
      <c r="V15" s="51">
        <v>3577.65</v>
      </c>
      <c r="W15" s="51"/>
      <c r="X15" s="108">
        <v>3444.05</v>
      </c>
      <c r="Y15" s="108">
        <v>190.1</v>
      </c>
      <c r="Z15" s="3">
        <v>109</v>
      </c>
      <c r="AA15" s="3">
        <v>864</v>
      </c>
      <c r="AB15" s="192">
        <f>SUM(X15:AA15)</f>
        <v>4607.15</v>
      </c>
    </row>
    <row r="16" spans="1:28" ht="15.75">
      <c r="A16" s="1" t="s">
        <v>10</v>
      </c>
      <c r="B16" s="52">
        <f>2917.1+458.58</f>
        <v>3375.68</v>
      </c>
      <c r="C16" s="52">
        <v>3452.04</v>
      </c>
      <c r="D16" s="50">
        <f>3068.11+496.65</f>
        <v>3564.76</v>
      </c>
      <c r="E16" s="61">
        <v>3593.29</v>
      </c>
      <c r="F16" s="61">
        <v>3392.28</v>
      </c>
      <c r="G16" s="50">
        <v>3538.3</v>
      </c>
      <c r="H16" s="50">
        <v>3714.6</v>
      </c>
      <c r="I16" s="50">
        <v>3917.68</v>
      </c>
      <c r="J16" s="50">
        <v>4283.22</v>
      </c>
      <c r="K16" s="50">
        <v>4625.91</v>
      </c>
      <c r="L16" s="16">
        <f>(K16-J16)*100/J16</f>
        <v>8</v>
      </c>
      <c r="M16" s="138">
        <f>((J16-U16)*100)/U16</f>
        <v>35</v>
      </c>
      <c r="N16" s="51">
        <v>2005.21</v>
      </c>
      <c r="O16" s="51">
        <v>2163</v>
      </c>
      <c r="P16" s="51">
        <v>2268.79</v>
      </c>
      <c r="Q16" s="51">
        <v>2369.87</v>
      </c>
      <c r="R16" s="51">
        <v>2561.32</v>
      </c>
      <c r="S16" s="51">
        <v>2741.78</v>
      </c>
      <c r="T16" s="51">
        <v>2922.45</v>
      </c>
      <c r="U16" s="51">
        <v>3171.6</v>
      </c>
      <c r="V16" s="51">
        <v>3189.08</v>
      </c>
      <c r="W16" s="51"/>
      <c r="X16" s="108">
        <v>3580.76</v>
      </c>
      <c r="Y16" s="108">
        <v>185.15</v>
      </c>
      <c r="Z16" s="3">
        <v>49</v>
      </c>
      <c r="AA16" s="3">
        <v>811</v>
      </c>
      <c r="AB16" s="192">
        <f>SUM(X16:AA16)</f>
        <v>4625.91</v>
      </c>
    </row>
    <row r="17" spans="2:28" ht="15.75">
      <c r="B17" s="52"/>
      <c r="C17" s="52"/>
      <c r="D17" s="50"/>
      <c r="E17" s="61"/>
      <c r="F17" s="61"/>
      <c r="G17" s="50"/>
      <c r="H17" s="50"/>
      <c r="I17" s="50"/>
      <c r="J17" s="50"/>
      <c r="K17" s="50"/>
      <c r="L17" s="16"/>
      <c r="M17" s="17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/>
      <c r="Y17"/>
      <c r="AA17" s="3"/>
      <c r="AB17" s="192"/>
    </row>
    <row r="18" spans="1:28" ht="15.75">
      <c r="A18" s="1" t="s">
        <v>11</v>
      </c>
      <c r="B18" s="52">
        <f>2621.91+338.79</f>
        <v>2960.7</v>
      </c>
      <c r="C18" s="52">
        <v>3080.34</v>
      </c>
      <c r="D18" s="50">
        <f>2781.2+384.77</f>
        <v>3165.97</v>
      </c>
      <c r="E18" s="61">
        <v>3342.7</v>
      </c>
      <c r="F18" s="61">
        <v>3152</v>
      </c>
      <c r="G18" s="50">
        <v>3384.52</v>
      </c>
      <c r="H18" s="50">
        <v>3542.67</v>
      </c>
      <c r="I18" s="50">
        <v>3721.11</v>
      </c>
      <c r="J18" s="50">
        <v>3992.21</v>
      </c>
      <c r="K18" s="50">
        <v>4273.05</v>
      </c>
      <c r="L18" s="16">
        <f>(K18-J18)*100/J18</f>
        <v>7</v>
      </c>
      <c r="M18" s="138">
        <f>((J18-U18)*100)/U18</f>
        <v>45</v>
      </c>
      <c r="N18" s="51">
        <v>1568.38</v>
      </c>
      <c r="O18" s="51">
        <v>1714.28</v>
      </c>
      <c r="P18" s="51">
        <v>1965.66</v>
      </c>
      <c r="Q18" s="51">
        <v>2177.26</v>
      </c>
      <c r="R18" s="51">
        <v>2371.1</v>
      </c>
      <c r="S18" s="51">
        <v>2532.97</v>
      </c>
      <c r="T18" s="51">
        <v>2667.89</v>
      </c>
      <c r="U18" s="51">
        <v>2753.35</v>
      </c>
      <c r="V18" s="51">
        <v>2820.28</v>
      </c>
      <c r="W18" s="51"/>
      <c r="X18" s="108">
        <v>3310.45</v>
      </c>
      <c r="Y18" s="108">
        <v>196.6</v>
      </c>
      <c r="Z18" s="3">
        <v>118</v>
      </c>
      <c r="AA18" s="3">
        <v>648</v>
      </c>
      <c r="AB18" s="192">
        <f>SUM(X18:AA18)</f>
        <v>4273.05</v>
      </c>
    </row>
    <row r="19" spans="1:28" ht="15.75">
      <c r="A19" s="1" t="s">
        <v>12</v>
      </c>
      <c r="B19" s="52">
        <f>2803.06+389.06</f>
        <v>3192.12</v>
      </c>
      <c r="C19" s="52">
        <v>3378.47</v>
      </c>
      <c r="D19" s="50">
        <f>2910.01+441.9</f>
        <v>3351.91</v>
      </c>
      <c r="E19" s="61">
        <v>3341.7</v>
      </c>
      <c r="F19" s="61">
        <v>3136.44</v>
      </c>
      <c r="G19" s="50">
        <v>3338.92</v>
      </c>
      <c r="H19" s="50">
        <v>3488.05</v>
      </c>
      <c r="I19" s="50">
        <v>3767.64</v>
      </c>
      <c r="J19" s="50">
        <v>3991.86</v>
      </c>
      <c r="K19" s="50">
        <v>4261.28</v>
      </c>
      <c r="L19" s="16">
        <f>(K19-J19)*100/J19</f>
        <v>6.7</v>
      </c>
      <c r="M19" s="138">
        <f>((J19-U19)*100)/U19</f>
        <v>31.1</v>
      </c>
      <c r="N19" s="51">
        <v>1771.29</v>
      </c>
      <c r="O19" s="51">
        <v>1918.92</v>
      </c>
      <c r="P19" s="51">
        <v>2109.07</v>
      </c>
      <c r="Q19" s="51">
        <v>2301.37</v>
      </c>
      <c r="R19" s="51">
        <v>2572.7</v>
      </c>
      <c r="S19" s="51">
        <v>2821.14</v>
      </c>
      <c r="T19" s="51">
        <v>3001.93</v>
      </c>
      <c r="U19" s="51">
        <v>3044.44</v>
      </c>
      <c r="V19" s="51">
        <v>3082.89</v>
      </c>
      <c r="W19" s="51"/>
      <c r="X19" s="108">
        <v>3223.68</v>
      </c>
      <c r="Y19" s="108">
        <v>286.6</v>
      </c>
      <c r="Z19" s="3">
        <v>69</v>
      </c>
      <c r="AA19" s="3">
        <v>682</v>
      </c>
      <c r="AB19" s="192">
        <f>SUM(X19:AA19)</f>
        <v>4261.28</v>
      </c>
    </row>
    <row r="20" spans="1:28" ht="15.75">
      <c r="A20" s="1" t="s">
        <v>13</v>
      </c>
      <c r="B20" s="52">
        <f>2707.62+465.72</f>
        <v>3173.34</v>
      </c>
      <c r="C20" s="52">
        <v>3352.2</v>
      </c>
      <c r="D20" s="50">
        <f>2892.03+521.46</f>
        <v>3413.49</v>
      </c>
      <c r="E20" s="61">
        <v>3501.66</v>
      </c>
      <c r="F20" s="61">
        <v>3258.69</v>
      </c>
      <c r="G20" s="50">
        <v>3485.08</v>
      </c>
      <c r="H20" s="50">
        <v>3622.29</v>
      </c>
      <c r="I20" s="50">
        <v>3884.3</v>
      </c>
      <c r="J20" s="50">
        <v>4072.14</v>
      </c>
      <c r="K20" s="50">
        <v>4235.71</v>
      </c>
      <c r="L20" s="16">
        <f>(K20-J20)*100/J20</f>
        <v>4</v>
      </c>
      <c r="M20" s="138">
        <f>((J20-U20)*100)/U20</f>
        <v>33.8</v>
      </c>
      <c r="N20" s="51">
        <v>1749.33</v>
      </c>
      <c r="O20" s="51">
        <v>1929.5</v>
      </c>
      <c r="P20" s="51">
        <v>2092.46</v>
      </c>
      <c r="Q20" s="51">
        <v>2369.14</v>
      </c>
      <c r="R20" s="51">
        <v>2512.44</v>
      </c>
      <c r="S20" s="51">
        <v>2767.18</v>
      </c>
      <c r="T20" s="51">
        <v>2927.76</v>
      </c>
      <c r="U20" s="51">
        <v>3044.35</v>
      </c>
      <c r="V20" s="51">
        <v>3071.87</v>
      </c>
      <c r="W20" s="51"/>
      <c r="X20" s="108">
        <v>3128.75</v>
      </c>
      <c r="Y20" s="108">
        <v>186.96</v>
      </c>
      <c r="Z20" s="3">
        <v>86</v>
      </c>
      <c r="AA20" s="3">
        <v>834</v>
      </c>
      <c r="AB20" s="192">
        <f>SUM(X20:AA20)</f>
        <v>4235.71</v>
      </c>
    </row>
    <row r="21" spans="1:28" ht="15.75">
      <c r="A21" s="1" t="s">
        <v>14</v>
      </c>
      <c r="B21" s="52">
        <f>2845.49+507.46</f>
        <v>3352.95</v>
      </c>
      <c r="C21" s="52">
        <v>3433.5</v>
      </c>
      <c r="D21" s="50">
        <f>2897.15+494.29</f>
        <v>3391.44</v>
      </c>
      <c r="E21" s="61">
        <v>3546.04</v>
      </c>
      <c r="F21" s="61">
        <v>3247.98</v>
      </c>
      <c r="G21" s="50">
        <v>3390.25</v>
      </c>
      <c r="H21" s="50">
        <v>3608.8</v>
      </c>
      <c r="I21" s="50">
        <v>3852.68</v>
      </c>
      <c r="J21" s="50">
        <v>4095.48</v>
      </c>
      <c r="K21" s="50">
        <v>4282.12</v>
      </c>
      <c r="L21" s="16">
        <f>(K21-J21)*100/J21</f>
        <v>4.6</v>
      </c>
      <c r="M21" s="138">
        <f>((J21-U21)*100)/U21</f>
        <v>33.7</v>
      </c>
      <c r="N21" s="51">
        <v>1781.39</v>
      </c>
      <c r="O21" s="51">
        <v>1907.19</v>
      </c>
      <c r="P21" s="51">
        <v>2120.71</v>
      </c>
      <c r="Q21" s="51">
        <v>2345.07</v>
      </c>
      <c r="R21" s="51">
        <v>2541.49</v>
      </c>
      <c r="S21" s="51">
        <v>2842.3</v>
      </c>
      <c r="T21" s="51">
        <v>2997.57</v>
      </c>
      <c r="U21" s="51">
        <v>3064.19</v>
      </c>
      <c r="V21" s="51">
        <v>3214.35</v>
      </c>
      <c r="W21" s="51"/>
      <c r="X21" s="108">
        <v>3307.43</v>
      </c>
      <c r="Y21" s="108">
        <v>219.69</v>
      </c>
      <c r="Z21" s="3">
        <v>58</v>
      </c>
      <c r="AA21" s="3">
        <v>697</v>
      </c>
      <c r="AB21" s="192">
        <f>SUM(X21:AA21)</f>
        <v>4282.12</v>
      </c>
    </row>
    <row r="22" spans="1:28" ht="15.75">
      <c r="A22" s="1" t="s">
        <v>15</v>
      </c>
      <c r="B22" s="52">
        <f>2834.06+448.05</f>
        <v>3282.11</v>
      </c>
      <c r="C22" s="52">
        <v>3532.64</v>
      </c>
      <c r="D22" s="50">
        <f>3042.02+502.85</f>
        <v>3544.87</v>
      </c>
      <c r="E22" s="61">
        <v>3782.27</v>
      </c>
      <c r="F22" s="61">
        <v>3668.21</v>
      </c>
      <c r="G22" s="50">
        <v>3767.53</v>
      </c>
      <c r="H22" s="50">
        <v>4079.3</v>
      </c>
      <c r="I22" s="50">
        <v>4456.37</v>
      </c>
      <c r="J22" s="50">
        <v>4382.88</v>
      </c>
      <c r="K22" s="50">
        <v>4720.93</v>
      </c>
      <c r="L22" s="16">
        <f>(K22-J22)*100/J22</f>
        <v>7.7</v>
      </c>
      <c r="M22" s="138">
        <f>((J22-U22)*100)/U22</f>
        <v>43.3</v>
      </c>
      <c r="N22" s="51">
        <v>1868.13</v>
      </c>
      <c r="O22" s="51">
        <v>2061.31</v>
      </c>
      <c r="P22" s="51">
        <v>2182.19</v>
      </c>
      <c r="Q22" s="51">
        <v>2394.86</v>
      </c>
      <c r="R22" s="51">
        <v>2629.27</v>
      </c>
      <c r="S22" s="51">
        <v>2934.52</v>
      </c>
      <c r="T22" s="51">
        <v>3093.08</v>
      </c>
      <c r="U22" s="51">
        <v>3057.72</v>
      </c>
      <c r="V22" s="51">
        <v>3137.47</v>
      </c>
      <c r="W22" s="51"/>
      <c r="X22" s="108">
        <v>3559.89</v>
      </c>
      <c r="Y22" s="108">
        <v>226.04</v>
      </c>
      <c r="Z22" s="3">
        <v>194</v>
      </c>
      <c r="AA22" s="3">
        <v>741</v>
      </c>
      <c r="AB22" s="192">
        <f>SUM(X22:AA22)</f>
        <v>4720.93</v>
      </c>
    </row>
    <row r="23" spans="2:28" ht="15.75">
      <c r="B23" s="52"/>
      <c r="C23" s="52"/>
      <c r="D23" s="50"/>
      <c r="E23" s="61"/>
      <c r="F23" s="61"/>
      <c r="G23" s="50"/>
      <c r="H23" s="50"/>
      <c r="I23" s="50"/>
      <c r="J23" s="50"/>
      <c r="K23" s="50"/>
      <c r="L23" s="16"/>
      <c r="M23" s="17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108"/>
      <c r="Y23" s="108"/>
      <c r="AA23" s="3"/>
      <c r="AB23" s="192"/>
    </row>
    <row r="24" spans="1:28" ht="15.75">
      <c r="A24" s="1" t="s">
        <v>16</v>
      </c>
      <c r="B24" s="52">
        <f>2882.93+393.73</f>
        <v>3276.66</v>
      </c>
      <c r="C24" s="52">
        <v>3468.41</v>
      </c>
      <c r="D24" s="50">
        <f>3020.1+431.55</f>
        <v>3451.65</v>
      </c>
      <c r="E24" s="61">
        <v>3454.18</v>
      </c>
      <c r="F24" s="61">
        <v>3317.06</v>
      </c>
      <c r="G24" s="50">
        <v>3511.87</v>
      </c>
      <c r="H24" s="50">
        <v>3646.57</v>
      </c>
      <c r="I24" s="50">
        <v>3889.25</v>
      </c>
      <c r="J24" s="50">
        <v>4161.26</v>
      </c>
      <c r="K24" s="50">
        <v>4338.91</v>
      </c>
      <c r="L24" s="16">
        <f>(K24-J24)*100/J24</f>
        <v>4.3</v>
      </c>
      <c r="M24" s="138">
        <f>((J24-U24)*100)/U24</f>
        <v>32.5</v>
      </c>
      <c r="N24" s="51">
        <v>1853.06</v>
      </c>
      <c r="O24" s="51">
        <v>1946.8</v>
      </c>
      <c r="P24" s="51">
        <v>2105.61</v>
      </c>
      <c r="Q24" s="51">
        <v>2312.21</v>
      </c>
      <c r="R24" s="51">
        <v>2586.28</v>
      </c>
      <c r="S24" s="51">
        <v>2867.38</v>
      </c>
      <c r="T24" s="51">
        <v>3107.75</v>
      </c>
      <c r="U24" s="51">
        <v>3140.46</v>
      </c>
      <c r="V24" s="51">
        <v>3179.21</v>
      </c>
      <c r="W24" s="51"/>
      <c r="X24" s="108">
        <v>3485.67</v>
      </c>
      <c r="Y24" s="108">
        <v>175.24</v>
      </c>
      <c r="Z24" s="3">
        <v>75</v>
      </c>
      <c r="AA24" s="3">
        <v>603</v>
      </c>
      <c r="AB24" s="192">
        <f>SUM(X24:AA24)</f>
        <v>4338.91</v>
      </c>
    </row>
    <row r="25" spans="1:28" ht="15.75">
      <c r="A25" s="1" t="s">
        <v>17</v>
      </c>
      <c r="B25" s="52">
        <f>2671.05+401.92</f>
        <v>3072.97</v>
      </c>
      <c r="C25" s="52">
        <v>3254.81</v>
      </c>
      <c r="D25" s="50">
        <f>2934.34+424.37</f>
        <v>3358.71</v>
      </c>
      <c r="E25" s="61">
        <v>3558.03</v>
      </c>
      <c r="F25" s="61">
        <v>3433.41</v>
      </c>
      <c r="G25" s="50">
        <v>3581.33</v>
      </c>
      <c r="H25" s="50">
        <v>3733.58</v>
      </c>
      <c r="I25" s="50">
        <v>4059.82</v>
      </c>
      <c r="J25" s="50">
        <v>4369.6</v>
      </c>
      <c r="K25" s="50">
        <v>4490.06</v>
      </c>
      <c r="L25" s="16">
        <f>(K25-J25)*100/J25</f>
        <v>2.8</v>
      </c>
      <c r="M25" s="138">
        <f>((J25-U25)*100)/U25</f>
        <v>52.1</v>
      </c>
      <c r="N25" s="51">
        <v>1536.75</v>
      </c>
      <c r="O25" s="51">
        <v>1797.12</v>
      </c>
      <c r="P25" s="51">
        <v>2021.39</v>
      </c>
      <c r="Q25" s="51">
        <v>2186.57</v>
      </c>
      <c r="R25" s="51">
        <v>2428.68</v>
      </c>
      <c r="S25" s="51">
        <v>2598.25</v>
      </c>
      <c r="T25" s="51">
        <v>2791.29</v>
      </c>
      <c r="U25" s="51">
        <v>2872.83</v>
      </c>
      <c r="V25" s="51">
        <v>2981.22</v>
      </c>
      <c r="W25" s="51"/>
      <c r="X25" s="108">
        <v>3583.13</v>
      </c>
      <c r="Y25" s="108">
        <v>218.93</v>
      </c>
      <c r="Z25" s="3">
        <v>71</v>
      </c>
      <c r="AA25" s="3">
        <v>617</v>
      </c>
      <c r="AB25" s="192">
        <f>SUM(X25:AA25)</f>
        <v>4490.06</v>
      </c>
    </row>
    <row r="26" spans="1:28" ht="15.75">
      <c r="A26" s="1" t="s">
        <v>18</v>
      </c>
      <c r="B26" s="52">
        <f>2820.47+365.37</f>
        <v>3185.84</v>
      </c>
      <c r="C26" s="52">
        <v>3378.61</v>
      </c>
      <c r="D26" s="50">
        <f>2992.77+428.76</f>
        <v>3421.53</v>
      </c>
      <c r="E26" s="61">
        <v>3474.71</v>
      </c>
      <c r="F26" s="61">
        <v>3334.61</v>
      </c>
      <c r="G26" s="50">
        <v>3429.73</v>
      </c>
      <c r="H26" s="50">
        <v>3565.27</v>
      </c>
      <c r="I26" s="50">
        <v>3781</v>
      </c>
      <c r="J26" s="50">
        <v>4084.61</v>
      </c>
      <c r="K26" s="50">
        <v>4008.7</v>
      </c>
      <c r="L26" s="16">
        <f>(K26-J26)*100/J26</f>
        <v>-1.9</v>
      </c>
      <c r="M26" s="138">
        <f>((J26-U26)*100)/U26</f>
        <v>38.5</v>
      </c>
      <c r="N26" s="51">
        <v>1807.13</v>
      </c>
      <c r="O26" s="51">
        <v>1978.66</v>
      </c>
      <c r="P26" s="51">
        <v>2149.69</v>
      </c>
      <c r="Q26" s="51">
        <v>2283.76</v>
      </c>
      <c r="R26" s="51">
        <v>2529.73</v>
      </c>
      <c r="S26" s="51">
        <v>2699.94</v>
      </c>
      <c r="T26" s="51">
        <v>2879.32</v>
      </c>
      <c r="U26" s="51">
        <v>2949.31</v>
      </c>
      <c r="V26" s="51">
        <v>3056.3</v>
      </c>
      <c r="W26" s="51"/>
      <c r="X26" s="108">
        <v>3179.44</v>
      </c>
      <c r="Y26" s="108">
        <v>176.26</v>
      </c>
      <c r="Z26" s="3">
        <v>52</v>
      </c>
      <c r="AA26" s="3">
        <v>601</v>
      </c>
      <c r="AB26" s="192">
        <f>SUM(X26:AA26)</f>
        <v>4008.7</v>
      </c>
    </row>
    <row r="27" spans="1:28" ht="15.75">
      <c r="A27" s="1" t="s">
        <v>19</v>
      </c>
      <c r="B27" s="52">
        <f>3180.92+564.69</f>
        <v>3745.61</v>
      </c>
      <c r="C27" s="52">
        <v>3931.89</v>
      </c>
      <c r="D27" s="50">
        <f>3445.87+615.57</f>
        <v>4061.44</v>
      </c>
      <c r="E27" s="61">
        <v>4064.03</v>
      </c>
      <c r="F27" s="61">
        <v>3802.87</v>
      </c>
      <c r="G27" s="50">
        <v>3974.61</v>
      </c>
      <c r="H27" s="50">
        <v>4304.01</v>
      </c>
      <c r="I27" s="50">
        <v>4714.94</v>
      </c>
      <c r="J27" s="50">
        <v>5059.77</v>
      </c>
      <c r="K27" s="50">
        <v>5074.37</v>
      </c>
      <c r="L27" s="16">
        <f>(K27-J27)*100/J27</f>
        <v>0.3</v>
      </c>
      <c r="M27" s="138">
        <f>((J27-U27)*100)/U27</f>
        <v>37.1</v>
      </c>
      <c r="N27" s="51">
        <v>2200.37</v>
      </c>
      <c r="O27" s="51">
        <v>2439.84</v>
      </c>
      <c r="P27" s="51">
        <v>2706.88</v>
      </c>
      <c r="Q27" s="51">
        <v>2934.34</v>
      </c>
      <c r="R27" s="51">
        <v>3205.34</v>
      </c>
      <c r="S27" s="51">
        <v>3501.33</v>
      </c>
      <c r="T27" s="51">
        <v>3806.22</v>
      </c>
      <c r="U27" s="51">
        <v>3691.79</v>
      </c>
      <c r="V27" s="51">
        <v>3637.54</v>
      </c>
      <c r="W27" s="51"/>
      <c r="X27" s="108">
        <v>3724.75</v>
      </c>
      <c r="Y27" s="108">
        <v>202.62</v>
      </c>
      <c r="Z27" s="3">
        <v>51</v>
      </c>
      <c r="AA27" s="3">
        <v>1096</v>
      </c>
      <c r="AB27" s="192">
        <f>SUM(X27:AA27)</f>
        <v>5074.37</v>
      </c>
    </row>
    <row r="28" spans="1:28" ht="15.75">
      <c r="A28" s="1" t="s">
        <v>20</v>
      </c>
      <c r="B28" s="52">
        <f>3232.18+458.43</f>
        <v>3690.61</v>
      </c>
      <c r="C28" s="52">
        <v>3917.35</v>
      </c>
      <c r="D28" s="50">
        <f>3482.23+504.17</f>
        <v>3986.4</v>
      </c>
      <c r="E28" s="61">
        <v>4060.32</v>
      </c>
      <c r="F28" s="61">
        <v>4297.26</v>
      </c>
      <c r="G28" s="50">
        <v>4156.62</v>
      </c>
      <c r="H28" s="50">
        <v>4263.78</v>
      </c>
      <c r="I28" s="50">
        <v>4850.98</v>
      </c>
      <c r="J28" s="50">
        <v>5190.07</v>
      </c>
      <c r="K28" s="50">
        <v>5442.03</v>
      </c>
      <c r="L28" s="16">
        <f>(K28-J28)*100/J28</f>
        <v>4.9</v>
      </c>
      <c r="M28" s="138">
        <f>((J28-U28)*100)/U28</f>
        <v>54.6</v>
      </c>
      <c r="N28" s="51">
        <v>1902.23</v>
      </c>
      <c r="O28" s="51">
        <v>2140.24</v>
      </c>
      <c r="P28" s="51">
        <v>2352.09</v>
      </c>
      <c r="Q28" s="51">
        <v>2592.93</v>
      </c>
      <c r="R28" s="51">
        <v>2914.57</v>
      </c>
      <c r="S28" s="51">
        <v>3139.42</v>
      </c>
      <c r="T28" s="51">
        <v>3328.6</v>
      </c>
      <c r="U28" s="51">
        <v>3356.2</v>
      </c>
      <c r="V28" s="51">
        <v>3436.13</v>
      </c>
      <c r="W28" s="51"/>
      <c r="X28" s="108">
        <v>4223.78</v>
      </c>
      <c r="Y28" s="108">
        <v>191.25</v>
      </c>
      <c r="Z28" s="3">
        <v>157</v>
      </c>
      <c r="AA28" s="3">
        <v>870</v>
      </c>
      <c r="AB28" s="192">
        <f>SUM(X28:AA28)</f>
        <v>5442.03</v>
      </c>
    </row>
    <row r="29" spans="2:28" ht="15.75">
      <c r="B29" s="52"/>
      <c r="C29" s="52"/>
      <c r="D29" s="50"/>
      <c r="E29" s="61"/>
      <c r="F29" s="61"/>
      <c r="G29" s="50"/>
      <c r="H29" s="50"/>
      <c r="I29" s="50"/>
      <c r="J29" s="50"/>
      <c r="K29" s="50"/>
      <c r="L29" s="16"/>
      <c r="M29" s="17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108"/>
      <c r="Y29" s="108"/>
      <c r="AA29" s="3"/>
      <c r="AB29" s="192"/>
    </row>
    <row r="30" spans="1:28" ht="15.75">
      <c r="A30" s="1" t="s">
        <v>21</v>
      </c>
      <c r="B30" s="52">
        <f>3831.15+654.25</f>
        <v>4485.4</v>
      </c>
      <c r="C30" s="52">
        <v>4610.23</v>
      </c>
      <c r="D30" s="50">
        <f>4008.99+697.5</f>
        <v>4706.49</v>
      </c>
      <c r="E30" s="61">
        <v>4783.18</v>
      </c>
      <c r="F30" s="61">
        <v>4514.96</v>
      </c>
      <c r="G30" s="50">
        <v>4744.66</v>
      </c>
      <c r="H30" s="50">
        <v>4970.18</v>
      </c>
      <c r="I30" s="50">
        <v>5404.41</v>
      </c>
      <c r="J30" s="50">
        <v>5770.06</v>
      </c>
      <c r="K30" s="50">
        <v>5993.99</v>
      </c>
      <c r="L30" s="16">
        <f>(K30-J30)*100/J30</f>
        <v>3.9</v>
      </c>
      <c r="M30" s="138">
        <f>((J30-U30)*100)/U30</f>
        <v>31.7</v>
      </c>
      <c r="N30" s="51">
        <v>2770.55</v>
      </c>
      <c r="O30" s="51">
        <v>3038.35</v>
      </c>
      <c r="P30" s="51">
        <v>3528.28</v>
      </c>
      <c r="Q30" s="51">
        <v>3557.35</v>
      </c>
      <c r="R30" s="51">
        <v>3885.2</v>
      </c>
      <c r="S30" s="51">
        <v>4287.2</v>
      </c>
      <c r="T30" s="51">
        <v>4516.04</v>
      </c>
      <c r="U30" s="51">
        <v>4380.59</v>
      </c>
      <c r="V30" s="51">
        <v>4458.01</v>
      </c>
      <c r="W30" s="51"/>
      <c r="X30" s="108">
        <v>4701.04</v>
      </c>
      <c r="Y30" s="108">
        <v>180.95</v>
      </c>
      <c r="Z30" s="3">
        <v>73</v>
      </c>
      <c r="AA30" s="3">
        <v>1039</v>
      </c>
      <c r="AB30" s="192">
        <f>SUM(X30:AA30)</f>
        <v>5993.99</v>
      </c>
    </row>
    <row r="31" spans="1:28" ht="15.75">
      <c r="A31" s="1" t="s">
        <v>22</v>
      </c>
      <c r="B31" s="52">
        <f>2779.06+542.31</f>
        <v>3321.37</v>
      </c>
      <c r="C31" s="52">
        <v>3516.4</v>
      </c>
      <c r="D31" s="50">
        <f>2971.57+578.08</f>
        <v>3549.65</v>
      </c>
      <c r="E31" s="61">
        <v>3586.77</v>
      </c>
      <c r="F31" s="61">
        <v>3401.77</v>
      </c>
      <c r="G31" s="50">
        <v>3630.78</v>
      </c>
      <c r="H31" s="50">
        <v>3775.18</v>
      </c>
      <c r="I31" s="50">
        <v>3943.81</v>
      </c>
      <c r="J31" s="50">
        <v>4226.47</v>
      </c>
      <c r="K31" s="50">
        <v>4467.32</v>
      </c>
      <c r="L31" s="16">
        <f>(K31-J31)*100/J31</f>
        <v>5.7</v>
      </c>
      <c r="M31" s="138">
        <f>((J31-U31)*100)/U31</f>
        <v>37.2</v>
      </c>
      <c r="N31" s="51">
        <v>1945.13</v>
      </c>
      <c r="O31" s="51">
        <v>2161.43</v>
      </c>
      <c r="P31" s="51">
        <v>2416.72</v>
      </c>
      <c r="Q31" s="51">
        <v>2659.4</v>
      </c>
      <c r="R31" s="51">
        <v>2865.1</v>
      </c>
      <c r="S31" s="51">
        <v>3029.88</v>
      </c>
      <c r="T31" s="51">
        <v>3219.31</v>
      </c>
      <c r="U31" s="51">
        <v>3080.96</v>
      </c>
      <c r="V31" s="51">
        <v>3241.77</v>
      </c>
      <c r="W31" s="51"/>
      <c r="X31" s="108">
        <v>3328.7</v>
      </c>
      <c r="Y31" s="108">
        <v>238.62</v>
      </c>
      <c r="Z31" s="3">
        <v>95</v>
      </c>
      <c r="AA31" s="3">
        <v>805</v>
      </c>
      <c r="AB31" s="192">
        <f>SUM(X31:AA31)</f>
        <v>4467.32</v>
      </c>
    </row>
    <row r="32" spans="1:28" ht="15.75">
      <c r="A32" s="1" t="s">
        <v>23</v>
      </c>
      <c r="B32" s="52">
        <f>2962.77+446.09</f>
        <v>3408.86</v>
      </c>
      <c r="C32" s="52">
        <v>3450.15</v>
      </c>
      <c r="D32" s="50">
        <f>2994.7+454.15</f>
        <v>3448.85</v>
      </c>
      <c r="E32" s="61">
        <v>3623.32</v>
      </c>
      <c r="F32" s="61">
        <v>3434.93</v>
      </c>
      <c r="G32" s="50">
        <v>3679.53</v>
      </c>
      <c r="H32" s="50">
        <v>3854.27</v>
      </c>
      <c r="I32" s="50">
        <v>4094.33</v>
      </c>
      <c r="J32" s="50">
        <v>4487.5</v>
      </c>
      <c r="K32" s="50">
        <v>4563.6</v>
      </c>
      <c r="L32" s="16">
        <f>(K32-J32)*100/J32</f>
        <v>1.7</v>
      </c>
      <c r="M32" s="138">
        <f>((J32-U32)*100)/U32</f>
        <v>42.3</v>
      </c>
      <c r="N32" s="51">
        <v>1798.72</v>
      </c>
      <c r="O32" s="51">
        <v>2130.82</v>
      </c>
      <c r="P32" s="51">
        <v>2461.69</v>
      </c>
      <c r="Q32" s="51">
        <v>2588.69</v>
      </c>
      <c r="R32" s="51">
        <v>2720.52</v>
      </c>
      <c r="S32" s="51">
        <v>2938.03</v>
      </c>
      <c r="T32" s="51">
        <v>3073.72</v>
      </c>
      <c r="U32" s="51">
        <v>3153.52</v>
      </c>
      <c r="V32" s="51">
        <v>3203.81</v>
      </c>
      <c r="W32" s="51"/>
      <c r="X32" s="108">
        <v>3442.56</v>
      </c>
      <c r="Y32" s="108">
        <v>291.04</v>
      </c>
      <c r="Z32" s="3">
        <v>108</v>
      </c>
      <c r="AA32" s="3">
        <v>722</v>
      </c>
      <c r="AB32" s="192">
        <f>SUM(X32:AA32)</f>
        <v>4563.6</v>
      </c>
    </row>
    <row r="33" spans="1:28" ht="15.75">
      <c r="A33" s="1" t="s">
        <v>24</v>
      </c>
      <c r="B33" s="52">
        <f>2831.91+514.09</f>
        <v>3346</v>
      </c>
      <c r="C33" s="52">
        <v>3537.13</v>
      </c>
      <c r="D33" s="50">
        <f>2888.83+532.14</f>
        <v>3420.97</v>
      </c>
      <c r="E33" s="61">
        <v>3593.54</v>
      </c>
      <c r="F33" s="61">
        <v>3369.98</v>
      </c>
      <c r="G33" s="50">
        <v>3578.4</v>
      </c>
      <c r="H33" s="50">
        <v>3707.13</v>
      </c>
      <c r="I33" s="50">
        <v>3948.61</v>
      </c>
      <c r="J33" s="50">
        <v>4297.64</v>
      </c>
      <c r="K33" s="50">
        <v>4290.06</v>
      </c>
      <c r="L33" s="16">
        <f>(K33-J33)*100/J33</f>
        <v>-0.2</v>
      </c>
      <c r="M33" s="138">
        <f>((J33-U33)*100)/U33</f>
        <v>33.7</v>
      </c>
      <c r="N33" s="51">
        <v>1741.92</v>
      </c>
      <c r="O33" s="51">
        <v>1995.24</v>
      </c>
      <c r="P33" s="51">
        <v>2194.72</v>
      </c>
      <c r="Q33" s="51">
        <v>2355.41</v>
      </c>
      <c r="R33" s="51">
        <v>2478</v>
      </c>
      <c r="S33" s="51">
        <v>2758.55</v>
      </c>
      <c r="T33" s="51">
        <v>2965.05</v>
      </c>
      <c r="U33" s="51">
        <v>3214.43</v>
      </c>
      <c r="V33" s="51">
        <v>3334.77</v>
      </c>
      <c r="W33" s="51"/>
      <c r="X33" s="108">
        <v>3211.19</v>
      </c>
      <c r="Y33" s="108">
        <v>150.87</v>
      </c>
      <c r="Z33" s="3">
        <v>115</v>
      </c>
      <c r="AA33" s="3">
        <v>813</v>
      </c>
      <c r="AB33" s="192">
        <f>SUM(X33:AA33)</f>
        <v>4290.06</v>
      </c>
    </row>
    <row r="34" spans="1:28" ht="15.75">
      <c r="A34" s="1" t="s">
        <v>25</v>
      </c>
      <c r="B34" s="52">
        <f>2810.12+463.21</f>
        <v>3273.33</v>
      </c>
      <c r="C34" s="52">
        <v>3502.99</v>
      </c>
      <c r="D34" s="50">
        <f>3264.09+512.11</f>
        <v>3776.2</v>
      </c>
      <c r="E34" s="61">
        <v>3814.36</v>
      </c>
      <c r="F34" s="61">
        <v>3780.42</v>
      </c>
      <c r="G34" s="50">
        <v>3994.91</v>
      </c>
      <c r="H34" s="50">
        <v>4293.08</v>
      </c>
      <c r="I34" s="50">
        <v>4548.68</v>
      </c>
      <c r="J34" s="50">
        <v>4870.63</v>
      </c>
      <c r="K34" s="50">
        <v>5126.54</v>
      </c>
      <c r="L34" s="16">
        <f>(K34-J34)*100/J34</f>
        <v>5.3</v>
      </c>
      <c r="M34" s="138">
        <f>((J34-U34)*100)/U34</f>
        <v>74.9</v>
      </c>
      <c r="N34" s="51">
        <v>1602.99</v>
      </c>
      <c r="O34" s="51">
        <v>1749.92</v>
      </c>
      <c r="P34" s="51">
        <v>1945.13</v>
      </c>
      <c r="Q34" s="51">
        <v>2133.34</v>
      </c>
      <c r="R34" s="51">
        <v>2411.96</v>
      </c>
      <c r="S34" s="51">
        <v>2683.67</v>
      </c>
      <c r="T34" s="51">
        <v>2942.52</v>
      </c>
      <c r="U34" s="51">
        <v>2784.58</v>
      </c>
      <c r="V34" s="51">
        <v>2964.25</v>
      </c>
      <c r="W34" s="51"/>
      <c r="X34" s="108">
        <v>3851.96</v>
      </c>
      <c r="Y34" s="108">
        <v>308.58</v>
      </c>
      <c r="Z34" s="3">
        <v>173</v>
      </c>
      <c r="AA34" s="3">
        <v>793</v>
      </c>
      <c r="AB34" s="192">
        <f>SUM(X34:AA34)</f>
        <v>5126.54</v>
      </c>
    </row>
    <row r="35" spans="2:28" ht="15.75">
      <c r="B35" s="52"/>
      <c r="C35" s="52"/>
      <c r="D35" s="50"/>
      <c r="E35" s="61"/>
      <c r="F35" s="61"/>
      <c r="G35" s="50"/>
      <c r="H35" s="50"/>
      <c r="I35" s="50"/>
      <c r="J35" s="50"/>
      <c r="K35" s="50"/>
      <c r="L35" s="16"/>
      <c r="M35" s="17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/>
      <c r="Y35"/>
      <c r="AA35" s="3"/>
      <c r="AB35" s="192"/>
    </row>
    <row r="36" spans="1:28" ht="15.75">
      <c r="A36" s="1" t="s">
        <v>26</v>
      </c>
      <c r="B36" s="52">
        <f>2997.13+447.19</f>
        <v>3444.32</v>
      </c>
      <c r="C36" s="52">
        <v>3585.58</v>
      </c>
      <c r="D36" s="50">
        <f>3233.62+458.39</f>
        <v>3692.01</v>
      </c>
      <c r="E36" s="61">
        <v>3877.18</v>
      </c>
      <c r="F36" s="61">
        <v>3526.22</v>
      </c>
      <c r="G36" s="50">
        <v>3738.45</v>
      </c>
      <c r="H36" s="50">
        <v>3855.24</v>
      </c>
      <c r="I36" s="50">
        <v>4160.08</v>
      </c>
      <c r="J36" s="50">
        <v>4541.32</v>
      </c>
      <c r="K36" s="50">
        <v>4678.28</v>
      </c>
      <c r="L36" s="16">
        <f>(K36-J36)*100/J36</f>
        <v>3</v>
      </c>
      <c r="M36" s="138">
        <f>((J36-U36)*100)/U36</f>
        <v>39.1</v>
      </c>
      <c r="N36" s="51">
        <v>2047.29</v>
      </c>
      <c r="O36" s="51">
        <v>2211.37</v>
      </c>
      <c r="P36" s="51">
        <v>2289.85</v>
      </c>
      <c r="Q36" s="51">
        <v>2758.61</v>
      </c>
      <c r="R36" s="51">
        <v>3043.44</v>
      </c>
      <c r="S36" s="51">
        <v>3417.57</v>
      </c>
      <c r="T36" s="51">
        <v>3423.15</v>
      </c>
      <c r="U36" s="51">
        <v>3265.79</v>
      </c>
      <c r="V36" s="51">
        <v>3278.91</v>
      </c>
      <c r="W36" s="51"/>
      <c r="X36" s="108">
        <v>3714.3</v>
      </c>
      <c r="Y36" s="108">
        <v>173.98</v>
      </c>
      <c r="Z36" s="3">
        <v>127</v>
      </c>
      <c r="AA36" s="3">
        <v>663</v>
      </c>
      <c r="AB36" s="192">
        <f>SUM(X36:AA36)</f>
        <v>4678.28</v>
      </c>
    </row>
    <row r="37" spans="1:28" ht="15.75">
      <c r="A37" s="1" t="s">
        <v>27</v>
      </c>
      <c r="B37" s="52">
        <f>2859+406.74</f>
        <v>3265.74</v>
      </c>
      <c r="C37" s="52">
        <v>3462.82</v>
      </c>
      <c r="D37" s="50">
        <f>3054.16+457.04</f>
        <v>3511.2</v>
      </c>
      <c r="E37" s="61">
        <v>3550.21</v>
      </c>
      <c r="F37" s="61">
        <v>3368.62</v>
      </c>
      <c r="G37" s="50">
        <v>3604.86</v>
      </c>
      <c r="H37" s="50">
        <v>3827.8</v>
      </c>
      <c r="I37" s="50">
        <v>3993.55</v>
      </c>
      <c r="J37" s="50">
        <v>4312.79</v>
      </c>
      <c r="K37" s="50">
        <v>4447.87</v>
      </c>
      <c r="L37" s="16">
        <f>(K37-J37)*100/J37</f>
        <v>3.1</v>
      </c>
      <c r="M37" s="138">
        <f>((J37-U37)*100)/U37</f>
        <v>36.7</v>
      </c>
      <c r="N37" s="51">
        <v>1873.62</v>
      </c>
      <c r="O37" s="51">
        <v>2062.82</v>
      </c>
      <c r="P37" s="51">
        <v>2276.64</v>
      </c>
      <c r="Q37" s="51">
        <v>2471.45</v>
      </c>
      <c r="R37" s="51">
        <v>2690.4</v>
      </c>
      <c r="S37" s="51">
        <v>2889.12</v>
      </c>
      <c r="T37" s="51">
        <v>3101.57</v>
      </c>
      <c r="U37" s="51">
        <v>3154.69</v>
      </c>
      <c r="V37" s="51">
        <v>3165.86</v>
      </c>
      <c r="W37" s="51"/>
      <c r="X37" s="108">
        <v>3430.09</v>
      </c>
      <c r="Y37" s="108">
        <v>233.78</v>
      </c>
      <c r="Z37" s="3">
        <v>88</v>
      </c>
      <c r="AA37" s="3">
        <v>696</v>
      </c>
      <c r="AB37" s="192">
        <f>SUM(X37:AA37)</f>
        <v>4447.87</v>
      </c>
    </row>
    <row r="38" spans="1:28" ht="15.75">
      <c r="A38" s="1" t="s">
        <v>28</v>
      </c>
      <c r="B38" s="52">
        <f>2785.28+408.9</f>
        <v>3194.18</v>
      </c>
      <c r="C38" s="52">
        <v>3372.48</v>
      </c>
      <c r="D38" s="50">
        <f>2936.13+424.19</f>
        <v>3360.32</v>
      </c>
      <c r="E38" s="61">
        <v>3571.91</v>
      </c>
      <c r="F38" s="61">
        <v>3404.32</v>
      </c>
      <c r="G38" s="50">
        <v>3713.24</v>
      </c>
      <c r="H38" s="50">
        <v>3941.14</v>
      </c>
      <c r="I38" s="50">
        <v>4326.2</v>
      </c>
      <c r="J38" s="50">
        <v>4545.74</v>
      </c>
      <c r="K38" s="50">
        <v>4678.81</v>
      </c>
      <c r="L38" s="16">
        <f>(K38-J38)*100/J38</f>
        <v>2.9</v>
      </c>
      <c r="M38" s="138">
        <f>((J38-U38)*100)/U38</f>
        <v>51</v>
      </c>
      <c r="N38" s="51">
        <v>1809.28</v>
      </c>
      <c r="O38" s="51">
        <v>1975.29</v>
      </c>
      <c r="P38" s="51">
        <v>2129.95</v>
      </c>
      <c r="Q38" s="51">
        <v>2346.56</v>
      </c>
      <c r="R38" s="51">
        <v>2558.82</v>
      </c>
      <c r="S38" s="51">
        <v>2803.1</v>
      </c>
      <c r="T38" s="51">
        <v>3061.92</v>
      </c>
      <c r="U38" s="51">
        <v>3011.39</v>
      </c>
      <c r="V38" s="51">
        <v>3126.7</v>
      </c>
      <c r="W38" s="51"/>
      <c r="X38" s="108">
        <v>3593.1</v>
      </c>
      <c r="Y38" s="108">
        <v>211.71</v>
      </c>
      <c r="Z38" s="3">
        <v>95</v>
      </c>
      <c r="AA38" s="3">
        <v>779</v>
      </c>
      <c r="AB38" s="192">
        <f>SUM(X38:AA38)</f>
        <v>4678.81</v>
      </c>
    </row>
    <row r="39" spans="1:28" ht="15.75">
      <c r="A39" s="18" t="s">
        <v>29</v>
      </c>
      <c r="B39" s="52">
        <f>3439.36+401.02</f>
        <v>3840.38</v>
      </c>
      <c r="C39" s="52">
        <v>3875.69</v>
      </c>
      <c r="D39" s="50">
        <f>3406.86+449.39</f>
        <v>3856.25</v>
      </c>
      <c r="E39" s="62">
        <v>4034.53</v>
      </c>
      <c r="F39" s="62">
        <v>3881.84</v>
      </c>
      <c r="G39" s="97">
        <v>4144.52</v>
      </c>
      <c r="H39" s="97">
        <v>4383.22</v>
      </c>
      <c r="I39" s="97">
        <v>4886.01</v>
      </c>
      <c r="J39" s="97">
        <v>5391.77</v>
      </c>
      <c r="K39" s="97">
        <v>6083.15</v>
      </c>
      <c r="L39" s="229">
        <f>(K39-J39)*100/J39</f>
        <v>12.8</v>
      </c>
      <c r="M39" s="139">
        <f>((J39-U39)*100)/U39</f>
        <v>47.5</v>
      </c>
      <c r="N39" s="51">
        <v>2268.3</v>
      </c>
      <c r="O39" s="51">
        <v>2438.49</v>
      </c>
      <c r="P39" s="51">
        <v>2807.39</v>
      </c>
      <c r="Q39" s="51">
        <v>2974.11</v>
      </c>
      <c r="R39" s="51">
        <v>3148.62</v>
      </c>
      <c r="S39" s="51">
        <v>3398.76</v>
      </c>
      <c r="T39" s="51">
        <v>3595.32</v>
      </c>
      <c r="U39" s="51">
        <v>3654.59</v>
      </c>
      <c r="V39" s="51">
        <v>3726.03</v>
      </c>
      <c r="W39" s="51"/>
      <c r="X39" s="109">
        <v>4662.28</v>
      </c>
      <c r="Y39" s="109">
        <v>372.87</v>
      </c>
      <c r="Z39" s="3">
        <v>132</v>
      </c>
      <c r="AA39" s="3">
        <v>916</v>
      </c>
      <c r="AB39" s="192">
        <f>SUM(X39:AA39)</f>
        <v>6083.15</v>
      </c>
    </row>
    <row r="40" spans="1:17" ht="12.75">
      <c r="A40" s="1" t="s">
        <v>82</v>
      </c>
      <c r="B40" s="19"/>
      <c r="C40" s="20"/>
      <c r="D40" s="19"/>
      <c r="E40" s="19"/>
      <c r="F40" s="19"/>
      <c r="G40" s="19"/>
      <c r="H40" s="19"/>
      <c r="I40" s="61"/>
      <c r="J40" s="61"/>
      <c r="K40" s="61"/>
      <c r="L40" s="61"/>
      <c r="M40" s="39"/>
      <c r="N40" s="39"/>
      <c r="O40" s="19"/>
      <c r="P40" s="19"/>
      <c r="Q40" s="19"/>
    </row>
    <row r="41" spans="3:14" ht="12.75">
      <c r="C41" s="15"/>
      <c r="I41" s="61"/>
      <c r="J41" s="61"/>
      <c r="K41" s="61"/>
      <c r="L41" s="61"/>
      <c r="M41" s="32"/>
      <c r="N41" s="32"/>
    </row>
    <row r="42" spans="1:17" ht="12.75">
      <c r="A42" s="32" t="s">
        <v>125</v>
      </c>
      <c r="B42" s="15"/>
      <c r="C42" s="15"/>
      <c r="O42" s="15"/>
      <c r="P42" s="15"/>
      <c r="Q42" s="15"/>
    </row>
    <row r="43" spans="1:17" ht="12.75">
      <c r="A43" s="1" t="s">
        <v>126</v>
      </c>
      <c r="B43" s="15"/>
      <c r="C43" s="15"/>
      <c r="O43" s="15"/>
      <c r="P43" s="15"/>
      <c r="Q43" s="15"/>
    </row>
    <row r="44" spans="2:17" ht="12.75">
      <c r="B44" s="15"/>
      <c r="C44" s="15"/>
      <c r="O44" s="15"/>
      <c r="P44" s="15"/>
      <c r="Q44" s="15"/>
    </row>
    <row r="45" spans="2:17" ht="12.75">
      <c r="B45" s="15"/>
      <c r="C45" s="15"/>
      <c r="O45" s="15"/>
      <c r="P45" s="15"/>
      <c r="Q45" s="15"/>
    </row>
    <row r="46" spans="2:17" ht="12.75">
      <c r="B46" s="15"/>
      <c r="C46" s="15"/>
      <c r="O46" s="15"/>
      <c r="P46" s="15"/>
      <c r="Q46" s="15"/>
    </row>
    <row r="47" spans="2:3" ht="12.75">
      <c r="B47" s="15"/>
      <c r="C47" s="15"/>
    </row>
    <row r="48" spans="2:3" ht="12.75">
      <c r="B48" s="15"/>
      <c r="C48" s="15"/>
    </row>
    <row r="49" spans="2:3" ht="12.75">
      <c r="B49" s="15"/>
      <c r="C49" s="15"/>
    </row>
    <row r="50" spans="2:3" ht="12.75">
      <c r="B50" s="15"/>
      <c r="C50" s="15"/>
    </row>
    <row r="51" spans="2:3" ht="12.75">
      <c r="B51" s="15"/>
      <c r="C51" s="15"/>
    </row>
    <row r="52" ht="12.75">
      <c r="C52" s="15"/>
    </row>
    <row r="53" ht="12.75">
      <c r="C53" s="15"/>
    </row>
  </sheetData>
  <printOptions/>
  <pageMargins left="0.54" right="0.54" top="0.74" bottom="0.48" header="0.5" footer="0.32"/>
  <pageSetup fitToHeight="1" fitToWidth="1" orientation="landscape" scale="76" r:id="rId1"/>
  <headerFooter alignWithMargins="0">
    <oddFooter>&amp;L&amp;"Lucida Sans,Italic"&amp;10MSDE-DBS  11 / 2004&amp;C- 16 -&amp;R&amp;"Lucida Sans,Italic"&amp;10Selected Financial Data - Part 4</oddFooter>
  </headerFooter>
  <rowBreaks count="1" manualBreakCount="1">
    <brk id="4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workbookViewId="0" topLeftCell="G1">
      <selection activeCell="I12" sqref="I12"/>
    </sheetView>
  </sheetViews>
  <sheetFormatPr defaultColWidth="9.00390625" defaultRowHeight="15.75"/>
  <cols>
    <col min="1" max="1" width="12.875" style="1" customWidth="1"/>
    <col min="2" max="8" width="12.625" style="1" customWidth="1"/>
    <col min="9" max="9" width="12.625" style="64" customWidth="1"/>
    <col min="10" max="11" width="12.625" style="66" customWidth="1"/>
    <col min="12" max="12" width="6.625" style="66" customWidth="1"/>
    <col min="13" max="13" width="6.625" style="1" customWidth="1"/>
    <col min="14" max="14" width="7.125" style="1" customWidth="1"/>
    <col min="15" max="21" width="10.125" style="1" customWidth="1"/>
    <col min="22" max="22" width="8.625" style="1" bestFit="1" customWidth="1"/>
    <col min="23" max="23" width="11.125" style="1" bestFit="1" customWidth="1"/>
    <col min="24" max="24" width="11.125" style="3" bestFit="1" customWidth="1"/>
    <col min="25" max="25" width="10.125" style="3" customWidth="1"/>
    <col min="26" max="26" width="11.50390625" style="3" customWidth="1"/>
    <col min="27" max="27" width="11.125" style="3" bestFit="1" customWidth="1"/>
    <col min="28" max="41" width="10.125" style="3" customWidth="1"/>
    <col min="42" max="16384" width="10.00390625" style="3" customWidth="1"/>
  </cols>
  <sheetData>
    <row r="1" spans="1:17" ht="15.75" customHeight="1">
      <c r="A1" s="130" t="s">
        <v>122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25"/>
      <c r="O1" s="2"/>
      <c r="P1" s="2"/>
      <c r="Q1" s="2"/>
    </row>
    <row r="2" spans="1:17" ht="12.75">
      <c r="A2" s="128"/>
      <c r="B2" s="128"/>
      <c r="C2" s="128"/>
      <c r="D2" s="128"/>
      <c r="E2" s="128"/>
      <c r="F2" s="128"/>
      <c r="G2" s="128"/>
      <c r="H2" s="128"/>
      <c r="I2" s="131"/>
      <c r="J2" s="130"/>
      <c r="K2" s="130"/>
      <c r="L2" s="130"/>
      <c r="M2" s="128"/>
      <c r="N2" s="2"/>
      <c r="O2" s="2"/>
      <c r="P2" s="2"/>
      <c r="Q2" s="2"/>
    </row>
    <row r="3" spans="1:17" ht="15.75">
      <c r="A3" s="128" t="s">
        <v>124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95"/>
      <c r="O3" s="95"/>
      <c r="P3" s="95"/>
      <c r="Q3" s="95"/>
    </row>
    <row r="4" spans="1:17" ht="15.75">
      <c r="A4" s="128" t="s">
        <v>196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0"/>
      <c r="O4" s="95"/>
      <c r="P4" s="95"/>
      <c r="Q4" s="95"/>
    </row>
    <row r="5" spans="8:17" ht="13.5" thickBot="1">
      <c r="H5" s="11"/>
      <c r="I5" s="11"/>
      <c r="O5" s="7"/>
      <c r="P5" s="7"/>
      <c r="Q5" s="7"/>
    </row>
    <row r="6" spans="1:25" ht="13.5" thickTop="1">
      <c r="A6" s="5"/>
      <c r="B6" s="5"/>
      <c r="C6" s="5"/>
      <c r="D6" s="5"/>
      <c r="E6" s="5"/>
      <c r="F6" s="5"/>
      <c r="G6" s="5"/>
      <c r="H6" s="65"/>
      <c r="I6" s="88"/>
      <c r="J6" s="5"/>
      <c r="K6" s="5"/>
      <c r="L6" s="5"/>
      <c r="M6" s="5"/>
      <c r="N6" s="7"/>
      <c r="O6" s="7"/>
      <c r="P6" s="7"/>
      <c r="Q6" s="5"/>
      <c r="T6" s="5"/>
      <c r="U6" s="5"/>
      <c r="V6" s="5"/>
      <c r="W6" s="7"/>
      <c r="X6" s="1" t="s">
        <v>144</v>
      </c>
      <c r="Y6" s="1"/>
    </row>
    <row r="7" spans="1:25" ht="12.75">
      <c r="A7" s="7"/>
      <c r="B7" s="7"/>
      <c r="C7" s="7"/>
      <c r="D7" s="7"/>
      <c r="E7" s="7"/>
      <c r="F7" s="7"/>
      <c r="H7" s="66"/>
      <c r="I7" s="66"/>
      <c r="J7" s="1"/>
      <c r="K7" s="1"/>
      <c r="L7" s="40" t="s">
        <v>34</v>
      </c>
      <c r="M7" s="40"/>
      <c r="O7" s="7"/>
      <c r="P7" s="7"/>
      <c r="Q7" s="7"/>
      <c r="T7" s="7"/>
      <c r="U7" s="7"/>
      <c r="V7" s="7"/>
      <c r="W7" s="7"/>
      <c r="X7" s="1" t="s">
        <v>112</v>
      </c>
      <c r="Y7" s="1"/>
    </row>
    <row r="8" spans="1:25" ht="12.75">
      <c r="A8" s="7"/>
      <c r="B8" s="7"/>
      <c r="C8" s="7"/>
      <c r="D8" s="7"/>
      <c r="E8" s="7"/>
      <c r="F8" s="7"/>
      <c r="G8" s="7"/>
      <c r="H8" s="67"/>
      <c r="I8" s="67"/>
      <c r="J8" s="7"/>
      <c r="K8" s="7"/>
      <c r="L8" s="31" t="s">
        <v>106</v>
      </c>
      <c r="M8" s="31" t="s">
        <v>107</v>
      </c>
      <c r="N8" s="18"/>
      <c r="O8" s="18"/>
      <c r="P8" s="18"/>
      <c r="Q8" s="7"/>
      <c r="T8" s="7"/>
      <c r="U8" s="7"/>
      <c r="V8" s="7"/>
      <c r="W8" s="7"/>
      <c r="X8" s="1" t="s">
        <v>145</v>
      </c>
      <c r="Y8" s="1"/>
    </row>
    <row r="9" spans="1:25" ht="13.5" thickBot="1">
      <c r="A9" s="8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42" t="s">
        <v>105</v>
      </c>
      <c r="M9" s="42" t="s">
        <v>105</v>
      </c>
      <c r="N9" s="71" t="s">
        <v>67</v>
      </c>
      <c r="O9" s="71" t="s">
        <v>65</v>
      </c>
      <c r="P9" s="71" t="s">
        <v>91</v>
      </c>
      <c r="Q9" s="9" t="s">
        <v>92</v>
      </c>
      <c r="R9" s="9" t="s">
        <v>93</v>
      </c>
      <c r="S9" s="9" t="s">
        <v>94</v>
      </c>
      <c r="T9" s="9" t="s">
        <v>95</v>
      </c>
      <c r="U9" s="9" t="s">
        <v>61</v>
      </c>
      <c r="V9" s="9" t="s">
        <v>66</v>
      </c>
      <c r="W9" s="27"/>
      <c r="X9" s="1"/>
      <c r="Y9" s="1"/>
    </row>
    <row r="10" spans="1:27" ht="12.75">
      <c r="A10" s="7" t="s">
        <v>5</v>
      </c>
      <c r="B10" s="11">
        <f aca="true" t="shared" si="0" ref="B10:J10">SUM(B12:B39)</f>
        <v>117635</v>
      </c>
      <c r="C10" s="11">
        <f t="shared" si="0"/>
        <v>121072</v>
      </c>
      <c r="D10" s="11">
        <f t="shared" si="0"/>
        <v>123319</v>
      </c>
      <c r="E10" s="11">
        <f t="shared" si="0"/>
        <v>127364</v>
      </c>
      <c r="F10" s="11">
        <f t="shared" si="0"/>
        <v>130462</v>
      </c>
      <c r="G10" s="11">
        <f t="shared" si="0"/>
        <v>134108</v>
      </c>
      <c r="H10" s="11">
        <f t="shared" si="0"/>
        <v>138965</v>
      </c>
      <c r="I10" s="11">
        <f t="shared" si="0"/>
        <v>142702</v>
      </c>
      <c r="J10" s="11">
        <f t="shared" si="0"/>
        <v>339646</v>
      </c>
      <c r="K10" s="11">
        <f>SUM(K12:K39)</f>
        <v>356969</v>
      </c>
      <c r="L10" s="12">
        <f>(K10-J10)/J10</f>
        <v>0.051</v>
      </c>
      <c r="M10" s="12">
        <f>(K10-V10)/V10</f>
        <v>2.193</v>
      </c>
      <c r="N10" s="72">
        <f aca="true" t="shared" si="1" ref="N10:S10">SUM(N12:N39)</f>
        <v>54322</v>
      </c>
      <c r="O10" s="72">
        <f t="shared" si="1"/>
        <v>59642</v>
      </c>
      <c r="P10" s="72">
        <f t="shared" si="1"/>
        <v>65476</v>
      </c>
      <c r="Q10" s="11">
        <f t="shared" si="1"/>
        <v>72208</v>
      </c>
      <c r="R10" s="11">
        <f t="shared" si="1"/>
        <v>79239</v>
      </c>
      <c r="S10" s="11">
        <f t="shared" si="1"/>
        <v>86994</v>
      </c>
      <c r="T10" s="11">
        <f>SUM(T12:T39)</f>
        <v>94400</v>
      </c>
      <c r="U10" s="11">
        <f>SUM(U12:U39)</f>
        <v>102582</v>
      </c>
      <c r="V10" s="11">
        <f>SUM(V12:V39)</f>
        <v>111795</v>
      </c>
      <c r="W10" s="11"/>
      <c r="X10" s="11">
        <f>SUM(X12:X39)</f>
        <v>339642268</v>
      </c>
      <c r="Y10" s="1"/>
      <c r="AA10" s="11">
        <f>SUM(AA12:AA39)</f>
        <v>356968969</v>
      </c>
    </row>
    <row r="11" spans="3:25" ht="12.75">
      <c r="C11" s="15"/>
      <c r="D11" s="15"/>
      <c r="E11" s="66"/>
      <c r="F11" s="90"/>
      <c r="G11" s="66"/>
      <c r="H11" s="66"/>
      <c r="I11" s="66"/>
      <c r="L11" s="1"/>
      <c r="M11" s="99"/>
      <c r="O11" s="15"/>
      <c r="R11" s="15"/>
      <c r="S11" s="15"/>
      <c r="X11" s="1"/>
      <c r="Y11" s="1"/>
    </row>
    <row r="12" spans="1:28" ht="12.75">
      <c r="A12" s="1" t="s">
        <v>6</v>
      </c>
      <c r="B12" s="29">
        <v>1189</v>
      </c>
      <c r="C12" s="15">
        <v>1204</v>
      </c>
      <c r="D12" s="15">
        <v>1184</v>
      </c>
      <c r="E12" s="66">
        <v>1175</v>
      </c>
      <c r="F12" s="90">
        <v>1177</v>
      </c>
      <c r="G12" s="66">
        <v>1320</v>
      </c>
      <c r="H12" s="66">
        <v>1556.36</v>
      </c>
      <c r="I12" s="68">
        <v>1510</v>
      </c>
      <c r="J12" s="68">
        <v>2605</v>
      </c>
      <c r="K12" s="68">
        <v>2565</v>
      </c>
      <c r="L12" s="16">
        <f>(K12-J12)*100/J12</f>
        <v>-1.5</v>
      </c>
      <c r="M12" s="138">
        <f>((K12-V12)*100)/V12</f>
        <v>119.6</v>
      </c>
      <c r="N12" s="15">
        <v>715</v>
      </c>
      <c r="O12" s="15">
        <v>775</v>
      </c>
      <c r="P12" s="15">
        <v>844</v>
      </c>
      <c r="Q12" s="28">
        <v>854</v>
      </c>
      <c r="R12" s="28">
        <v>853</v>
      </c>
      <c r="S12" s="28">
        <v>901</v>
      </c>
      <c r="T12" s="28">
        <v>991</v>
      </c>
      <c r="U12" s="28">
        <v>1131</v>
      </c>
      <c r="V12" s="28">
        <v>1168</v>
      </c>
      <c r="W12" s="28"/>
      <c r="X12" s="143">
        <v>2604574</v>
      </c>
      <c r="Y12" s="1">
        <f>X12/1000</f>
        <v>2605</v>
      </c>
      <c r="AA12" s="3">
        <v>2565195</v>
      </c>
      <c r="AB12" s="1">
        <f>AA12/1000</f>
        <v>2565</v>
      </c>
    </row>
    <row r="13" spans="1:28" ht="12.75">
      <c r="A13" s="1" t="s">
        <v>7</v>
      </c>
      <c r="B13" s="29">
        <v>12161</v>
      </c>
      <c r="C13" s="15">
        <v>12607</v>
      </c>
      <c r="D13" s="15">
        <v>12968</v>
      </c>
      <c r="E13" s="66">
        <v>13328</v>
      </c>
      <c r="F13" s="90">
        <v>13676</v>
      </c>
      <c r="G13" s="66">
        <v>14081</v>
      </c>
      <c r="H13" s="66">
        <v>14589.16</v>
      </c>
      <c r="I13" s="68">
        <v>14939</v>
      </c>
      <c r="J13" s="68">
        <v>35809</v>
      </c>
      <c r="K13" s="68">
        <v>38119</v>
      </c>
      <c r="L13" s="16">
        <f>(K13-J13)*100/J13</f>
        <v>6.5</v>
      </c>
      <c r="M13" s="138">
        <f>((K13-V13)*100)/V13</f>
        <v>236</v>
      </c>
      <c r="N13" s="15">
        <v>4883</v>
      </c>
      <c r="O13" s="15">
        <v>5671</v>
      </c>
      <c r="P13" s="15">
        <v>6196</v>
      </c>
      <c r="Q13" s="28">
        <v>6866</v>
      </c>
      <c r="R13" s="28">
        <v>7439</v>
      </c>
      <c r="S13" s="28">
        <v>8221</v>
      </c>
      <c r="T13" s="28">
        <v>9041</v>
      </c>
      <c r="U13" s="28">
        <v>9931</v>
      </c>
      <c r="V13" s="28">
        <v>11346</v>
      </c>
      <c r="W13" s="28"/>
      <c r="X13" s="143">
        <v>35808505</v>
      </c>
      <c r="Y13" s="1">
        <f>X13/1000</f>
        <v>35809</v>
      </c>
      <c r="AA13" s="3">
        <v>38118944</v>
      </c>
      <c r="AB13" s="1">
        <f>AA13/1000</f>
        <v>38119</v>
      </c>
    </row>
    <row r="14" spans="1:28" ht="12.75">
      <c r="A14" s="1" t="s">
        <v>8</v>
      </c>
      <c r="B14" s="29">
        <v>8456</v>
      </c>
      <c r="C14" s="15">
        <v>8512</v>
      </c>
      <c r="D14" s="15">
        <v>8443</v>
      </c>
      <c r="E14" s="66">
        <v>8394</v>
      </c>
      <c r="F14" s="90">
        <v>8365</v>
      </c>
      <c r="G14" s="66">
        <v>8526</v>
      </c>
      <c r="H14" s="66">
        <v>8579.72</v>
      </c>
      <c r="I14" s="68">
        <v>8722</v>
      </c>
      <c r="J14" s="68">
        <v>19176</v>
      </c>
      <c r="K14" s="68">
        <v>19674</v>
      </c>
      <c r="L14" s="16">
        <f>(K14-J14)*100/J14</f>
        <v>2.6</v>
      </c>
      <c r="M14" s="138">
        <f>((K14-V14)*100)/V14</f>
        <v>136.8</v>
      </c>
      <c r="N14" s="15">
        <v>5108</v>
      </c>
      <c r="O14" s="15">
        <v>5514</v>
      </c>
      <c r="P14" s="15">
        <v>5967</v>
      </c>
      <c r="Q14" s="28">
        <v>6521</v>
      </c>
      <c r="R14" s="28">
        <v>7035</v>
      </c>
      <c r="S14" s="28">
        <v>7582</v>
      </c>
      <c r="T14" s="28">
        <v>7895</v>
      </c>
      <c r="U14" s="28">
        <v>8217</v>
      </c>
      <c r="V14" s="28">
        <v>8310</v>
      </c>
      <c r="W14" s="28"/>
      <c r="X14" s="143">
        <v>19176195</v>
      </c>
      <c r="Y14" s="1">
        <f>X14/1000</f>
        <v>19176</v>
      </c>
      <c r="AA14" s="3">
        <v>19674089</v>
      </c>
      <c r="AB14" s="1">
        <f>AA14/1000</f>
        <v>19674</v>
      </c>
    </row>
    <row r="15" spans="1:28" ht="12.75">
      <c r="A15" s="1" t="s">
        <v>9</v>
      </c>
      <c r="B15" s="29">
        <v>15717</v>
      </c>
      <c r="C15" s="15">
        <v>16220</v>
      </c>
      <c r="D15" s="15">
        <v>16535</v>
      </c>
      <c r="E15" s="66">
        <v>16987</v>
      </c>
      <c r="F15" s="90">
        <v>17355</v>
      </c>
      <c r="G15" s="66">
        <v>17833</v>
      </c>
      <c r="H15" s="66">
        <v>18450.83</v>
      </c>
      <c r="I15" s="68">
        <v>18972</v>
      </c>
      <c r="J15" s="68">
        <v>44465</v>
      </c>
      <c r="K15" s="68">
        <v>46023</v>
      </c>
      <c r="L15" s="16">
        <f>(K15-J15)*100/J15</f>
        <v>3.5</v>
      </c>
      <c r="M15" s="138">
        <f>((K15-V15)*100)/V15</f>
        <v>202.6</v>
      </c>
      <c r="N15" s="15">
        <v>8081</v>
      </c>
      <c r="O15" s="15">
        <v>8689</v>
      </c>
      <c r="P15" s="15">
        <v>9494</v>
      </c>
      <c r="Q15" s="28">
        <v>10427</v>
      </c>
      <c r="R15" s="28">
        <v>11273</v>
      </c>
      <c r="S15" s="28">
        <v>12291</v>
      </c>
      <c r="T15" s="28">
        <v>13186</v>
      </c>
      <c r="U15" s="28">
        <v>14131</v>
      </c>
      <c r="V15" s="28">
        <v>15207</v>
      </c>
      <c r="W15" s="28"/>
      <c r="X15" s="143">
        <v>44464713</v>
      </c>
      <c r="Y15" s="1">
        <f>X15/1000</f>
        <v>44465</v>
      </c>
      <c r="AA15" s="3">
        <v>46023190</v>
      </c>
      <c r="AB15" s="1">
        <f>AA15/1000</f>
        <v>46023</v>
      </c>
    </row>
    <row r="16" spans="1:28" ht="12.75">
      <c r="A16" s="1" t="s">
        <v>10</v>
      </c>
      <c r="B16" s="29">
        <v>2288</v>
      </c>
      <c r="C16" s="15">
        <v>2458</v>
      </c>
      <c r="D16" s="15">
        <v>2530</v>
      </c>
      <c r="E16" s="66">
        <v>2713</v>
      </c>
      <c r="F16" s="90">
        <v>2819</v>
      </c>
      <c r="G16" s="66">
        <v>2905</v>
      </c>
      <c r="H16" s="66">
        <v>3013.17</v>
      </c>
      <c r="I16" s="68">
        <v>2933</v>
      </c>
      <c r="J16" s="68">
        <v>5993</v>
      </c>
      <c r="K16" s="68">
        <v>6337</v>
      </c>
      <c r="L16" s="16">
        <f>(K16-J16)*100/J16</f>
        <v>5.7</v>
      </c>
      <c r="M16" s="138">
        <f>((K16-V16)*100)/V16</f>
        <v>197.2</v>
      </c>
      <c r="N16" s="15">
        <v>1217</v>
      </c>
      <c r="O16" s="15">
        <v>1257</v>
      </c>
      <c r="P16" s="15">
        <v>1324</v>
      </c>
      <c r="Q16" s="28">
        <v>1400</v>
      </c>
      <c r="R16" s="28">
        <v>1508</v>
      </c>
      <c r="S16" s="28">
        <v>1642</v>
      </c>
      <c r="T16" s="28">
        <v>1584</v>
      </c>
      <c r="U16" s="28">
        <v>1882</v>
      </c>
      <c r="V16" s="28">
        <v>2132</v>
      </c>
      <c r="W16" s="28"/>
      <c r="X16" s="143">
        <v>5993478</v>
      </c>
      <c r="Y16" s="1">
        <f>X16/1000</f>
        <v>5993</v>
      </c>
      <c r="AA16" s="3">
        <v>6336952</v>
      </c>
      <c r="AB16" s="1">
        <f>AA16/1000</f>
        <v>6337</v>
      </c>
    </row>
    <row r="17" spans="2:25" ht="12.75">
      <c r="B17" s="29"/>
      <c r="C17" s="15"/>
      <c r="D17" s="15"/>
      <c r="E17" s="66"/>
      <c r="F17" s="90"/>
      <c r="G17" s="66"/>
      <c r="H17" s="66"/>
      <c r="I17" s="66"/>
      <c r="L17" s="16"/>
      <c r="M17" s="17"/>
      <c r="N17" s="15"/>
      <c r="P17" s="15"/>
      <c r="Q17" s="28"/>
      <c r="R17" s="28"/>
      <c r="S17" s="28"/>
      <c r="T17" s="28"/>
      <c r="U17" s="28"/>
      <c r="V17" s="28"/>
      <c r="W17" s="28"/>
      <c r="X17" s="143"/>
      <c r="Y17" s="1"/>
    </row>
    <row r="18" spans="1:28" ht="12.75">
      <c r="A18" s="1" t="s">
        <v>11</v>
      </c>
      <c r="B18" s="29">
        <v>418</v>
      </c>
      <c r="C18" s="15">
        <v>437</v>
      </c>
      <c r="D18" s="15">
        <v>447</v>
      </c>
      <c r="E18" s="66">
        <v>466</v>
      </c>
      <c r="F18" s="90">
        <v>508</v>
      </c>
      <c r="G18" s="66">
        <v>505</v>
      </c>
      <c r="H18" s="66">
        <v>525.76</v>
      </c>
      <c r="I18" s="68">
        <v>554</v>
      </c>
      <c r="J18" s="68">
        <v>1319</v>
      </c>
      <c r="K18" s="68">
        <v>1380</v>
      </c>
      <c r="L18" s="16">
        <f aca="true" t="shared" si="2" ref="L18:L39">(K18-J18)*100/J18</f>
        <v>4.6</v>
      </c>
      <c r="M18" s="138">
        <f aca="true" t="shared" si="3" ref="M18:M39">((K18-V18)*100)/V18</f>
        <v>261.3</v>
      </c>
      <c r="N18" s="15">
        <v>178</v>
      </c>
      <c r="O18" s="15">
        <v>201</v>
      </c>
      <c r="P18" s="15">
        <v>222</v>
      </c>
      <c r="Q18" s="28">
        <v>242</v>
      </c>
      <c r="R18" s="28">
        <v>265</v>
      </c>
      <c r="S18" s="28">
        <v>303</v>
      </c>
      <c r="T18" s="28">
        <v>320</v>
      </c>
      <c r="U18" s="28">
        <v>351</v>
      </c>
      <c r="V18" s="28">
        <v>382</v>
      </c>
      <c r="W18" s="28"/>
      <c r="X18" s="143">
        <v>1318953</v>
      </c>
      <c r="Y18" s="1">
        <f>X18/1000</f>
        <v>1319</v>
      </c>
      <c r="AA18" s="3">
        <v>1380313</v>
      </c>
      <c r="AB18" s="1">
        <f>AA18/1000</f>
        <v>1380</v>
      </c>
    </row>
    <row r="19" spans="1:28" ht="12.75">
      <c r="A19" s="1" t="s">
        <v>12</v>
      </c>
      <c r="B19" s="29">
        <v>2862</v>
      </c>
      <c r="C19" s="15">
        <v>3071</v>
      </c>
      <c r="D19" s="15">
        <v>3198</v>
      </c>
      <c r="E19" s="66">
        <v>3351</v>
      </c>
      <c r="F19" s="90">
        <v>3453</v>
      </c>
      <c r="G19" s="66">
        <v>3580</v>
      </c>
      <c r="H19" s="66">
        <v>3793.98</v>
      </c>
      <c r="I19" s="68">
        <v>3957</v>
      </c>
      <c r="J19" s="68">
        <v>9666</v>
      </c>
      <c r="K19" s="68">
        <v>10278</v>
      </c>
      <c r="L19" s="16">
        <f t="shared" si="2"/>
        <v>6.3</v>
      </c>
      <c r="M19" s="138">
        <f t="shared" si="3"/>
        <v>294.2</v>
      </c>
      <c r="N19" s="15">
        <v>1212</v>
      </c>
      <c r="O19" s="15">
        <v>1307</v>
      </c>
      <c r="P19" s="15">
        <v>1395</v>
      </c>
      <c r="Q19" s="28">
        <v>1556</v>
      </c>
      <c r="R19" s="28">
        <v>1708</v>
      </c>
      <c r="S19" s="28">
        <v>1920</v>
      </c>
      <c r="T19" s="28">
        <v>2124</v>
      </c>
      <c r="U19" s="28">
        <v>2355</v>
      </c>
      <c r="V19" s="28">
        <v>2607</v>
      </c>
      <c r="W19" s="28"/>
      <c r="X19" s="143">
        <v>9665960</v>
      </c>
      <c r="Y19" s="1">
        <f>X19/1000</f>
        <v>9666</v>
      </c>
      <c r="AA19" s="3">
        <v>10278303</v>
      </c>
      <c r="AB19" s="1">
        <f>AA19/1000</f>
        <v>10278</v>
      </c>
    </row>
    <row r="20" spans="1:28" ht="12.75">
      <c r="A20" s="1" t="s">
        <v>13</v>
      </c>
      <c r="B20" s="29">
        <v>1520</v>
      </c>
      <c r="C20" s="15">
        <v>1633</v>
      </c>
      <c r="D20" s="15">
        <v>1688</v>
      </c>
      <c r="E20" s="66">
        <v>1753</v>
      </c>
      <c r="F20" s="90">
        <v>1806</v>
      </c>
      <c r="G20" s="66">
        <v>1865</v>
      </c>
      <c r="H20" s="66">
        <v>1952.55</v>
      </c>
      <c r="I20" s="68">
        <v>2025</v>
      </c>
      <c r="J20" s="68">
        <v>4924</v>
      </c>
      <c r="K20" s="68">
        <v>5223</v>
      </c>
      <c r="L20" s="16">
        <f t="shared" si="2"/>
        <v>6.1</v>
      </c>
      <c r="M20" s="138">
        <f t="shared" si="3"/>
        <v>272.3</v>
      </c>
      <c r="N20" s="15">
        <v>588</v>
      </c>
      <c r="O20" s="15">
        <v>635</v>
      </c>
      <c r="P20" s="15">
        <v>701</v>
      </c>
      <c r="Q20" s="28">
        <v>769</v>
      </c>
      <c r="R20" s="28">
        <v>871</v>
      </c>
      <c r="S20" s="28">
        <v>984</v>
      </c>
      <c r="T20" s="28">
        <v>1099</v>
      </c>
      <c r="U20" s="28">
        <v>1238</v>
      </c>
      <c r="V20" s="28">
        <v>1403</v>
      </c>
      <c r="W20" s="28"/>
      <c r="X20" s="143">
        <v>4924083</v>
      </c>
      <c r="Y20" s="1">
        <f>X20/1000</f>
        <v>4924</v>
      </c>
      <c r="AA20" s="3">
        <v>5222682</v>
      </c>
      <c r="AB20" s="1">
        <f>AA20/1000</f>
        <v>5223</v>
      </c>
    </row>
    <row r="21" spans="1:28" ht="12.75">
      <c r="A21" s="1" t="s">
        <v>14</v>
      </c>
      <c r="B21" s="29">
        <v>2549</v>
      </c>
      <c r="C21" s="15">
        <v>2735</v>
      </c>
      <c r="D21" s="15">
        <v>2849</v>
      </c>
      <c r="E21" s="66">
        <v>3033</v>
      </c>
      <c r="F21" s="90">
        <v>3095</v>
      </c>
      <c r="G21" s="66">
        <v>3208</v>
      </c>
      <c r="H21" s="66">
        <v>3345.26</v>
      </c>
      <c r="I21" s="68">
        <v>3384</v>
      </c>
      <c r="J21" s="68">
        <v>8204</v>
      </c>
      <c r="K21" s="68">
        <v>8672</v>
      </c>
      <c r="L21" s="16">
        <f t="shared" si="2"/>
        <v>5.7</v>
      </c>
      <c r="M21" s="138">
        <f t="shared" si="3"/>
        <v>275.4</v>
      </c>
      <c r="N21" s="15">
        <v>1110</v>
      </c>
      <c r="O21" s="15">
        <v>1261</v>
      </c>
      <c r="P21" s="15">
        <v>1371</v>
      </c>
      <c r="Q21" s="28">
        <v>1517</v>
      </c>
      <c r="R21" s="28">
        <v>1646</v>
      </c>
      <c r="S21" s="28">
        <v>1806</v>
      </c>
      <c r="T21" s="28">
        <v>1941</v>
      </c>
      <c r="U21" s="28">
        <v>2111</v>
      </c>
      <c r="V21" s="28">
        <v>2310</v>
      </c>
      <c r="W21" s="28"/>
      <c r="X21" s="143">
        <v>8204465</v>
      </c>
      <c r="Y21" s="1">
        <f>X21/1000</f>
        <v>8204</v>
      </c>
      <c r="AA21" s="3">
        <v>8672489</v>
      </c>
      <c r="AB21" s="1">
        <f>AA21/1000</f>
        <v>8672</v>
      </c>
    </row>
    <row r="22" spans="1:28" ht="12.75">
      <c r="A22" s="1" t="s">
        <v>15</v>
      </c>
      <c r="B22" s="29">
        <v>598</v>
      </c>
      <c r="C22" s="15">
        <v>613</v>
      </c>
      <c r="D22" s="15">
        <v>629</v>
      </c>
      <c r="E22" s="66">
        <v>647</v>
      </c>
      <c r="F22" s="90">
        <v>664</v>
      </c>
      <c r="G22" s="66">
        <v>678</v>
      </c>
      <c r="H22" s="66">
        <v>685.4</v>
      </c>
      <c r="I22" s="68">
        <v>697</v>
      </c>
      <c r="J22" s="68">
        <v>1562</v>
      </c>
      <c r="K22" s="68">
        <v>1649</v>
      </c>
      <c r="L22" s="16">
        <f t="shared" si="2"/>
        <v>5.6</v>
      </c>
      <c r="M22" s="138">
        <f t="shared" si="3"/>
        <v>192.9</v>
      </c>
      <c r="N22" s="15">
        <v>308</v>
      </c>
      <c r="O22" s="15">
        <v>334</v>
      </c>
      <c r="P22" s="15">
        <v>367</v>
      </c>
      <c r="Q22" s="28">
        <v>393</v>
      </c>
      <c r="R22" s="28">
        <v>418</v>
      </c>
      <c r="S22" s="28">
        <v>445</v>
      </c>
      <c r="T22" s="28">
        <v>483</v>
      </c>
      <c r="U22" s="28">
        <v>520</v>
      </c>
      <c r="V22" s="28">
        <v>563</v>
      </c>
      <c r="W22" s="28"/>
      <c r="X22" s="143">
        <v>1562057</v>
      </c>
      <c r="Y22" s="1">
        <f>X22/1000</f>
        <v>1562</v>
      </c>
      <c r="AA22" s="3">
        <v>1648897</v>
      </c>
      <c r="AB22" s="1">
        <f>AA22/1000</f>
        <v>1649</v>
      </c>
    </row>
    <row r="23" spans="2:25" ht="12.75">
      <c r="B23" s="29"/>
      <c r="C23" s="15"/>
      <c r="D23" s="15"/>
      <c r="E23" s="66"/>
      <c r="F23" s="90"/>
      <c r="G23" s="66"/>
      <c r="H23" s="66"/>
      <c r="I23" s="66"/>
      <c r="L23" s="16"/>
      <c r="M23" s="17"/>
      <c r="N23" s="15"/>
      <c r="P23" s="15"/>
      <c r="Q23" s="28"/>
      <c r="R23" s="28"/>
      <c r="S23" s="28"/>
      <c r="T23" s="28"/>
      <c r="U23" s="28"/>
      <c r="V23" s="28"/>
      <c r="W23" s="28"/>
      <c r="X23" s="193"/>
      <c r="Y23" s="1"/>
    </row>
    <row r="24" spans="1:28" ht="12.75">
      <c r="A24" s="1" t="s">
        <v>16</v>
      </c>
      <c r="B24" s="29">
        <v>3785</v>
      </c>
      <c r="C24" s="15">
        <v>4043</v>
      </c>
      <c r="D24" s="15">
        <v>4175</v>
      </c>
      <c r="E24" s="66">
        <v>4410</v>
      </c>
      <c r="F24" s="90">
        <v>4551</v>
      </c>
      <c r="G24" s="66">
        <v>4732</v>
      </c>
      <c r="H24" s="66">
        <v>5026.38</v>
      </c>
      <c r="I24" s="68">
        <v>5197</v>
      </c>
      <c r="J24" s="68">
        <v>13224</v>
      </c>
      <c r="K24" s="68">
        <v>14007</v>
      </c>
      <c r="L24" s="16">
        <f t="shared" si="2"/>
        <v>5.9</v>
      </c>
      <c r="M24" s="138">
        <f t="shared" si="3"/>
        <v>312.7</v>
      </c>
      <c r="N24" s="15">
        <v>1428</v>
      </c>
      <c r="O24" s="15">
        <v>1564</v>
      </c>
      <c r="P24" s="15">
        <v>1736</v>
      </c>
      <c r="Q24" s="28">
        <v>1903</v>
      </c>
      <c r="R24" s="28">
        <v>2153</v>
      </c>
      <c r="S24" s="28">
        <v>2418</v>
      </c>
      <c r="T24" s="28">
        <v>2708</v>
      </c>
      <c r="U24" s="28">
        <v>3018</v>
      </c>
      <c r="V24" s="28">
        <v>3394</v>
      </c>
      <c r="W24" s="28"/>
      <c r="X24" s="143">
        <v>13223600</v>
      </c>
      <c r="Y24" s="1">
        <f>X24/1000</f>
        <v>13224</v>
      </c>
      <c r="AA24" s="3">
        <v>14007191</v>
      </c>
      <c r="AB24" s="1">
        <f>AA24/1000</f>
        <v>14007</v>
      </c>
    </row>
    <row r="25" spans="1:28" ht="12.75">
      <c r="A25" s="1" t="s">
        <v>17</v>
      </c>
      <c r="B25" s="29">
        <v>666</v>
      </c>
      <c r="C25" s="15">
        <v>668</v>
      </c>
      <c r="D25" s="15">
        <v>701</v>
      </c>
      <c r="E25" s="66">
        <v>743</v>
      </c>
      <c r="F25" s="90">
        <v>759</v>
      </c>
      <c r="G25" s="66">
        <v>790</v>
      </c>
      <c r="H25" s="66">
        <v>823.1</v>
      </c>
      <c r="I25" s="68">
        <v>871</v>
      </c>
      <c r="J25" s="68">
        <v>1983</v>
      </c>
      <c r="K25" s="68">
        <v>2129</v>
      </c>
      <c r="L25" s="16">
        <f t="shared" si="2"/>
        <v>7.4</v>
      </c>
      <c r="M25" s="138">
        <f t="shared" si="3"/>
        <v>246.2</v>
      </c>
      <c r="N25" s="15">
        <v>307</v>
      </c>
      <c r="O25" s="15">
        <v>337</v>
      </c>
      <c r="P25" s="15">
        <v>369</v>
      </c>
      <c r="Q25" s="28">
        <v>392</v>
      </c>
      <c r="R25" s="28">
        <v>437</v>
      </c>
      <c r="S25" s="28">
        <v>480</v>
      </c>
      <c r="T25" s="28">
        <v>515</v>
      </c>
      <c r="U25" s="28">
        <v>563</v>
      </c>
      <c r="V25" s="28">
        <v>615</v>
      </c>
      <c r="W25" s="28"/>
      <c r="X25" s="143">
        <v>1982674</v>
      </c>
      <c r="Y25" s="1">
        <f>X25/1000</f>
        <v>1983</v>
      </c>
      <c r="AA25" s="3">
        <v>2129052</v>
      </c>
      <c r="AB25" s="1">
        <f>AA25/1000</f>
        <v>2129</v>
      </c>
    </row>
    <row r="26" spans="1:28" ht="12.75">
      <c r="A26" s="1" t="s">
        <v>18</v>
      </c>
      <c r="B26" s="29">
        <v>3785</v>
      </c>
      <c r="C26" s="15">
        <v>4075</v>
      </c>
      <c r="D26" s="15">
        <v>4299</v>
      </c>
      <c r="E26" s="66">
        <v>4553</v>
      </c>
      <c r="F26" s="90">
        <v>4793</v>
      </c>
      <c r="G26" s="66">
        <v>5001</v>
      </c>
      <c r="H26" s="66">
        <v>5261.7</v>
      </c>
      <c r="I26" s="68">
        <v>5463</v>
      </c>
      <c r="J26" s="68">
        <v>12898</v>
      </c>
      <c r="K26" s="68">
        <v>13641</v>
      </c>
      <c r="L26" s="16">
        <f t="shared" si="2"/>
        <v>5.8</v>
      </c>
      <c r="M26" s="138">
        <f t="shared" si="3"/>
        <v>292.1</v>
      </c>
      <c r="N26" s="15">
        <v>1567</v>
      </c>
      <c r="O26" s="15">
        <v>1684</v>
      </c>
      <c r="P26" s="15">
        <v>1843</v>
      </c>
      <c r="Q26" s="28">
        <v>2056</v>
      </c>
      <c r="R26" s="28">
        <v>2300</v>
      </c>
      <c r="S26" s="28">
        <v>2563</v>
      </c>
      <c r="T26" s="28">
        <v>2822</v>
      </c>
      <c r="U26" s="28">
        <v>3136</v>
      </c>
      <c r="V26" s="28">
        <v>3479</v>
      </c>
      <c r="W26" s="28"/>
      <c r="X26" s="143">
        <v>12897679</v>
      </c>
      <c r="Y26" s="1">
        <f>X26/1000</f>
        <v>12898</v>
      </c>
      <c r="AA26" s="3">
        <v>13640671</v>
      </c>
      <c r="AB26" s="1">
        <f>AA26/1000</f>
        <v>13641</v>
      </c>
    </row>
    <row r="27" spans="1:28" ht="12.75">
      <c r="A27" s="1" t="s">
        <v>19</v>
      </c>
      <c r="B27" s="29">
        <v>6270</v>
      </c>
      <c r="C27" s="15">
        <v>6519</v>
      </c>
      <c r="D27" s="15">
        <v>6916</v>
      </c>
      <c r="E27" s="66">
        <v>7102</v>
      </c>
      <c r="F27" s="90">
        <v>7420</v>
      </c>
      <c r="G27" s="66">
        <v>7742</v>
      </c>
      <c r="H27" s="66">
        <v>8245.45</v>
      </c>
      <c r="I27" s="68">
        <v>8665</v>
      </c>
      <c r="J27" s="68">
        <v>21792</v>
      </c>
      <c r="K27" s="68">
        <v>22544</v>
      </c>
      <c r="L27" s="16">
        <f t="shared" si="2"/>
        <v>3.5</v>
      </c>
      <c r="M27" s="138">
        <f t="shared" si="3"/>
        <v>281.6</v>
      </c>
      <c r="N27" s="15">
        <v>2363</v>
      </c>
      <c r="O27" s="15">
        <v>2653</v>
      </c>
      <c r="P27" s="15">
        <v>3012</v>
      </c>
      <c r="Q27" s="28">
        <v>3387</v>
      </c>
      <c r="R27" s="28">
        <v>3979</v>
      </c>
      <c r="S27" s="28">
        <v>4482</v>
      </c>
      <c r="T27" s="28">
        <v>4930</v>
      </c>
      <c r="U27" s="28">
        <v>5344</v>
      </c>
      <c r="V27" s="28">
        <v>5907</v>
      </c>
      <c r="W27" s="28"/>
      <c r="X27" s="143">
        <v>21791561</v>
      </c>
      <c r="Y27" s="1">
        <f>X27/1000</f>
        <v>21792</v>
      </c>
      <c r="AA27" s="3">
        <v>22543862</v>
      </c>
      <c r="AB27" s="1">
        <f>AA27/1000</f>
        <v>22544</v>
      </c>
    </row>
    <row r="28" spans="1:28" ht="12.75">
      <c r="A28" s="1" t="s">
        <v>20</v>
      </c>
      <c r="B28" s="29">
        <v>467</v>
      </c>
      <c r="C28" s="15">
        <v>488</v>
      </c>
      <c r="D28" s="15">
        <v>502</v>
      </c>
      <c r="E28" s="66">
        <v>517</v>
      </c>
      <c r="F28" s="90">
        <v>530</v>
      </c>
      <c r="G28" s="66">
        <v>538</v>
      </c>
      <c r="H28" s="66">
        <v>548.27</v>
      </c>
      <c r="I28" s="68">
        <v>560</v>
      </c>
      <c r="J28" s="68">
        <v>1390</v>
      </c>
      <c r="K28" s="68">
        <v>1454</v>
      </c>
      <c r="L28" s="16">
        <f t="shared" si="2"/>
        <v>4.6</v>
      </c>
      <c r="M28" s="138">
        <f t="shared" si="3"/>
        <v>235</v>
      </c>
      <c r="N28" s="15">
        <v>202</v>
      </c>
      <c r="O28" s="15">
        <v>216</v>
      </c>
      <c r="P28" s="28">
        <v>233</v>
      </c>
      <c r="Q28" s="28">
        <v>256</v>
      </c>
      <c r="R28" s="28">
        <v>281</v>
      </c>
      <c r="S28" s="28">
        <v>316</v>
      </c>
      <c r="T28" s="28">
        <v>346</v>
      </c>
      <c r="U28" s="28">
        <v>389</v>
      </c>
      <c r="V28" s="28">
        <v>434</v>
      </c>
      <c r="W28" s="28"/>
      <c r="X28" s="143">
        <v>1389818</v>
      </c>
      <c r="Y28" s="1">
        <f>X28/1000</f>
        <v>1390</v>
      </c>
      <c r="AA28" s="3">
        <v>1454105</v>
      </c>
      <c r="AB28" s="1">
        <f>AA28/1000</f>
        <v>1454</v>
      </c>
    </row>
    <row r="29" spans="2:25" ht="12.75">
      <c r="B29" s="29"/>
      <c r="C29" s="15"/>
      <c r="D29" s="15"/>
      <c r="E29" s="66"/>
      <c r="F29" s="90"/>
      <c r="G29" s="66"/>
      <c r="H29" s="66"/>
      <c r="I29" s="66"/>
      <c r="L29" s="16"/>
      <c r="M29" s="17"/>
      <c r="N29" s="15"/>
      <c r="O29" s="15"/>
      <c r="Q29" s="28"/>
      <c r="R29" s="28"/>
      <c r="S29" s="28"/>
      <c r="T29" s="28"/>
      <c r="U29" s="28"/>
      <c r="V29" s="28"/>
      <c r="W29" s="28"/>
      <c r="X29" s="193"/>
      <c r="Y29" s="1"/>
    </row>
    <row r="30" spans="1:28" ht="12.75">
      <c r="A30" s="1" t="s">
        <v>21</v>
      </c>
      <c r="B30" s="29">
        <v>29484</v>
      </c>
      <c r="C30" s="15">
        <v>29485</v>
      </c>
      <c r="D30" s="15">
        <v>29322</v>
      </c>
      <c r="E30" s="66">
        <v>30477</v>
      </c>
      <c r="F30" s="90">
        <v>31226</v>
      </c>
      <c r="G30" s="66">
        <v>31848</v>
      </c>
      <c r="H30" s="66">
        <v>32719</v>
      </c>
      <c r="I30" s="68">
        <v>33746</v>
      </c>
      <c r="J30" s="68">
        <v>82145</v>
      </c>
      <c r="K30" s="68">
        <v>87194</v>
      </c>
      <c r="L30" s="16">
        <f t="shared" si="2"/>
        <v>6.1</v>
      </c>
      <c r="M30" s="138">
        <f t="shared" si="3"/>
        <v>206.7</v>
      </c>
      <c r="N30" s="15">
        <v>12905</v>
      </c>
      <c r="O30" s="15">
        <v>14257</v>
      </c>
      <c r="P30" s="28">
        <v>15799</v>
      </c>
      <c r="Q30" s="28">
        <v>17630</v>
      </c>
      <c r="R30" s="28">
        <v>19574</v>
      </c>
      <c r="S30" s="28">
        <v>21505</v>
      </c>
      <c r="T30" s="28">
        <v>23766</v>
      </c>
      <c r="U30" s="28">
        <v>25962</v>
      </c>
      <c r="V30" s="28">
        <v>28433</v>
      </c>
      <c r="W30" s="28"/>
      <c r="X30" s="143">
        <v>82144795</v>
      </c>
      <c r="Y30" s="1">
        <f>X30/1000</f>
        <v>82145</v>
      </c>
      <c r="AA30" s="3">
        <v>87193587</v>
      </c>
      <c r="AB30" s="1">
        <f>AA30/1000</f>
        <v>87194</v>
      </c>
    </row>
    <row r="31" spans="1:28" ht="12.75">
      <c r="A31" s="1" t="s">
        <v>22</v>
      </c>
      <c r="B31" s="29">
        <v>15766</v>
      </c>
      <c r="C31" s="15">
        <v>16282</v>
      </c>
      <c r="D31" s="15">
        <v>16624</v>
      </c>
      <c r="E31" s="66">
        <v>16909</v>
      </c>
      <c r="F31" s="90">
        <v>17113</v>
      </c>
      <c r="G31" s="66">
        <v>17427</v>
      </c>
      <c r="H31" s="66">
        <v>17791.02</v>
      </c>
      <c r="I31" s="68">
        <v>17982</v>
      </c>
      <c r="J31" s="68">
        <v>41878</v>
      </c>
      <c r="K31" s="68">
        <v>43740</v>
      </c>
      <c r="L31" s="16">
        <f t="shared" si="2"/>
        <v>4.4</v>
      </c>
      <c r="M31" s="138">
        <f t="shared" si="3"/>
        <v>190.1</v>
      </c>
      <c r="N31" s="15">
        <v>7685</v>
      </c>
      <c r="O31" s="15">
        <v>8322</v>
      </c>
      <c r="P31" s="28">
        <v>9098</v>
      </c>
      <c r="Q31" s="28">
        <v>9956</v>
      </c>
      <c r="R31" s="28">
        <v>10842</v>
      </c>
      <c r="S31" s="28">
        <v>11835</v>
      </c>
      <c r="T31" s="28">
        <v>12878</v>
      </c>
      <c r="U31" s="28">
        <v>13892</v>
      </c>
      <c r="V31" s="28">
        <v>15080</v>
      </c>
      <c r="W31" s="28"/>
      <c r="X31" s="143">
        <v>41877508</v>
      </c>
      <c r="Y31" s="1">
        <f>X31/1000</f>
        <v>41878</v>
      </c>
      <c r="AA31" s="3">
        <v>43740098</v>
      </c>
      <c r="AB31" s="1">
        <f>AA31/1000</f>
        <v>43740</v>
      </c>
    </row>
    <row r="32" spans="1:28" ht="12.75">
      <c r="A32" s="1" t="s">
        <v>23</v>
      </c>
      <c r="B32" s="29">
        <v>962</v>
      </c>
      <c r="C32" s="15">
        <v>996</v>
      </c>
      <c r="D32" s="15">
        <v>1032</v>
      </c>
      <c r="E32" s="66">
        <v>1081</v>
      </c>
      <c r="F32" s="90">
        <v>1120</v>
      </c>
      <c r="G32" s="66">
        <v>1167</v>
      </c>
      <c r="H32" s="66">
        <v>1221.51</v>
      </c>
      <c r="I32" s="68">
        <v>1290</v>
      </c>
      <c r="J32" s="68">
        <v>3341</v>
      </c>
      <c r="K32" s="68">
        <v>3621</v>
      </c>
      <c r="L32" s="16">
        <f t="shared" si="2"/>
        <v>8.4</v>
      </c>
      <c r="M32" s="138">
        <f t="shared" si="3"/>
        <v>310.1</v>
      </c>
      <c r="N32" s="15">
        <v>371</v>
      </c>
      <c r="O32" s="15">
        <v>413</v>
      </c>
      <c r="P32" s="28">
        <v>460</v>
      </c>
      <c r="Q32" s="28">
        <v>516</v>
      </c>
      <c r="R32" s="28">
        <v>583</v>
      </c>
      <c r="S32" s="28">
        <v>660</v>
      </c>
      <c r="T32" s="28">
        <v>712</v>
      </c>
      <c r="U32" s="28">
        <v>788</v>
      </c>
      <c r="V32" s="28">
        <v>883</v>
      </c>
      <c r="W32" s="28"/>
      <c r="X32" s="143">
        <v>3340827</v>
      </c>
      <c r="Y32" s="1">
        <f>X32/1000</f>
        <v>3341</v>
      </c>
      <c r="AA32" s="3">
        <v>3620689</v>
      </c>
      <c r="AB32" s="1">
        <f>AA32/1000</f>
        <v>3621</v>
      </c>
    </row>
    <row r="33" spans="1:28" ht="12.75">
      <c r="A33" s="1" t="s">
        <v>24</v>
      </c>
      <c r="B33" s="29">
        <v>1537</v>
      </c>
      <c r="C33" s="15">
        <v>1612</v>
      </c>
      <c r="D33" s="15">
        <v>1695</v>
      </c>
      <c r="E33" s="66">
        <v>1798</v>
      </c>
      <c r="F33" s="90">
        <v>1848</v>
      </c>
      <c r="G33" s="66">
        <v>1958</v>
      </c>
      <c r="H33" s="66">
        <v>2053.67</v>
      </c>
      <c r="I33" s="68">
        <v>2150</v>
      </c>
      <c r="J33" s="68">
        <v>5237</v>
      </c>
      <c r="K33" s="68">
        <v>5534</v>
      </c>
      <c r="L33" s="16">
        <f t="shared" si="2"/>
        <v>5.7</v>
      </c>
      <c r="M33" s="138">
        <f t="shared" si="3"/>
        <v>297.8</v>
      </c>
      <c r="N33" s="15">
        <v>619</v>
      </c>
      <c r="O33" s="15">
        <v>696</v>
      </c>
      <c r="P33" s="28">
        <v>777</v>
      </c>
      <c r="Q33" s="28">
        <v>859</v>
      </c>
      <c r="R33" s="28">
        <v>950</v>
      </c>
      <c r="S33" s="28">
        <v>1053</v>
      </c>
      <c r="T33" s="28">
        <v>1140</v>
      </c>
      <c r="U33" s="28">
        <v>1255</v>
      </c>
      <c r="V33" s="28">
        <v>1391</v>
      </c>
      <c r="W33" s="28"/>
      <c r="X33" s="143">
        <v>5236506</v>
      </c>
      <c r="Y33" s="1">
        <f>X33/1000</f>
        <v>5237</v>
      </c>
      <c r="AA33" s="3">
        <v>5533506</v>
      </c>
      <c r="AB33" s="1">
        <f>AA33/1000</f>
        <v>5534</v>
      </c>
    </row>
    <row r="34" spans="1:28" ht="12.75">
      <c r="A34" s="1" t="s">
        <v>25</v>
      </c>
      <c r="B34" s="29">
        <v>268</v>
      </c>
      <c r="C34" s="15">
        <v>275</v>
      </c>
      <c r="D34" s="15">
        <v>286</v>
      </c>
      <c r="E34" s="66">
        <v>300</v>
      </c>
      <c r="F34" s="90">
        <v>307</v>
      </c>
      <c r="G34" s="66">
        <v>312</v>
      </c>
      <c r="H34" s="66">
        <v>321.67</v>
      </c>
      <c r="I34" s="68">
        <v>330</v>
      </c>
      <c r="J34" s="68">
        <v>734</v>
      </c>
      <c r="K34" s="68">
        <v>759</v>
      </c>
      <c r="L34" s="16">
        <f t="shared" si="2"/>
        <v>3.4</v>
      </c>
      <c r="M34" s="138">
        <f t="shared" si="3"/>
        <v>194.2</v>
      </c>
      <c r="N34" s="15">
        <v>163</v>
      </c>
      <c r="O34" s="15">
        <v>178</v>
      </c>
      <c r="P34" s="28">
        <v>188</v>
      </c>
      <c r="Q34" s="28">
        <v>202</v>
      </c>
      <c r="R34" s="28">
        <v>216</v>
      </c>
      <c r="S34" s="28">
        <v>228</v>
      </c>
      <c r="T34" s="28">
        <v>234</v>
      </c>
      <c r="U34" s="28">
        <v>244</v>
      </c>
      <c r="V34" s="28">
        <v>258</v>
      </c>
      <c r="W34" s="28"/>
      <c r="X34" s="143">
        <v>733783</v>
      </c>
      <c r="Y34" s="1">
        <f>X34/1000</f>
        <v>734</v>
      </c>
      <c r="AA34" s="3">
        <v>758573</v>
      </c>
      <c r="AB34" s="1">
        <f>AA34/1000</f>
        <v>759</v>
      </c>
    </row>
    <row r="35" spans="2:25" ht="12.75">
      <c r="B35" s="29"/>
      <c r="C35" s="15"/>
      <c r="D35" s="15"/>
      <c r="E35" s="66"/>
      <c r="F35" s="90"/>
      <c r="G35" s="66"/>
      <c r="H35" s="66"/>
      <c r="I35" s="66"/>
      <c r="L35" s="16"/>
      <c r="M35" s="17"/>
      <c r="O35" s="15"/>
      <c r="P35" s="28"/>
      <c r="Q35" s="28"/>
      <c r="R35" s="28"/>
      <c r="S35" s="28"/>
      <c r="T35" s="28"/>
      <c r="U35" s="28"/>
      <c r="V35" s="28"/>
      <c r="W35" s="28"/>
      <c r="X35" s="143"/>
      <c r="Y35" s="1"/>
    </row>
    <row r="36" spans="1:28" ht="12.75">
      <c r="A36" s="1" t="s">
        <v>26</v>
      </c>
      <c r="B36" s="29">
        <v>1179</v>
      </c>
      <c r="C36" s="15">
        <v>1194</v>
      </c>
      <c r="D36" s="15">
        <v>1208</v>
      </c>
      <c r="E36" s="66">
        <v>1237</v>
      </c>
      <c r="F36" s="90">
        <v>1273</v>
      </c>
      <c r="G36" s="66">
        <v>1319</v>
      </c>
      <c r="H36" s="66">
        <v>1373.72</v>
      </c>
      <c r="I36" s="68">
        <v>1381</v>
      </c>
      <c r="J36" s="68">
        <v>3751</v>
      </c>
      <c r="K36" s="68">
        <v>4068</v>
      </c>
      <c r="L36" s="16">
        <f t="shared" si="2"/>
        <v>8.5</v>
      </c>
      <c r="M36" s="138">
        <f t="shared" si="3"/>
        <v>257.8</v>
      </c>
      <c r="N36" s="15">
        <v>491</v>
      </c>
      <c r="O36" s="15">
        <v>547</v>
      </c>
      <c r="P36" s="28">
        <v>612</v>
      </c>
      <c r="Q36" s="28">
        <v>678</v>
      </c>
      <c r="R36" s="28">
        <v>755</v>
      </c>
      <c r="S36" s="28">
        <v>838</v>
      </c>
      <c r="T36" s="28">
        <v>925</v>
      </c>
      <c r="U36" s="28">
        <v>1031</v>
      </c>
      <c r="V36" s="28">
        <v>1137</v>
      </c>
      <c r="W36" s="28"/>
      <c r="X36" s="143">
        <v>3750568</v>
      </c>
      <c r="Y36" s="1">
        <f>X36/1000</f>
        <v>3751</v>
      </c>
      <c r="AA36" s="3">
        <v>4068200</v>
      </c>
      <c r="AB36" s="1">
        <f>AA36/1000</f>
        <v>4068</v>
      </c>
    </row>
    <row r="37" spans="1:28" ht="12.75">
      <c r="A37" s="1" t="s">
        <v>27</v>
      </c>
      <c r="B37" s="29">
        <v>2070</v>
      </c>
      <c r="C37" s="15">
        <v>2204</v>
      </c>
      <c r="D37" s="15">
        <v>2310</v>
      </c>
      <c r="E37" s="66">
        <v>2443</v>
      </c>
      <c r="F37" s="90">
        <v>2569</v>
      </c>
      <c r="G37" s="66">
        <v>2639</v>
      </c>
      <c r="H37" s="66">
        <v>2760.17</v>
      </c>
      <c r="I37" s="68">
        <v>2875</v>
      </c>
      <c r="J37" s="68">
        <v>6885</v>
      </c>
      <c r="K37" s="68">
        <v>7015</v>
      </c>
      <c r="L37" s="16">
        <f t="shared" si="2"/>
        <v>1.9</v>
      </c>
      <c r="M37" s="138">
        <f t="shared" si="3"/>
        <v>266.1</v>
      </c>
      <c r="N37" s="15">
        <v>1074</v>
      </c>
      <c r="O37" s="15">
        <v>1130</v>
      </c>
      <c r="P37" s="28">
        <v>1202</v>
      </c>
      <c r="Q37" s="28">
        <v>1284</v>
      </c>
      <c r="R37" s="28">
        <v>1383</v>
      </c>
      <c r="S37" s="28">
        <v>1523</v>
      </c>
      <c r="T37" s="28">
        <v>1620</v>
      </c>
      <c r="U37" s="28">
        <v>1785</v>
      </c>
      <c r="V37" s="28">
        <v>1916</v>
      </c>
      <c r="W37" s="28"/>
      <c r="X37" s="143">
        <v>6885247</v>
      </c>
      <c r="Y37" s="1">
        <f>X37/1000</f>
        <v>6885</v>
      </c>
      <c r="AA37" s="3">
        <v>7015202</v>
      </c>
      <c r="AB37" s="1">
        <f>AA37/1000</f>
        <v>7015</v>
      </c>
    </row>
    <row r="38" spans="1:28" ht="12.75">
      <c r="A38" s="1" t="s">
        <v>28</v>
      </c>
      <c r="B38" s="29">
        <v>1390</v>
      </c>
      <c r="C38" s="15">
        <v>1450</v>
      </c>
      <c r="D38" s="15">
        <v>1469</v>
      </c>
      <c r="E38" s="66">
        <v>1572</v>
      </c>
      <c r="F38" s="90">
        <v>1615</v>
      </c>
      <c r="G38" s="66">
        <v>1647</v>
      </c>
      <c r="H38" s="66">
        <v>1741.53</v>
      </c>
      <c r="I38" s="68">
        <v>1822</v>
      </c>
      <c r="J38" s="68">
        <v>3964</v>
      </c>
      <c r="K38" s="68">
        <v>4104</v>
      </c>
      <c r="L38" s="16">
        <f t="shared" si="2"/>
        <v>3.5</v>
      </c>
      <c r="M38" s="138">
        <f t="shared" si="3"/>
        <v>208.8</v>
      </c>
      <c r="N38" s="15">
        <v>737</v>
      </c>
      <c r="O38" s="15">
        <v>776</v>
      </c>
      <c r="P38" s="28">
        <v>851</v>
      </c>
      <c r="Q38" s="28">
        <v>939</v>
      </c>
      <c r="R38" s="28">
        <v>1026</v>
      </c>
      <c r="S38" s="28">
        <v>1117</v>
      </c>
      <c r="T38" s="28">
        <v>1178</v>
      </c>
      <c r="U38" s="28">
        <v>1260</v>
      </c>
      <c r="V38" s="28">
        <v>1329</v>
      </c>
      <c r="W38" s="28"/>
      <c r="X38" s="143">
        <v>3963974</v>
      </c>
      <c r="Y38" s="1">
        <f>X38/1000</f>
        <v>3964</v>
      </c>
      <c r="AA38" s="3">
        <v>4104142</v>
      </c>
      <c r="AB38" s="1">
        <f>AA38/1000</f>
        <v>4104</v>
      </c>
    </row>
    <row r="39" spans="1:28" ht="12.75">
      <c r="A39" s="1" t="s">
        <v>29</v>
      </c>
      <c r="B39" s="29">
        <v>2248</v>
      </c>
      <c r="C39" s="15">
        <v>2291</v>
      </c>
      <c r="D39" s="15">
        <v>2309</v>
      </c>
      <c r="E39" s="66">
        <v>2375</v>
      </c>
      <c r="F39" s="90">
        <v>2420</v>
      </c>
      <c r="G39" s="66">
        <v>2487</v>
      </c>
      <c r="H39" s="66">
        <v>2585.89</v>
      </c>
      <c r="I39" s="68">
        <v>2677</v>
      </c>
      <c r="J39" s="68">
        <v>6701</v>
      </c>
      <c r="K39" s="68">
        <v>7239</v>
      </c>
      <c r="L39" s="16">
        <f t="shared" si="2"/>
        <v>8</v>
      </c>
      <c r="M39" s="138">
        <f t="shared" si="3"/>
        <v>242.9</v>
      </c>
      <c r="N39" s="15">
        <v>1010</v>
      </c>
      <c r="O39" s="15">
        <v>1225</v>
      </c>
      <c r="P39" s="28">
        <v>1415</v>
      </c>
      <c r="Q39" s="28">
        <v>1605</v>
      </c>
      <c r="R39" s="28">
        <v>1744</v>
      </c>
      <c r="S39" s="28">
        <v>1881</v>
      </c>
      <c r="T39" s="28">
        <v>1962</v>
      </c>
      <c r="U39" s="28">
        <v>2048</v>
      </c>
      <c r="V39" s="28">
        <v>2111</v>
      </c>
      <c r="W39" s="28"/>
      <c r="X39" s="144">
        <v>6700745</v>
      </c>
      <c r="Y39" s="1">
        <f>X39/1000</f>
        <v>6701</v>
      </c>
      <c r="AA39" s="3">
        <v>7239037</v>
      </c>
      <c r="AB39" s="1">
        <f>AA39/1000</f>
        <v>7239</v>
      </c>
    </row>
    <row r="40" spans="1:17" ht="12.75">
      <c r="A40" s="19"/>
      <c r="B40" s="19"/>
      <c r="C40" s="20"/>
      <c r="D40" s="19"/>
      <c r="E40" s="19"/>
      <c r="F40" s="19"/>
      <c r="G40" s="19"/>
      <c r="H40" s="19"/>
      <c r="I40" s="69"/>
      <c r="J40" s="89"/>
      <c r="K40" s="89"/>
      <c r="L40" s="89"/>
      <c r="M40" s="19"/>
      <c r="N40" s="19"/>
      <c r="O40" s="19"/>
      <c r="P40" s="19"/>
      <c r="Q40" s="19"/>
    </row>
    <row r="41" ht="12.75">
      <c r="C41" s="15"/>
    </row>
    <row r="42" spans="2:17" ht="12.75">
      <c r="B42" s="15"/>
      <c r="C42" s="15"/>
      <c r="O42" s="15"/>
      <c r="P42" s="15"/>
      <c r="Q42" s="15"/>
    </row>
    <row r="43" spans="2:17" ht="12.75">
      <c r="B43" s="15"/>
      <c r="C43" s="15"/>
      <c r="O43" s="15"/>
      <c r="P43" s="15"/>
      <c r="Q43" s="15"/>
    </row>
    <row r="44" spans="2:17" ht="12.75">
      <c r="B44" s="15"/>
      <c r="C44" s="15"/>
      <c r="O44" s="15"/>
      <c r="P44" s="15"/>
      <c r="Q44" s="15"/>
    </row>
    <row r="45" spans="2:17" ht="12.75">
      <c r="B45" s="15"/>
      <c r="C45" s="15"/>
      <c r="O45" s="15"/>
      <c r="P45" s="15"/>
      <c r="Q45" s="15"/>
    </row>
    <row r="46" spans="2:17" ht="12.75">
      <c r="B46" s="15"/>
      <c r="C46" s="15"/>
      <c r="O46" s="15"/>
      <c r="P46" s="15"/>
      <c r="Q46" s="15"/>
    </row>
    <row r="47" spans="2:3" ht="12.75">
      <c r="B47" s="15"/>
      <c r="C47" s="15"/>
    </row>
    <row r="48" spans="2:3" ht="12.75">
      <c r="B48" s="15"/>
      <c r="C48" s="15"/>
    </row>
    <row r="49" spans="2:3" ht="12.75">
      <c r="B49" s="15"/>
      <c r="C49" s="15"/>
    </row>
    <row r="50" spans="2:3" ht="12.75">
      <c r="B50" s="15"/>
      <c r="C50" s="15"/>
    </row>
    <row r="51" spans="2:3" ht="12.75">
      <c r="B51" s="15"/>
      <c r="C51" s="15"/>
    </row>
    <row r="52" ht="12.75">
      <c r="C52" s="15"/>
    </row>
    <row r="53" ht="12.75">
      <c r="C53" s="15"/>
    </row>
  </sheetData>
  <printOptions/>
  <pageMargins left="0.56" right="0.5" top="1" bottom="0.97" header="0.5" footer="0.5"/>
  <pageSetup fitToHeight="1" fitToWidth="1" orientation="landscape" scale="78" r:id="rId1"/>
  <headerFooter alignWithMargins="0">
    <oddFooter>&amp;L&amp;"Lucida Sans,Italic"&amp;10MSDE-DBS  11 / 2004&amp;C- 17 -&amp;R&amp;"Lucida Sans,Italic"&amp;10Selected Financial Data - Part 4</oddFooter>
  </headerFooter>
  <rowBreaks count="1" manualBreakCount="1">
    <brk id="4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workbookViewId="0" topLeftCell="A19">
      <selection activeCell="J5" sqref="J5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3" width="6.625" style="1" customWidth="1"/>
    <col min="14" max="14" width="9.125" style="1" customWidth="1"/>
    <col min="15" max="23" width="10.125" style="1" customWidth="1"/>
    <col min="24" max="42" width="10.125" style="3" customWidth="1"/>
    <col min="43" max="16384" width="10.00390625" style="3" customWidth="1"/>
  </cols>
  <sheetData>
    <row r="1" spans="1:17" ht="15.75" customHeight="1">
      <c r="A1" s="128" t="s">
        <v>123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"/>
      <c r="O1" s="2"/>
      <c r="P1" s="2"/>
      <c r="Q1" s="2"/>
    </row>
    <row r="2" spans="1:17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2"/>
      <c r="O2" s="2"/>
      <c r="P2" s="2"/>
      <c r="Q2" s="2"/>
    </row>
    <row r="3" spans="1:17" ht="12.75">
      <c r="A3" s="128" t="s">
        <v>80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0"/>
      <c r="O3" s="10"/>
      <c r="P3" s="10"/>
      <c r="Q3" s="10"/>
    </row>
    <row r="4" spans="1:17" ht="12.75">
      <c r="A4" s="128" t="s">
        <v>196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0"/>
      <c r="O4" s="10"/>
      <c r="P4" s="10"/>
      <c r="Q4" s="10"/>
    </row>
    <row r="5" ht="13.5" thickBot="1"/>
    <row r="6" spans="1:24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U6" s="5"/>
      <c r="V6" s="5"/>
      <c r="W6" s="5"/>
      <c r="X6" s="5" t="s">
        <v>146</v>
      </c>
    </row>
    <row r="7" spans="8:24" ht="12.75">
      <c r="H7" s="66"/>
      <c r="I7" s="66"/>
      <c r="L7" s="40" t="s">
        <v>34</v>
      </c>
      <c r="M7" s="40"/>
      <c r="X7" s="1" t="s">
        <v>112</v>
      </c>
    </row>
    <row r="8" spans="1:24" ht="12.75">
      <c r="A8" s="7"/>
      <c r="B8" s="7"/>
      <c r="C8" s="7"/>
      <c r="D8" s="7"/>
      <c r="E8" s="7"/>
      <c r="F8" s="7"/>
      <c r="G8" s="7"/>
      <c r="H8" s="67"/>
      <c r="I8" s="67"/>
      <c r="J8" s="7"/>
      <c r="K8" s="7"/>
      <c r="L8" s="31" t="s">
        <v>106</v>
      </c>
      <c r="M8" s="31" t="s">
        <v>107</v>
      </c>
      <c r="O8" s="7"/>
      <c r="P8" s="7"/>
      <c r="Q8" s="7"/>
      <c r="U8" s="7"/>
      <c r="V8" s="7"/>
      <c r="W8" s="7"/>
      <c r="X8" s="7" t="s">
        <v>147</v>
      </c>
    </row>
    <row r="9" spans="1:24" ht="13.5" thickBot="1">
      <c r="A9" s="8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42" t="s">
        <v>105</v>
      </c>
      <c r="M9" s="42" t="s">
        <v>105</v>
      </c>
      <c r="N9" s="10" t="s">
        <v>67</v>
      </c>
      <c r="O9" s="9" t="s">
        <v>65</v>
      </c>
      <c r="P9" s="9" t="s">
        <v>31</v>
      </c>
      <c r="Q9" s="9" t="s">
        <v>81</v>
      </c>
      <c r="R9" s="9" t="s">
        <v>32</v>
      </c>
      <c r="S9" s="9" t="s">
        <v>51</v>
      </c>
      <c r="T9" s="9" t="s">
        <v>3</v>
      </c>
      <c r="U9" s="9" t="s">
        <v>61</v>
      </c>
      <c r="V9" s="9" t="s">
        <v>33</v>
      </c>
      <c r="W9" s="27"/>
      <c r="X9" s="1" t="s">
        <v>210</v>
      </c>
    </row>
    <row r="10" spans="1:24" ht="13.5" thickTop="1">
      <c r="A10" s="7" t="s">
        <v>5</v>
      </c>
      <c r="B10" s="11">
        <v>160457</v>
      </c>
      <c r="C10" s="11">
        <v>161323</v>
      </c>
      <c r="D10" s="11">
        <v>160750</v>
      </c>
      <c r="E10" s="70">
        <v>162899</v>
      </c>
      <c r="F10" s="70">
        <v>164076</v>
      </c>
      <c r="G10" s="93">
        <v>166351</v>
      </c>
      <c r="H10" s="93">
        <v>171036</v>
      </c>
      <c r="I10" s="93">
        <v>175636</v>
      </c>
      <c r="J10" s="93">
        <v>408593</v>
      </c>
      <c r="K10" s="93">
        <v>423674</v>
      </c>
      <c r="L10" s="12">
        <f>(K10-J10)/J10</f>
        <v>0.037</v>
      </c>
      <c r="M10" s="12">
        <f>(K10-V10)/V10</f>
        <v>1.713</v>
      </c>
      <c r="N10" s="14">
        <v>83694</v>
      </c>
      <c r="O10" s="11">
        <v>92536</v>
      </c>
      <c r="P10" s="11">
        <v>101222</v>
      </c>
      <c r="Q10" s="11">
        <v>110384</v>
      </c>
      <c r="R10" s="11">
        <v>119850</v>
      </c>
      <c r="S10" s="11">
        <v>129787</v>
      </c>
      <c r="T10" s="11">
        <v>137556</v>
      </c>
      <c r="U10" s="11">
        <v>146120</v>
      </c>
      <c r="V10" s="11">
        <v>156163</v>
      </c>
      <c r="W10" s="11"/>
      <c r="X10" s="1">
        <v>423674</v>
      </c>
    </row>
    <row r="11" spans="3:24" ht="12.75">
      <c r="C11" s="15"/>
      <c r="D11" s="15"/>
      <c r="E11" s="70"/>
      <c r="F11" s="70"/>
      <c r="L11" s="32"/>
      <c r="M11" s="99"/>
      <c r="O11" s="15"/>
      <c r="R11" s="15"/>
      <c r="S11" s="15"/>
      <c r="X11" s="1"/>
    </row>
    <row r="12" spans="1:24" ht="12.75">
      <c r="A12" s="1" t="s">
        <v>6</v>
      </c>
      <c r="B12" s="29">
        <v>110998</v>
      </c>
      <c r="C12" s="15">
        <v>111727</v>
      </c>
      <c r="D12" s="15">
        <v>109449</v>
      </c>
      <c r="E12" s="68">
        <v>108163</v>
      </c>
      <c r="F12" s="68">
        <v>107474</v>
      </c>
      <c r="G12" s="1">
        <v>121976</v>
      </c>
      <c r="H12" s="1">
        <v>147593</v>
      </c>
      <c r="I12" s="1">
        <v>146939</v>
      </c>
      <c r="J12" s="1">
        <v>259095</v>
      </c>
      <c r="K12" s="1">
        <v>257094</v>
      </c>
      <c r="L12" s="16">
        <f>(K12-J12)*100/J12</f>
        <v>-0.8</v>
      </c>
      <c r="M12" s="138">
        <f>((K12-V12)*100)/V12</f>
        <v>135</v>
      </c>
      <c r="N12" s="15">
        <v>62971</v>
      </c>
      <c r="O12" s="15">
        <v>69917</v>
      </c>
      <c r="P12" s="15">
        <v>76208</v>
      </c>
      <c r="Q12" s="28">
        <v>78074</v>
      </c>
      <c r="R12" s="28">
        <v>79328</v>
      </c>
      <c r="S12" s="28">
        <v>84581</v>
      </c>
      <c r="T12" s="28">
        <v>93221</v>
      </c>
      <c r="U12" s="28">
        <v>106085</v>
      </c>
      <c r="V12" s="28">
        <v>109391</v>
      </c>
      <c r="W12" s="28"/>
      <c r="X12" s="1">
        <v>257094</v>
      </c>
    </row>
    <row r="13" spans="1:24" ht="12.75">
      <c r="A13" s="1" t="s">
        <v>7</v>
      </c>
      <c r="B13" s="29">
        <v>187653</v>
      </c>
      <c r="C13" s="15">
        <v>191604</v>
      </c>
      <c r="D13" s="15">
        <v>192297</v>
      </c>
      <c r="E13" s="68">
        <v>194030</v>
      </c>
      <c r="F13" s="68">
        <v>195889</v>
      </c>
      <c r="G13" s="1">
        <v>200371</v>
      </c>
      <c r="H13" s="1">
        <v>205404</v>
      </c>
      <c r="I13" s="1">
        <v>210401</v>
      </c>
      <c r="J13" s="1">
        <v>500076</v>
      </c>
      <c r="K13" s="1">
        <v>533494</v>
      </c>
      <c r="L13" s="16">
        <f>(K13-J13)*100/J13</f>
        <v>6.7</v>
      </c>
      <c r="M13" s="138">
        <f>((K13-V13)*100)/V13</f>
        <v>199</v>
      </c>
      <c r="N13" s="15">
        <v>79501</v>
      </c>
      <c r="O13" s="15">
        <v>92581</v>
      </c>
      <c r="P13" s="15">
        <v>100788</v>
      </c>
      <c r="Q13" s="28">
        <v>111466</v>
      </c>
      <c r="R13" s="28">
        <v>120712</v>
      </c>
      <c r="S13" s="28">
        <v>133211</v>
      </c>
      <c r="T13" s="28">
        <v>144478</v>
      </c>
      <c r="U13" s="28">
        <v>155534</v>
      </c>
      <c r="V13" s="28">
        <v>178437</v>
      </c>
      <c r="W13" s="28"/>
      <c r="X13" s="1">
        <v>533494</v>
      </c>
    </row>
    <row r="14" spans="1:24" ht="12.75">
      <c r="A14" s="1" t="s">
        <v>8</v>
      </c>
      <c r="B14" s="29">
        <v>79313</v>
      </c>
      <c r="C14" s="15">
        <v>80438</v>
      </c>
      <c r="D14" s="15">
        <v>80812</v>
      </c>
      <c r="E14" s="68">
        <v>81119</v>
      </c>
      <c r="F14" s="68">
        <v>81653</v>
      </c>
      <c r="G14" s="1">
        <v>84260</v>
      </c>
      <c r="H14" s="1">
        <v>88247</v>
      </c>
      <c r="I14" s="1">
        <v>90825</v>
      </c>
      <c r="J14" s="1">
        <v>203324</v>
      </c>
      <c r="K14" s="1">
        <v>210544</v>
      </c>
      <c r="L14" s="16">
        <f>(K14-J14)*100/J14</f>
        <v>3.6</v>
      </c>
      <c r="M14" s="138">
        <f>((K14-V14)*100)/V14</f>
        <v>166.2</v>
      </c>
      <c r="N14" s="15">
        <v>46933</v>
      </c>
      <c r="O14" s="15">
        <v>51895</v>
      </c>
      <c r="P14" s="15">
        <v>56511</v>
      </c>
      <c r="Q14" s="28">
        <v>62233</v>
      </c>
      <c r="R14" s="28">
        <v>67323</v>
      </c>
      <c r="S14" s="28">
        <v>72915</v>
      </c>
      <c r="T14" s="28">
        <v>74722</v>
      </c>
      <c r="U14" s="28">
        <v>78316</v>
      </c>
      <c r="V14" s="28">
        <v>79103</v>
      </c>
      <c r="W14" s="28"/>
      <c r="X14" s="1">
        <v>210544</v>
      </c>
    </row>
    <row r="15" spans="1:24" ht="12.75">
      <c r="A15" s="1" t="s">
        <v>9</v>
      </c>
      <c r="B15" s="29">
        <v>173251</v>
      </c>
      <c r="C15" s="15">
        <v>170822</v>
      </c>
      <c r="D15" s="15">
        <v>168805</v>
      </c>
      <c r="E15" s="68">
        <v>170153</v>
      </c>
      <c r="F15" s="68">
        <v>172346</v>
      </c>
      <c r="G15" s="1">
        <v>174104</v>
      </c>
      <c r="H15" s="1">
        <v>178763</v>
      </c>
      <c r="I15" s="1">
        <v>182710</v>
      </c>
      <c r="J15" s="1">
        <v>425035</v>
      </c>
      <c r="K15" s="1">
        <v>436558</v>
      </c>
      <c r="L15" s="16">
        <f>(K15-J15)*100/J15</f>
        <v>2.7</v>
      </c>
      <c r="M15" s="138">
        <f>((K15-V15)*100)/V15</f>
        <v>155</v>
      </c>
      <c r="N15" s="15">
        <v>102620</v>
      </c>
      <c r="O15" s="15">
        <v>112113</v>
      </c>
      <c r="P15" s="15">
        <v>123102</v>
      </c>
      <c r="Q15" s="28">
        <v>133842</v>
      </c>
      <c r="R15" s="28">
        <v>143501</v>
      </c>
      <c r="S15" s="28">
        <v>152494</v>
      </c>
      <c r="T15" s="28">
        <v>160663</v>
      </c>
      <c r="U15" s="28">
        <v>167541</v>
      </c>
      <c r="V15" s="28">
        <v>171207</v>
      </c>
      <c r="W15" s="28"/>
      <c r="X15" s="1">
        <v>436558</v>
      </c>
    </row>
    <row r="16" spans="1:24" ht="12.75">
      <c r="A16" s="1" t="s">
        <v>10</v>
      </c>
      <c r="B16" s="29">
        <v>197378</v>
      </c>
      <c r="C16" s="15">
        <v>202480</v>
      </c>
      <c r="D16" s="15">
        <v>198607</v>
      </c>
      <c r="E16" s="68">
        <v>199769</v>
      </c>
      <c r="F16" s="68">
        <v>199751</v>
      </c>
      <c r="G16" s="1">
        <v>198906</v>
      </c>
      <c r="H16" s="1">
        <v>198865</v>
      </c>
      <c r="I16" s="1">
        <v>188173</v>
      </c>
      <c r="J16" s="1">
        <v>381782</v>
      </c>
      <c r="K16" s="1">
        <v>394392</v>
      </c>
      <c r="L16" s="16">
        <f>(K16-J16)*100/J16</f>
        <v>3.3</v>
      </c>
      <c r="M16" s="138">
        <f>((K16-V16)*100)/V16</f>
        <v>108.3</v>
      </c>
      <c r="N16" s="15">
        <v>159084</v>
      </c>
      <c r="O16" s="15">
        <v>161011</v>
      </c>
      <c r="P16" s="15">
        <v>161999</v>
      </c>
      <c r="Q16" s="28">
        <v>162178</v>
      </c>
      <c r="R16" s="28">
        <v>166779</v>
      </c>
      <c r="S16" s="28">
        <v>173242</v>
      </c>
      <c r="T16" s="28">
        <v>158855</v>
      </c>
      <c r="U16" s="28">
        <v>179907</v>
      </c>
      <c r="V16" s="28">
        <v>189369</v>
      </c>
      <c r="W16" s="28"/>
      <c r="X16" s="1">
        <v>394392</v>
      </c>
    </row>
    <row r="17" spans="2:24" ht="12.75">
      <c r="B17" s="29"/>
      <c r="C17" s="15"/>
      <c r="D17" s="15"/>
      <c r="E17" s="68"/>
      <c r="F17" s="68"/>
      <c r="L17" s="16"/>
      <c r="M17" s="17"/>
      <c r="N17" s="15"/>
      <c r="P17" s="15"/>
      <c r="Q17" s="28"/>
      <c r="R17" s="28"/>
      <c r="S17" s="28"/>
      <c r="T17" s="28"/>
      <c r="U17" s="28"/>
      <c r="V17" s="28"/>
      <c r="W17" s="28"/>
      <c r="X17" s="1"/>
    </row>
    <row r="18" spans="1:24" ht="12.75">
      <c r="A18" s="1" t="s">
        <v>11</v>
      </c>
      <c r="B18" s="29">
        <v>81855</v>
      </c>
      <c r="C18" s="15">
        <v>82813</v>
      </c>
      <c r="D18" s="15">
        <v>81840</v>
      </c>
      <c r="E18" s="68">
        <v>85446</v>
      </c>
      <c r="F18" s="68">
        <v>92008</v>
      </c>
      <c r="G18" s="1">
        <v>91262</v>
      </c>
      <c r="H18" s="1">
        <v>96117</v>
      </c>
      <c r="I18" s="1">
        <v>102242</v>
      </c>
      <c r="J18" s="1">
        <v>242513</v>
      </c>
      <c r="K18" s="1">
        <v>255945</v>
      </c>
      <c r="L18" s="16">
        <f>(K18-J18)*100/J18</f>
        <v>5.5</v>
      </c>
      <c r="M18" s="138">
        <f>((K18-V18)*100)/V18</f>
        <v>232.5</v>
      </c>
      <c r="N18" s="15">
        <v>41826</v>
      </c>
      <c r="O18" s="15">
        <v>46847</v>
      </c>
      <c r="P18" s="15">
        <v>51461</v>
      </c>
      <c r="Q18" s="28">
        <v>55575</v>
      </c>
      <c r="R18" s="28">
        <v>59714</v>
      </c>
      <c r="S18" s="28">
        <v>66597</v>
      </c>
      <c r="T18" s="28">
        <v>67093</v>
      </c>
      <c r="U18" s="28">
        <v>72073</v>
      </c>
      <c r="V18" s="28">
        <v>76970</v>
      </c>
      <c r="W18" s="28"/>
      <c r="X18" s="1">
        <v>255945</v>
      </c>
    </row>
    <row r="19" spans="1:24" ht="12.75">
      <c r="A19" s="1" t="s">
        <v>12</v>
      </c>
      <c r="B19" s="29">
        <v>126491</v>
      </c>
      <c r="C19" s="15">
        <v>131490</v>
      </c>
      <c r="D19" s="15">
        <v>131844</v>
      </c>
      <c r="E19" s="68">
        <v>133362</v>
      </c>
      <c r="F19" s="68">
        <v>134041</v>
      </c>
      <c r="G19" s="1">
        <v>136943</v>
      </c>
      <c r="H19" s="1">
        <v>143689</v>
      </c>
      <c r="I19" s="1">
        <v>149217</v>
      </c>
      <c r="J19" s="1">
        <v>357624</v>
      </c>
      <c r="K19" s="1">
        <v>375543</v>
      </c>
      <c r="L19" s="16">
        <f>(K19-J19)*100/J19</f>
        <v>5</v>
      </c>
      <c r="M19" s="138">
        <f>((K19-V19)*100)/V19</f>
        <v>218</v>
      </c>
      <c r="N19" s="15">
        <v>65503</v>
      </c>
      <c r="O19" s="15">
        <v>69778</v>
      </c>
      <c r="P19" s="15">
        <v>74589</v>
      </c>
      <c r="Q19" s="28">
        <v>79851</v>
      </c>
      <c r="R19" s="28">
        <v>85799</v>
      </c>
      <c r="S19" s="28">
        <v>95360</v>
      </c>
      <c r="T19" s="28">
        <v>102250</v>
      </c>
      <c r="U19" s="28">
        <v>109818</v>
      </c>
      <c r="V19" s="28">
        <v>118096</v>
      </c>
      <c r="W19" s="28"/>
      <c r="X19" s="1">
        <v>375543</v>
      </c>
    </row>
    <row r="20" spans="1:24" ht="12.75">
      <c r="A20" s="1" t="s">
        <v>13</v>
      </c>
      <c r="B20" s="29">
        <v>116789</v>
      </c>
      <c r="C20" s="15">
        <v>121651</v>
      </c>
      <c r="D20" s="15">
        <v>123019</v>
      </c>
      <c r="E20" s="68">
        <v>124799</v>
      </c>
      <c r="F20" s="68">
        <v>125130</v>
      </c>
      <c r="G20" s="1">
        <v>127526</v>
      </c>
      <c r="H20" s="1">
        <v>131709</v>
      </c>
      <c r="I20" s="1">
        <v>134431</v>
      </c>
      <c r="J20" s="1">
        <v>322445</v>
      </c>
      <c r="K20" s="1">
        <v>336900</v>
      </c>
      <c r="L20" s="16">
        <f>(K20-J20)*100/J20</f>
        <v>4.5</v>
      </c>
      <c r="M20" s="138">
        <f>((K20-V20)*100)/V20</f>
        <v>206.4</v>
      </c>
      <c r="N20" s="15">
        <v>51112</v>
      </c>
      <c r="O20" s="15">
        <v>55019</v>
      </c>
      <c r="P20" s="15">
        <v>60912</v>
      </c>
      <c r="Q20" s="28">
        <v>66553</v>
      </c>
      <c r="R20" s="28">
        <v>73393</v>
      </c>
      <c r="S20" s="28">
        <v>81723</v>
      </c>
      <c r="T20" s="28">
        <v>89459</v>
      </c>
      <c r="U20" s="28">
        <v>99126</v>
      </c>
      <c r="V20" s="28">
        <v>109950</v>
      </c>
      <c r="W20" s="28"/>
      <c r="X20" s="1">
        <v>336900</v>
      </c>
    </row>
    <row r="21" spans="1:24" ht="12.75">
      <c r="A21" s="1" t="s">
        <v>14</v>
      </c>
      <c r="B21" s="29">
        <v>133687</v>
      </c>
      <c r="C21" s="15">
        <v>139734</v>
      </c>
      <c r="D21" s="15">
        <v>143036</v>
      </c>
      <c r="E21" s="68">
        <v>153526</v>
      </c>
      <c r="F21" s="68">
        <v>148911</v>
      </c>
      <c r="G21" s="1">
        <v>149690</v>
      </c>
      <c r="H21" s="1">
        <v>152633</v>
      </c>
      <c r="I21" s="1">
        <v>150151</v>
      </c>
      <c r="J21" s="1">
        <v>354652</v>
      </c>
      <c r="K21" s="1">
        <v>364107</v>
      </c>
      <c r="L21" s="16">
        <f>(K21-J21)*100/J21</f>
        <v>2.7</v>
      </c>
      <c r="M21" s="138">
        <f>((K21-V21)*100)/V21</f>
        <v>194.4</v>
      </c>
      <c r="N21" s="15">
        <v>69659</v>
      </c>
      <c r="O21" s="15">
        <v>77462</v>
      </c>
      <c r="P21" s="15">
        <v>84110</v>
      </c>
      <c r="Q21" s="28">
        <v>91737</v>
      </c>
      <c r="R21" s="28">
        <v>97060</v>
      </c>
      <c r="S21" s="28">
        <v>105428</v>
      </c>
      <c r="T21" s="28">
        <v>105428</v>
      </c>
      <c r="U21" s="28">
        <v>155512</v>
      </c>
      <c r="V21" s="28">
        <v>123662</v>
      </c>
      <c r="W21" s="28"/>
      <c r="X21" s="1">
        <v>364107</v>
      </c>
    </row>
    <row r="22" spans="1:24" ht="12.75">
      <c r="A22" s="1" t="s">
        <v>15</v>
      </c>
      <c r="B22" s="29">
        <v>124186</v>
      </c>
      <c r="C22" s="15">
        <v>127055</v>
      </c>
      <c r="D22" s="15">
        <v>129009</v>
      </c>
      <c r="E22" s="68">
        <v>132314</v>
      </c>
      <c r="F22" s="68">
        <v>135969</v>
      </c>
      <c r="G22" s="1">
        <v>139370</v>
      </c>
      <c r="H22" s="1">
        <v>142931</v>
      </c>
      <c r="I22" s="1">
        <v>149452</v>
      </c>
      <c r="J22" s="1">
        <v>338811</v>
      </c>
      <c r="K22" s="1">
        <v>361285</v>
      </c>
      <c r="L22" s="16">
        <f>(K22-J22)*100/J22</f>
        <v>6.6</v>
      </c>
      <c r="M22" s="138">
        <f>((K22-V22)*100)/V22</f>
        <v>205.1</v>
      </c>
      <c r="N22" s="15">
        <v>63225</v>
      </c>
      <c r="O22" s="15">
        <v>70565</v>
      </c>
      <c r="P22" s="15">
        <v>77388</v>
      </c>
      <c r="Q22" s="28">
        <v>82289</v>
      </c>
      <c r="R22" s="28">
        <v>88009</v>
      </c>
      <c r="S22" s="28">
        <v>95378</v>
      </c>
      <c r="T22" s="28">
        <v>103250</v>
      </c>
      <c r="U22" s="28">
        <v>111347</v>
      </c>
      <c r="V22" s="28">
        <v>118404</v>
      </c>
      <c r="W22" s="28"/>
      <c r="X22" s="1">
        <v>361285</v>
      </c>
    </row>
    <row r="23" spans="2:24" ht="12.75">
      <c r="B23" s="29"/>
      <c r="C23" s="15"/>
      <c r="D23" s="15"/>
      <c r="E23" s="68"/>
      <c r="F23" s="68"/>
      <c r="L23" s="16"/>
      <c r="M23" s="17"/>
      <c r="N23" s="15"/>
      <c r="P23" s="15"/>
      <c r="Q23" s="28"/>
      <c r="R23" s="28"/>
      <c r="S23" s="28"/>
      <c r="T23" s="28"/>
      <c r="U23" s="28"/>
      <c r="V23" s="28"/>
      <c r="W23" s="28"/>
      <c r="X23" s="1"/>
    </row>
    <row r="24" spans="1:24" ht="12.75">
      <c r="A24" s="1" t="s">
        <v>16</v>
      </c>
      <c r="B24" s="29">
        <v>130388</v>
      </c>
      <c r="C24" s="15">
        <v>134000</v>
      </c>
      <c r="D24" s="15">
        <v>133801</v>
      </c>
      <c r="E24" s="68">
        <v>136811</v>
      </c>
      <c r="F24" s="68">
        <v>137788</v>
      </c>
      <c r="G24" s="1">
        <v>140094</v>
      </c>
      <c r="H24" s="1">
        <v>145874</v>
      </c>
      <c r="I24" s="1">
        <v>147276</v>
      </c>
      <c r="J24" s="1">
        <v>359990</v>
      </c>
      <c r="K24" s="1">
        <v>380179</v>
      </c>
      <c r="L24" s="16">
        <f>(K24-J24)*100/J24</f>
        <v>5.6</v>
      </c>
      <c r="M24" s="138">
        <f>((K24-V24)*100)/V24</f>
        <v>212.5</v>
      </c>
      <c r="N24" s="15">
        <v>64144</v>
      </c>
      <c r="O24" s="15">
        <v>63343</v>
      </c>
      <c r="P24" s="15">
        <v>73929</v>
      </c>
      <c r="Q24" s="28">
        <v>79206</v>
      </c>
      <c r="R24" s="28">
        <v>87683</v>
      </c>
      <c r="S24" s="28">
        <v>96798</v>
      </c>
      <c r="T24" s="28">
        <v>106704</v>
      </c>
      <c r="U24" s="28">
        <v>113098</v>
      </c>
      <c r="V24" s="28">
        <v>121659</v>
      </c>
      <c r="W24" s="28"/>
      <c r="X24" s="1">
        <v>380179</v>
      </c>
    </row>
    <row r="25" spans="1:24" ht="12.75">
      <c r="A25" s="1" t="s">
        <v>17</v>
      </c>
      <c r="B25" s="29">
        <v>131345</v>
      </c>
      <c r="C25" s="15">
        <v>132120</v>
      </c>
      <c r="D25" s="15">
        <v>137219</v>
      </c>
      <c r="E25" s="68">
        <v>145919</v>
      </c>
      <c r="F25" s="68">
        <v>150069</v>
      </c>
      <c r="G25" s="1">
        <v>154687</v>
      </c>
      <c r="H25" s="1">
        <v>162488</v>
      </c>
      <c r="I25" s="1">
        <v>175220</v>
      </c>
      <c r="J25" s="1">
        <v>404809</v>
      </c>
      <c r="K25" s="1">
        <v>448014</v>
      </c>
      <c r="L25" s="16">
        <f>(K25-J25)*100/J25</f>
        <v>10.7</v>
      </c>
      <c r="M25" s="138">
        <f>((K25-V25)*100)/V25</f>
        <v>267.8</v>
      </c>
      <c r="N25" s="15">
        <v>56788</v>
      </c>
      <c r="O25" s="15">
        <v>67087</v>
      </c>
      <c r="P25" s="15">
        <v>73505</v>
      </c>
      <c r="Q25" s="28">
        <v>76864</v>
      </c>
      <c r="R25" s="28">
        <v>85894</v>
      </c>
      <c r="S25" s="28">
        <v>95345</v>
      </c>
      <c r="T25" s="28">
        <v>101601</v>
      </c>
      <c r="U25" s="28">
        <v>111272</v>
      </c>
      <c r="V25" s="28">
        <v>121823</v>
      </c>
      <c r="W25" s="28"/>
      <c r="X25" s="1">
        <v>448014</v>
      </c>
    </row>
    <row r="26" spans="1:24" ht="12.75">
      <c r="A26" s="1" t="s">
        <v>18</v>
      </c>
      <c r="B26" s="29">
        <v>114947</v>
      </c>
      <c r="C26" s="15">
        <v>120357</v>
      </c>
      <c r="D26" s="15">
        <v>124371</v>
      </c>
      <c r="E26" s="68">
        <v>127371</v>
      </c>
      <c r="F26" s="68">
        <v>132072</v>
      </c>
      <c r="G26" s="1">
        <v>135049</v>
      </c>
      <c r="H26" s="1">
        <v>140890</v>
      </c>
      <c r="I26" s="1">
        <v>145395</v>
      </c>
      <c r="J26" s="1">
        <v>339433</v>
      </c>
      <c r="K26" s="1">
        <v>339660</v>
      </c>
      <c r="L26" s="16">
        <f>(K26-J26)*100/J26</f>
        <v>0.1</v>
      </c>
      <c r="M26" s="138">
        <f>((K26-V26)*100)/V26</f>
        <v>210.7</v>
      </c>
      <c r="N26" s="15">
        <v>59474</v>
      </c>
      <c r="O26" s="15">
        <v>63408</v>
      </c>
      <c r="P26" s="15">
        <v>67963</v>
      </c>
      <c r="Q26" s="28">
        <v>73694</v>
      </c>
      <c r="R26" s="28">
        <v>81044</v>
      </c>
      <c r="S26" s="28">
        <v>87462</v>
      </c>
      <c r="T26" s="28">
        <v>93603</v>
      </c>
      <c r="U26" s="28">
        <v>101153</v>
      </c>
      <c r="V26" s="28">
        <v>109309</v>
      </c>
      <c r="W26" s="28"/>
      <c r="X26" s="1">
        <v>339660</v>
      </c>
    </row>
    <row r="27" spans="1:24" ht="12.75">
      <c r="A27" s="1" t="s">
        <v>19</v>
      </c>
      <c r="B27" s="29">
        <v>189529</v>
      </c>
      <c r="C27" s="15">
        <v>187446</v>
      </c>
      <c r="D27" s="15">
        <v>191455</v>
      </c>
      <c r="E27" s="68">
        <v>189581</v>
      </c>
      <c r="F27" s="68">
        <v>191282</v>
      </c>
      <c r="G27" s="1">
        <v>192534</v>
      </c>
      <c r="H27" s="1">
        <v>196414</v>
      </c>
      <c r="I27" s="1">
        <v>199940</v>
      </c>
      <c r="J27" s="1">
        <v>490378</v>
      </c>
      <c r="K27" s="1">
        <v>476835</v>
      </c>
      <c r="L27" s="16">
        <f>(K27-J27)*100/J27</f>
        <v>-2.8</v>
      </c>
      <c r="M27" s="138">
        <f>((K27-V27)*100)/V27</f>
        <v>155.8</v>
      </c>
      <c r="N27" s="15">
        <v>100277</v>
      </c>
      <c r="O27" s="15">
        <v>109153</v>
      </c>
      <c r="P27" s="15">
        <v>121071</v>
      </c>
      <c r="Q27" s="28">
        <v>132231</v>
      </c>
      <c r="R27" s="28">
        <v>148938</v>
      </c>
      <c r="S27" s="28">
        <v>160867</v>
      </c>
      <c r="T27" s="28">
        <v>170106</v>
      </c>
      <c r="U27" s="28">
        <v>176262</v>
      </c>
      <c r="V27" s="28">
        <v>186416</v>
      </c>
      <c r="W27" s="28"/>
      <c r="X27" s="1">
        <v>476835</v>
      </c>
    </row>
    <row r="28" spans="1:24" ht="12.75">
      <c r="A28" s="1" t="s">
        <v>20</v>
      </c>
      <c r="B28" s="29">
        <v>184405</v>
      </c>
      <c r="C28" s="15">
        <v>187385</v>
      </c>
      <c r="D28" s="15">
        <v>189469</v>
      </c>
      <c r="E28" s="68">
        <v>190395</v>
      </c>
      <c r="F28" s="68">
        <v>196758</v>
      </c>
      <c r="G28" s="1">
        <v>201560</v>
      </c>
      <c r="H28" s="1">
        <v>202829</v>
      </c>
      <c r="I28" s="1">
        <v>216238</v>
      </c>
      <c r="J28" s="1">
        <v>533806</v>
      </c>
      <c r="K28" s="1">
        <v>573201</v>
      </c>
      <c r="L28" s="16">
        <f>(K28-J28)*100/J28</f>
        <v>7.4</v>
      </c>
      <c r="M28" s="138">
        <f>((K28-V28)*100)/V28</f>
        <v>219.5</v>
      </c>
      <c r="N28" s="15">
        <v>85667</v>
      </c>
      <c r="O28" s="15">
        <v>94835</v>
      </c>
      <c r="P28" s="28">
        <v>103598</v>
      </c>
      <c r="Q28" s="28">
        <v>114817</v>
      </c>
      <c r="R28" s="28">
        <v>124403</v>
      </c>
      <c r="S28" s="28">
        <v>133857</v>
      </c>
      <c r="T28" s="28">
        <v>139365</v>
      </c>
      <c r="U28" s="28">
        <v>159711</v>
      </c>
      <c r="V28" s="28">
        <v>179413</v>
      </c>
      <c r="W28" s="28"/>
      <c r="X28" s="1">
        <v>573201</v>
      </c>
    </row>
    <row r="29" spans="2:24" ht="12.75">
      <c r="B29" s="29"/>
      <c r="C29" s="15"/>
      <c r="D29" s="15"/>
      <c r="E29" s="68"/>
      <c r="F29" s="68"/>
      <c r="L29" s="16"/>
      <c r="M29" s="17"/>
      <c r="N29" s="15"/>
      <c r="O29" s="15"/>
      <c r="Q29" s="28"/>
      <c r="R29" s="28"/>
      <c r="S29" s="28"/>
      <c r="T29" s="28"/>
      <c r="U29" s="28"/>
      <c r="V29" s="28"/>
      <c r="W29" s="28"/>
      <c r="X29" s="1"/>
    </row>
    <row r="30" spans="1:24" ht="12.75">
      <c r="A30" s="1" t="s">
        <v>21</v>
      </c>
      <c r="B30" s="29">
        <v>272435</v>
      </c>
      <c r="C30" s="15">
        <v>264622</v>
      </c>
      <c r="D30" s="15">
        <v>256195</v>
      </c>
      <c r="E30" s="68">
        <v>259934</v>
      </c>
      <c r="F30" s="68">
        <v>260556</v>
      </c>
      <c r="G30" s="1">
        <v>258875</v>
      </c>
      <c r="H30" s="1">
        <v>259670</v>
      </c>
      <c r="I30" s="1">
        <v>261279</v>
      </c>
      <c r="J30" s="1">
        <v>619261</v>
      </c>
      <c r="K30" s="1">
        <v>644526</v>
      </c>
      <c r="L30" s="16">
        <f>(K30-J30)*100/J30</f>
        <v>4.1</v>
      </c>
      <c r="M30" s="138">
        <f>((K30-V30)*100)/V30</f>
        <v>137.5</v>
      </c>
      <c r="N30" s="15">
        <v>145555</v>
      </c>
      <c r="O30" s="15">
        <v>159133</v>
      </c>
      <c r="P30" s="28">
        <v>173969</v>
      </c>
      <c r="Q30" s="28">
        <v>190371</v>
      </c>
      <c r="R30" s="28">
        <v>207315</v>
      </c>
      <c r="S30" s="28">
        <v>223936</v>
      </c>
      <c r="T30" s="28">
        <v>238728</v>
      </c>
      <c r="U30" s="28">
        <v>250872</v>
      </c>
      <c r="V30" s="28">
        <v>271433</v>
      </c>
      <c r="W30" s="28"/>
      <c r="X30" s="1">
        <v>644526</v>
      </c>
    </row>
    <row r="31" spans="1:24" ht="12.75">
      <c r="A31" s="1" t="s">
        <v>22</v>
      </c>
      <c r="B31" s="29">
        <v>141404</v>
      </c>
      <c r="C31" s="15">
        <v>143195</v>
      </c>
      <c r="D31" s="15">
        <v>141698</v>
      </c>
      <c r="E31" s="68">
        <v>140110</v>
      </c>
      <c r="F31" s="68">
        <v>138011</v>
      </c>
      <c r="G31" s="1">
        <v>138644</v>
      </c>
      <c r="H31" s="1">
        <v>139939</v>
      </c>
      <c r="I31" s="1">
        <v>136457</v>
      </c>
      <c r="J31" s="1">
        <v>315294</v>
      </c>
      <c r="K31" s="1">
        <v>325339</v>
      </c>
      <c r="L31" s="16">
        <f>(K31-J31)*100/J31</f>
        <v>3.2</v>
      </c>
      <c r="M31" s="138">
        <f>((K31-V31)*100)/V31</f>
        <v>134.7</v>
      </c>
      <c r="N31" s="15">
        <v>75189</v>
      </c>
      <c r="O31" s="15">
        <v>83495</v>
      </c>
      <c r="P31" s="28">
        <v>91759</v>
      </c>
      <c r="Q31" s="28">
        <v>99523</v>
      </c>
      <c r="R31" s="28">
        <v>107585</v>
      </c>
      <c r="S31" s="28">
        <v>115499</v>
      </c>
      <c r="T31" s="28">
        <v>123236</v>
      </c>
      <c r="U31" s="28">
        <v>129483</v>
      </c>
      <c r="V31" s="28">
        <v>138622</v>
      </c>
      <c r="W31" s="28"/>
      <c r="X31" s="1">
        <v>325339</v>
      </c>
    </row>
    <row r="32" spans="1:24" ht="12.75">
      <c r="A32" s="1" t="s">
        <v>23</v>
      </c>
      <c r="B32" s="29">
        <v>174238</v>
      </c>
      <c r="C32" s="15">
        <v>175514</v>
      </c>
      <c r="D32" s="15">
        <v>174604</v>
      </c>
      <c r="E32" s="68">
        <v>179416</v>
      </c>
      <c r="F32" s="68">
        <v>180077</v>
      </c>
      <c r="G32" s="1">
        <v>179879</v>
      </c>
      <c r="H32" s="1">
        <v>183329</v>
      </c>
      <c r="I32" s="1">
        <v>189019</v>
      </c>
      <c r="J32" s="1">
        <v>484181</v>
      </c>
      <c r="K32" s="1">
        <v>506407</v>
      </c>
      <c r="L32" s="16">
        <f>(K32-J32)*100/J32</f>
        <v>4.6</v>
      </c>
      <c r="M32" s="138">
        <f>((K32-V32)*100)/V32</f>
        <v>212.6</v>
      </c>
      <c r="N32" s="15">
        <v>83166</v>
      </c>
      <c r="O32" s="15">
        <v>92188</v>
      </c>
      <c r="P32" s="28">
        <v>99814</v>
      </c>
      <c r="Q32" s="28">
        <v>107027</v>
      </c>
      <c r="R32" s="28">
        <v>118579</v>
      </c>
      <c r="S32" s="28">
        <v>131855</v>
      </c>
      <c r="T32" s="28">
        <v>137774</v>
      </c>
      <c r="U32" s="28">
        <v>150570</v>
      </c>
      <c r="V32" s="28">
        <v>161983</v>
      </c>
      <c r="W32" s="28"/>
      <c r="X32" s="1">
        <v>506407</v>
      </c>
    </row>
    <row r="33" spans="1:24" ht="12.75">
      <c r="A33" s="1" t="s">
        <v>24</v>
      </c>
      <c r="B33" s="29">
        <v>127032</v>
      </c>
      <c r="C33" s="15">
        <v>129349</v>
      </c>
      <c r="D33" s="15">
        <v>130848</v>
      </c>
      <c r="E33" s="68">
        <v>134730</v>
      </c>
      <c r="F33" s="68">
        <v>134037</v>
      </c>
      <c r="G33" s="1">
        <v>140350</v>
      </c>
      <c r="H33" s="1">
        <v>145769</v>
      </c>
      <c r="I33" s="1">
        <v>150149</v>
      </c>
      <c r="J33" s="1">
        <v>360044</v>
      </c>
      <c r="K33" s="1">
        <v>364507</v>
      </c>
      <c r="L33" s="16">
        <f>(K33-J33)*100/J33</f>
        <v>1.2</v>
      </c>
      <c r="M33" s="138">
        <f>((K33-V33)*100)/V33</f>
        <v>215</v>
      </c>
      <c r="N33" s="15">
        <v>54885</v>
      </c>
      <c r="O33" s="15">
        <v>64815</v>
      </c>
      <c r="P33" s="28">
        <v>70481</v>
      </c>
      <c r="Q33" s="28">
        <v>75168</v>
      </c>
      <c r="R33" s="28">
        <v>81417</v>
      </c>
      <c r="S33" s="28">
        <v>90709</v>
      </c>
      <c r="T33" s="28">
        <v>94664</v>
      </c>
      <c r="U33" s="28">
        <v>103746</v>
      </c>
      <c r="V33" s="28">
        <v>115699</v>
      </c>
      <c r="W33" s="28"/>
      <c r="X33" s="1">
        <v>364507</v>
      </c>
    </row>
    <row r="34" spans="1:24" ht="12.75">
      <c r="A34" s="1" t="s">
        <v>25</v>
      </c>
      <c r="B34" s="29">
        <v>80525</v>
      </c>
      <c r="C34" s="15">
        <v>83909</v>
      </c>
      <c r="D34" s="15">
        <v>93214</v>
      </c>
      <c r="E34" s="68">
        <v>97786</v>
      </c>
      <c r="F34" s="68">
        <v>104192</v>
      </c>
      <c r="G34" s="1">
        <v>106313</v>
      </c>
      <c r="H34" s="1">
        <v>109626</v>
      </c>
      <c r="I34" s="1">
        <v>113745</v>
      </c>
      <c r="J34" s="1">
        <v>256979</v>
      </c>
      <c r="K34" s="1">
        <v>269371</v>
      </c>
      <c r="L34" s="16">
        <f>(K34-J34)*100/J34</f>
        <v>4.8</v>
      </c>
      <c r="M34" s="138">
        <f>((K34-V34)*100)/V34</f>
        <v>252.3</v>
      </c>
      <c r="N34" s="15">
        <v>49962</v>
      </c>
      <c r="O34" s="15">
        <v>54545</v>
      </c>
      <c r="P34" s="28">
        <v>57503</v>
      </c>
      <c r="Q34" s="28">
        <v>61869</v>
      </c>
      <c r="R34" s="28">
        <v>67568</v>
      </c>
      <c r="S34" s="28">
        <v>70370</v>
      </c>
      <c r="T34" s="28">
        <v>72537</v>
      </c>
      <c r="U34" s="28">
        <v>72582</v>
      </c>
      <c r="V34" s="28">
        <v>76469</v>
      </c>
      <c r="W34" s="28"/>
      <c r="X34" s="1">
        <v>269371</v>
      </c>
    </row>
    <row r="35" spans="2:24" ht="12.75">
      <c r="B35" s="29"/>
      <c r="C35" s="15"/>
      <c r="D35" s="15"/>
      <c r="E35" s="68"/>
      <c r="F35" s="68"/>
      <c r="L35" s="16"/>
      <c r="M35" s="17"/>
      <c r="O35" s="15"/>
      <c r="P35" s="28"/>
      <c r="Q35" s="28"/>
      <c r="R35" s="28"/>
      <c r="S35" s="28"/>
      <c r="T35" s="28"/>
      <c r="U35" s="28"/>
      <c r="V35" s="28"/>
      <c r="W35" s="28"/>
      <c r="X35" s="1"/>
    </row>
    <row r="36" spans="1:24" ht="12.75">
      <c r="A36" s="1" t="s">
        <v>26</v>
      </c>
      <c r="B36" s="29">
        <v>292527</v>
      </c>
      <c r="C36" s="15">
        <v>290991</v>
      </c>
      <c r="D36" s="15">
        <v>291167</v>
      </c>
      <c r="E36" s="68">
        <v>294436</v>
      </c>
      <c r="F36" s="68">
        <v>295389</v>
      </c>
      <c r="G36" s="1">
        <v>304753</v>
      </c>
      <c r="H36" s="1">
        <v>314239</v>
      </c>
      <c r="I36" s="1">
        <v>314828</v>
      </c>
      <c r="J36" s="1">
        <v>853684</v>
      </c>
      <c r="K36" s="1">
        <v>928611</v>
      </c>
      <c r="L36" s="16">
        <f>(K36-J36)*100/J36</f>
        <v>8.8</v>
      </c>
      <c r="M36" s="138">
        <f>((K36-V36)*100)/V36</f>
        <v>225.3</v>
      </c>
      <c r="N36" s="15">
        <v>140292</v>
      </c>
      <c r="O36" s="15">
        <v>156972</v>
      </c>
      <c r="P36" s="28">
        <v>170804</v>
      </c>
      <c r="Q36" s="28">
        <v>188025</v>
      </c>
      <c r="R36" s="28">
        <v>208515</v>
      </c>
      <c r="S36" s="28">
        <v>226115</v>
      </c>
      <c r="T36" s="28">
        <v>238038</v>
      </c>
      <c r="U36" s="28">
        <v>260910</v>
      </c>
      <c r="V36" s="28">
        <v>285487</v>
      </c>
      <c r="W36" s="28"/>
      <c r="X36" s="1">
        <v>928611</v>
      </c>
    </row>
    <row r="37" spans="1:24" ht="12.75">
      <c r="A37" s="1" t="s">
        <v>27</v>
      </c>
      <c r="B37" s="29">
        <v>114170</v>
      </c>
      <c r="C37" s="15">
        <v>119293</v>
      </c>
      <c r="D37" s="15">
        <v>123888</v>
      </c>
      <c r="E37" s="68">
        <v>130276</v>
      </c>
      <c r="F37" s="68">
        <v>136022</v>
      </c>
      <c r="G37" s="1">
        <v>138932</v>
      </c>
      <c r="H37" s="1">
        <v>145213</v>
      </c>
      <c r="I37" s="1">
        <v>151955</v>
      </c>
      <c r="J37" s="1">
        <v>364627</v>
      </c>
      <c r="K37" s="1">
        <v>368084</v>
      </c>
      <c r="L37" s="16">
        <f>(K37-J37)*100/J37</f>
        <v>0.9</v>
      </c>
      <c r="M37" s="138">
        <f>((K37-V37)*100)/V37</f>
        <v>239.6</v>
      </c>
      <c r="N37" s="15">
        <v>63092</v>
      </c>
      <c r="O37" s="15">
        <v>67275</v>
      </c>
      <c r="P37" s="28">
        <v>72375</v>
      </c>
      <c r="Q37" s="28">
        <v>77529</v>
      </c>
      <c r="R37" s="28">
        <v>84072</v>
      </c>
      <c r="S37" s="28">
        <v>91395</v>
      </c>
      <c r="T37" s="28">
        <v>95492</v>
      </c>
      <c r="U37" s="28">
        <v>104043</v>
      </c>
      <c r="V37" s="28">
        <v>108375</v>
      </c>
      <c r="W37" s="28"/>
      <c r="X37" s="1">
        <v>368084</v>
      </c>
    </row>
    <row r="38" spans="1:24" ht="12.75">
      <c r="A38" s="1" t="s">
        <v>28</v>
      </c>
      <c r="B38" s="29">
        <v>108808</v>
      </c>
      <c r="C38" s="15">
        <v>112491</v>
      </c>
      <c r="D38" s="15">
        <v>112192</v>
      </c>
      <c r="E38" s="68">
        <v>119586</v>
      </c>
      <c r="F38" s="68">
        <v>120400</v>
      </c>
      <c r="G38" s="1">
        <v>121960</v>
      </c>
      <c r="H38" s="1">
        <v>127719</v>
      </c>
      <c r="I38" s="1">
        <v>136170</v>
      </c>
      <c r="J38" s="1">
        <v>295866</v>
      </c>
      <c r="K38" s="1">
        <v>302349</v>
      </c>
      <c r="L38" s="16">
        <f>(K38-J38)*100/J38</f>
        <v>2.2</v>
      </c>
      <c r="M38" s="138">
        <f>((K38-V38)*100)/V38</f>
        <v>186.7</v>
      </c>
      <c r="N38" s="15">
        <v>97937</v>
      </c>
      <c r="O38" s="15">
        <v>70852</v>
      </c>
      <c r="P38" s="28">
        <v>76722</v>
      </c>
      <c r="Q38" s="28">
        <v>82364</v>
      </c>
      <c r="R38" s="28">
        <v>88249</v>
      </c>
      <c r="S38" s="28">
        <v>94278</v>
      </c>
      <c r="T38" s="28">
        <v>96956</v>
      </c>
      <c r="U38" s="28">
        <v>101506</v>
      </c>
      <c r="V38" s="28">
        <v>105468</v>
      </c>
      <c r="W38" s="28"/>
      <c r="X38" s="1">
        <v>302349</v>
      </c>
    </row>
    <row r="39" spans="1:24" ht="12.75">
      <c r="A39" s="18" t="s">
        <v>29</v>
      </c>
      <c r="B39" s="29">
        <v>387017</v>
      </c>
      <c r="C39" s="25">
        <v>376756</v>
      </c>
      <c r="D39" s="15">
        <v>369677</v>
      </c>
      <c r="E39" s="68">
        <v>369990</v>
      </c>
      <c r="F39" s="68">
        <v>374542</v>
      </c>
      <c r="G39" s="1">
        <v>379703</v>
      </c>
      <c r="H39" s="1">
        <v>395871</v>
      </c>
      <c r="I39" s="1">
        <v>414852</v>
      </c>
      <c r="J39" s="1">
        <v>1052418</v>
      </c>
      <c r="K39" s="1">
        <v>1189225</v>
      </c>
      <c r="L39" s="16">
        <f>(K39-J39)*100/J39</f>
        <v>13</v>
      </c>
      <c r="M39" s="138">
        <f>((K39-V39)*100)/V39</f>
        <v>220.5</v>
      </c>
      <c r="N39" s="15">
        <v>210562</v>
      </c>
      <c r="O39" s="15">
        <v>249551</v>
      </c>
      <c r="P39" s="28">
        <v>286218</v>
      </c>
      <c r="Q39" s="28">
        <v>321390</v>
      </c>
      <c r="R39" s="28">
        <v>342311</v>
      </c>
      <c r="S39" s="28">
        <v>359743</v>
      </c>
      <c r="T39" s="28">
        <v>360335</v>
      </c>
      <c r="U39" s="28">
        <v>368306</v>
      </c>
      <c r="V39" s="28">
        <v>371050</v>
      </c>
      <c r="W39" s="28"/>
      <c r="X39" s="1">
        <v>1189225</v>
      </c>
    </row>
    <row r="40" spans="1:17" ht="12.75">
      <c r="A40" s="1" t="s">
        <v>99</v>
      </c>
      <c r="B40" s="19"/>
      <c r="C40" s="20"/>
      <c r="D40" s="19"/>
      <c r="E40" s="19"/>
      <c r="F40" s="19"/>
      <c r="G40" s="19"/>
      <c r="H40" s="19"/>
      <c r="I40" s="69"/>
      <c r="J40" s="69"/>
      <c r="K40" s="69"/>
      <c r="L40" s="69"/>
      <c r="M40" s="19"/>
      <c r="N40" s="19"/>
      <c r="O40" s="19"/>
      <c r="P40" s="19"/>
      <c r="Q40" s="19"/>
    </row>
    <row r="41" spans="2:17" ht="12.75">
      <c r="B41" s="15"/>
      <c r="C41" s="15"/>
      <c r="I41" s="64"/>
      <c r="J41" s="64"/>
      <c r="K41" s="64"/>
      <c r="L41" s="64"/>
      <c r="O41" s="15"/>
      <c r="P41" s="15"/>
      <c r="Q41" s="15"/>
    </row>
    <row r="42" spans="2:17" ht="12.75">
      <c r="B42" s="15"/>
      <c r="C42" s="15"/>
      <c r="I42" s="64"/>
      <c r="J42" s="64"/>
      <c r="K42" s="64"/>
      <c r="L42" s="64"/>
      <c r="O42" s="15"/>
      <c r="P42" s="15"/>
      <c r="Q42" s="15"/>
    </row>
    <row r="43" spans="2:17" ht="12.75">
      <c r="B43" s="15"/>
      <c r="C43" s="15"/>
      <c r="I43" s="64"/>
      <c r="J43" s="64"/>
      <c r="K43" s="64"/>
      <c r="L43" s="64"/>
      <c r="O43" s="15"/>
      <c r="P43" s="15"/>
      <c r="Q43" s="15"/>
    </row>
    <row r="44" spans="2:17" ht="12.75">
      <c r="B44" s="15"/>
      <c r="C44" s="15"/>
      <c r="I44" s="64"/>
      <c r="J44" s="64"/>
      <c r="K44" s="64"/>
      <c r="L44" s="64"/>
      <c r="O44" s="15"/>
      <c r="P44" s="15"/>
      <c r="Q44" s="15"/>
    </row>
    <row r="45" spans="2:17" ht="12.75">
      <c r="B45" s="15"/>
      <c r="C45" s="15"/>
      <c r="I45" s="64"/>
      <c r="J45" s="64"/>
      <c r="K45" s="64"/>
      <c r="L45" s="64"/>
      <c r="O45" s="15"/>
      <c r="P45" s="15"/>
      <c r="Q45" s="15"/>
    </row>
    <row r="46" spans="2:17" ht="12.75">
      <c r="B46" s="15"/>
      <c r="C46" s="15"/>
      <c r="I46" s="64"/>
      <c r="J46" s="64"/>
      <c r="K46" s="64"/>
      <c r="L46" s="64"/>
      <c r="O46" s="15"/>
      <c r="P46" s="15"/>
      <c r="Q46" s="15"/>
    </row>
    <row r="47" spans="2:12" ht="12.75">
      <c r="B47" s="15"/>
      <c r="C47" s="15"/>
      <c r="I47" s="64"/>
      <c r="J47" s="64"/>
      <c r="K47" s="64"/>
      <c r="L47" s="64"/>
    </row>
    <row r="48" spans="2:12" ht="12.75">
      <c r="B48" s="15"/>
      <c r="C48" s="15"/>
      <c r="I48" s="64"/>
      <c r="J48" s="64"/>
      <c r="K48" s="64"/>
      <c r="L48" s="64"/>
    </row>
    <row r="49" spans="2:12" ht="12.75">
      <c r="B49" s="15"/>
      <c r="C49" s="15"/>
      <c r="I49" s="64"/>
      <c r="J49" s="64"/>
      <c r="K49" s="64"/>
      <c r="L49" s="64"/>
    </row>
    <row r="50" spans="2:12" ht="12.75">
      <c r="B50" s="15"/>
      <c r="C50" s="15"/>
      <c r="I50" s="64"/>
      <c r="J50" s="64"/>
      <c r="K50" s="64"/>
      <c r="L50" s="64"/>
    </row>
    <row r="51" spans="2:12" ht="12.75">
      <c r="B51" s="15"/>
      <c r="C51" s="15"/>
      <c r="I51" s="64"/>
      <c r="J51" s="64"/>
      <c r="K51" s="64"/>
      <c r="L51" s="64"/>
    </row>
    <row r="52" spans="3:12" ht="12.75">
      <c r="C52" s="15"/>
      <c r="I52" s="64"/>
      <c r="J52" s="64"/>
      <c r="K52" s="64"/>
      <c r="L52" s="64"/>
    </row>
    <row r="53" spans="3:12" ht="12.75">
      <c r="C53" s="15"/>
      <c r="I53" s="64"/>
      <c r="J53" s="64"/>
      <c r="K53" s="64"/>
      <c r="L53" s="64"/>
    </row>
    <row r="54" spans="9:12" ht="12.75">
      <c r="I54" s="64"/>
      <c r="J54" s="64"/>
      <c r="K54" s="64"/>
      <c r="L54" s="64"/>
    </row>
    <row r="55" spans="9:12" ht="12.75">
      <c r="I55" s="64"/>
      <c r="J55" s="64"/>
      <c r="K55" s="64"/>
      <c r="L55" s="64"/>
    </row>
    <row r="56" spans="9:12" ht="12.75">
      <c r="I56" s="64"/>
      <c r="J56" s="64"/>
      <c r="K56" s="64"/>
      <c r="L56" s="64"/>
    </row>
    <row r="57" spans="9:12" ht="12.75">
      <c r="I57" s="64"/>
      <c r="J57" s="64"/>
      <c r="K57" s="64"/>
      <c r="L57" s="64"/>
    </row>
    <row r="58" spans="9:12" ht="12.75">
      <c r="I58" s="64"/>
      <c r="J58" s="64"/>
      <c r="K58" s="64"/>
      <c r="L58" s="64"/>
    </row>
    <row r="59" spans="9:12" ht="12.75">
      <c r="I59" s="64"/>
      <c r="J59" s="64"/>
      <c r="K59" s="64"/>
      <c r="L59" s="64"/>
    </row>
    <row r="60" spans="9:12" ht="12.75">
      <c r="I60" s="64"/>
      <c r="J60" s="64"/>
      <c r="K60" s="64"/>
      <c r="L60" s="64"/>
    </row>
    <row r="61" spans="9:12" ht="12.75">
      <c r="I61" s="64"/>
      <c r="J61" s="64"/>
      <c r="K61" s="64"/>
      <c r="L61" s="64"/>
    </row>
    <row r="62" spans="9:12" ht="12.75">
      <c r="I62" s="64"/>
      <c r="J62" s="64"/>
      <c r="K62" s="64"/>
      <c r="L62" s="64"/>
    </row>
    <row r="63" spans="9:12" ht="12.75">
      <c r="I63" s="64"/>
      <c r="J63" s="64"/>
      <c r="K63" s="64"/>
      <c r="L63" s="64"/>
    </row>
    <row r="64" spans="9:12" ht="12.75">
      <c r="I64" s="64"/>
      <c r="J64" s="64"/>
      <c r="K64" s="64"/>
      <c r="L64" s="64"/>
    </row>
    <row r="65" spans="9:12" ht="12.75">
      <c r="I65" s="64"/>
      <c r="J65" s="64"/>
      <c r="K65" s="64"/>
      <c r="L65" s="64"/>
    </row>
    <row r="66" spans="9:12" ht="12.75">
      <c r="I66" s="64"/>
      <c r="J66" s="64"/>
      <c r="K66" s="64"/>
      <c r="L66" s="64"/>
    </row>
    <row r="67" spans="9:12" ht="12.75">
      <c r="I67" s="64"/>
      <c r="J67" s="64"/>
      <c r="K67" s="64"/>
      <c r="L67" s="64"/>
    </row>
  </sheetData>
  <printOptions/>
  <pageMargins left="0.59" right="0.52" top="1" bottom="0.95" header="0.5" footer="0.5"/>
  <pageSetup fitToHeight="1" fitToWidth="1" orientation="landscape" scale="77" r:id="rId1"/>
  <headerFooter alignWithMargins="0">
    <oddFooter>&amp;L&amp;"Lucida Sans,Italic"&amp;10MSDE-DBS  11 / 2004&amp;C- 18 -&amp;R&amp;"Lucida Sans,Italic"&amp;10Selected Financial Data - Part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6"/>
  <sheetViews>
    <sheetView workbookViewId="0" topLeftCell="A1">
      <selection activeCell="E4" sqref="E4"/>
    </sheetView>
  </sheetViews>
  <sheetFormatPr defaultColWidth="9.00390625" defaultRowHeight="15.75"/>
  <cols>
    <col min="1" max="1" width="12.50390625" style="150" bestFit="1" customWidth="1"/>
    <col min="2" max="11" width="12.625" style="150" customWidth="1"/>
    <col min="12" max="13" width="6.625" style="150" customWidth="1"/>
    <col min="14" max="14" width="10.125" style="149" customWidth="1"/>
    <col min="15" max="15" width="10.125" style="150" customWidth="1"/>
    <col min="16" max="16" width="8.00390625" style="150" customWidth="1"/>
    <col min="17" max="17" width="10.125" style="150" bestFit="1" customWidth="1"/>
    <col min="18" max="18" width="8.00390625" style="150" customWidth="1"/>
    <col min="19" max="19" width="11.00390625" style="150" customWidth="1"/>
    <col min="20" max="16384" width="8.00390625" style="150" customWidth="1"/>
  </cols>
  <sheetData>
    <row r="1" spans="1:15" ht="12.75">
      <c r="A1" s="148" t="s">
        <v>188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O1" s="148"/>
    </row>
    <row r="2" spans="1:15" ht="12.7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O2" s="148"/>
    </row>
    <row r="3" spans="1:15" ht="12.75">
      <c r="A3" s="221" t="s">
        <v>195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O3" s="149"/>
    </row>
    <row r="4" spans="1:15" ht="12.75">
      <c r="A4" s="148" t="s">
        <v>196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O4" s="148"/>
    </row>
    <row r="5" spans="1:15" ht="13.5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O5" s="148"/>
    </row>
    <row r="6" spans="1:19" ht="13.5" thickTop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Q6" s="149" t="s">
        <v>193</v>
      </c>
      <c r="S6" s="150" t="s">
        <v>193</v>
      </c>
    </row>
    <row r="7" spans="1:19" ht="12.75">
      <c r="A7" s="152"/>
      <c r="B7" s="152"/>
      <c r="C7" s="152"/>
      <c r="D7" s="152"/>
      <c r="E7" s="152"/>
      <c r="F7" s="152"/>
      <c r="G7" s="149"/>
      <c r="H7" s="153"/>
      <c r="I7" s="153"/>
      <c r="J7" s="149"/>
      <c r="K7" s="149"/>
      <c r="L7" s="154" t="s">
        <v>34</v>
      </c>
      <c r="M7" s="154"/>
      <c r="N7" s="152"/>
      <c r="O7" s="152"/>
      <c r="Q7" s="199" t="s">
        <v>112</v>
      </c>
      <c r="S7" s="150" t="s">
        <v>112</v>
      </c>
    </row>
    <row r="8" spans="1:19" ht="12.75">
      <c r="A8" s="152"/>
      <c r="B8" s="152"/>
      <c r="C8" s="152"/>
      <c r="D8" s="152"/>
      <c r="E8" s="152"/>
      <c r="F8" s="152"/>
      <c r="G8" s="152"/>
      <c r="H8" s="155"/>
      <c r="I8" s="155"/>
      <c r="J8" s="152"/>
      <c r="K8" s="152"/>
      <c r="L8" s="156" t="s">
        <v>106</v>
      </c>
      <c r="M8" s="156" t="s">
        <v>107</v>
      </c>
      <c r="N8" s="152"/>
      <c r="O8" s="152"/>
      <c r="Q8" s="199" t="s">
        <v>191</v>
      </c>
      <c r="S8" s="150" t="s">
        <v>191</v>
      </c>
    </row>
    <row r="9" spans="1:19" ht="13.5" thickBot="1">
      <c r="A9" s="157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159" t="s">
        <v>105</v>
      </c>
      <c r="M9" s="159" t="s">
        <v>105</v>
      </c>
      <c r="N9" s="158" t="s">
        <v>4</v>
      </c>
      <c r="O9" s="158" t="s">
        <v>42</v>
      </c>
      <c r="Q9" s="158" t="s">
        <v>192</v>
      </c>
      <c r="S9" s="149" t="s">
        <v>210</v>
      </c>
    </row>
    <row r="10" spans="1:19" ht="15.75">
      <c r="A10" s="152" t="s">
        <v>5</v>
      </c>
      <c r="B10" s="160">
        <f aca="true" t="shared" si="0" ref="B10:K10">SUM(B12:B39)</f>
        <v>733363.3</v>
      </c>
      <c r="C10" s="160">
        <f t="shared" si="0"/>
        <v>750480.4</v>
      </c>
      <c r="D10" s="160">
        <f t="shared" si="0"/>
        <v>768162.9</v>
      </c>
      <c r="E10" s="160">
        <f t="shared" si="0"/>
        <v>781870.8</v>
      </c>
      <c r="F10" s="160">
        <f t="shared" si="0"/>
        <v>795028.6</v>
      </c>
      <c r="G10" s="160">
        <f t="shared" si="0"/>
        <v>806171.6</v>
      </c>
      <c r="H10" s="160">
        <f t="shared" si="0"/>
        <v>812492.2</v>
      </c>
      <c r="I10" s="160">
        <f t="shared" si="0"/>
        <v>822816.8</v>
      </c>
      <c r="J10" s="227">
        <v>831248.9</v>
      </c>
      <c r="K10" s="160">
        <f t="shared" si="0"/>
        <v>842556.8</v>
      </c>
      <c r="L10" s="161">
        <f>(K10-J10)/J10</f>
        <v>0.014</v>
      </c>
      <c r="M10" s="161">
        <f>(K10-O10)/O10</f>
        <v>0.177</v>
      </c>
      <c r="N10" s="160">
        <f>SUM(N12:N39)</f>
        <v>702042.2</v>
      </c>
      <c r="O10" s="160">
        <f>SUM(O12:O39)</f>
        <v>715887.8</v>
      </c>
      <c r="Q10" s="194">
        <v>831248.9</v>
      </c>
      <c r="S10" s="204">
        <v>842556.5</v>
      </c>
    </row>
    <row r="11" spans="1:19" ht="15.75">
      <c r="A11" s="149"/>
      <c r="B11" s="153"/>
      <c r="C11" s="153"/>
      <c r="D11" s="162"/>
      <c r="E11" s="153"/>
      <c r="F11" s="153"/>
      <c r="G11" s="153"/>
      <c r="H11" s="153"/>
      <c r="I11" s="153"/>
      <c r="J11" s="195"/>
      <c r="K11" s="195"/>
      <c r="L11" s="153"/>
      <c r="M11" s="162"/>
      <c r="N11" s="153"/>
      <c r="O11" s="153"/>
      <c r="Q11" s="195"/>
      <c r="S11" s="204"/>
    </row>
    <row r="12" spans="1:19" ht="12.75">
      <c r="A12" s="149" t="s">
        <v>6</v>
      </c>
      <c r="B12" s="164">
        <v>10709.7</v>
      </c>
      <c r="C12" s="165">
        <v>10774.7</v>
      </c>
      <c r="D12" s="166">
        <v>10816.1</v>
      </c>
      <c r="E12" s="160">
        <v>10862.2</v>
      </c>
      <c r="F12" s="160">
        <v>10953.9</v>
      </c>
      <c r="G12" s="166">
        <v>10824.2</v>
      </c>
      <c r="H12" s="166">
        <v>10544.9</v>
      </c>
      <c r="I12" s="167">
        <v>10273.6</v>
      </c>
      <c r="J12" s="196">
        <v>10052.6</v>
      </c>
      <c r="K12" s="196">
        <v>9977.7</v>
      </c>
      <c r="L12" s="168">
        <f>(K12-J12)*100/J12</f>
        <v>-0.7</v>
      </c>
      <c r="M12" s="166">
        <f>(K12-O12)*100/O12</f>
        <v>-6.5</v>
      </c>
      <c r="N12" s="163">
        <v>10663.2</v>
      </c>
      <c r="O12" s="163">
        <v>10675.1</v>
      </c>
      <c r="Q12" s="196">
        <v>10052.6</v>
      </c>
      <c r="S12" s="204">
        <v>9977.7</v>
      </c>
    </row>
    <row r="13" spans="1:19" ht="12.75">
      <c r="A13" s="149" t="s">
        <v>7</v>
      </c>
      <c r="B13" s="164">
        <v>64803.7</v>
      </c>
      <c r="C13" s="169">
        <v>65794.6</v>
      </c>
      <c r="D13" s="166">
        <v>67439.3</v>
      </c>
      <c r="E13" s="160">
        <v>68691.1</v>
      </c>
      <c r="F13" s="160">
        <v>69714.1</v>
      </c>
      <c r="G13" s="166">
        <v>70275</v>
      </c>
      <c r="H13" s="166">
        <v>71026.6</v>
      </c>
      <c r="I13" s="170">
        <v>71004</v>
      </c>
      <c r="J13" s="197">
        <v>71606.1</v>
      </c>
      <c r="K13" s="197">
        <v>71451.5</v>
      </c>
      <c r="L13" s="168">
        <f>(K13-J13)*100/J13</f>
        <v>-0.2</v>
      </c>
      <c r="M13" s="166">
        <f>(K13-O13)*100/O13</f>
        <v>12.4</v>
      </c>
      <c r="N13" s="163">
        <v>63850.2</v>
      </c>
      <c r="O13" s="163">
        <v>63586</v>
      </c>
      <c r="Q13" s="197">
        <v>71606.1</v>
      </c>
      <c r="S13" s="204">
        <v>71451.5</v>
      </c>
    </row>
    <row r="14" spans="1:19" ht="12.75">
      <c r="A14" s="149" t="s">
        <v>8</v>
      </c>
      <c r="B14" s="164">
        <v>106611.1</v>
      </c>
      <c r="C14" s="169">
        <v>105815.3</v>
      </c>
      <c r="D14" s="166">
        <v>104479.4</v>
      </c>
      <c r="E14" s="160">
        <v>103480.3</v>
      </c>
      <c r="F14" s="160">
        <v>102446.4</v>
      </c>
      <c r="G14" s="166">
        <v>101185.7</v>
      </c>
      <c r="H14" s="166">
        <v>97223.5</v>
      </c>
      <c r="I14" s="170">
        <v>96033</v>
      </c>
      <c r="J14" s="197">
        <v>94313.3</v>
      </c>
      <c r="K14" s="197">
        <v>93443.9</v>
      </c>
      <c r="L14" s="168">
        <f>(K14-J14)*100/J14</f>
        <v>-0.9</v>
      </c>
      <c r="M14" s="166">
        <f>(K14-O14)*100/O14</f>
        <v>-11</v>
      </c>
      <c r="N14" s="163">
        <v>104927</v>
      </c>
      <c r="O14" s="163">
        <v>105051.8</v>
      </c>
      <c r="Q14" s="197">
        <v>94313.3</v>
      </c>
      <c r="S14" s="204">
        <v>93443.9</v>
      </c>
    </row>
    <row r="15" spans="1:19" ht="12.75">
      <c r="A15" s="149" t="s">
        <v>9</v>
      </c>
      <c r="B15" s="164">
        <v>90715</v>
      </c>
      <c r="C15" s="169">
        <v>94952.3</v>
      </c>
      <c r="D15" s="166">
        <v>97953.8</v>
      </c>
      <c r="E15" s="160">
        <v>99833.5</v>
      </c>
      <c r="F15" s="160">
        <v>100698.3</v>
      </c>
      <c r="G15" s="166">
        <v>102424.7</v>
      </c>
      <c r="H15" s="166">
        <v>103213.9</v>
      </c>
      <c r="I15" s="167">
        <v>103834.1</v>
      </c>
      <c r="J15" s="196">
        <v>104614.2</v>
      </c>
      <c r="K15" s="196">
        <v>105422.7</v>
      </c>
      <c r="L15" s="168">
        <f>(K15-J15)*100/J15</f>
        <v>0.8</v>
      </c>
      <c r="M15" s="166">
        <f>(K15-O15)*100/O15</f>
        <v>18.7</v>
      </c>
      <c r="N15" s="163">
        <v>84341.3</v>
      </c>
      <c r="O15" s="163">
        <v>88822.8</v>
      </c>
      <c r="Q15" s="196">
        <v>104614.2</v>
      </c>
      <c r="S15" s="204">
        <v>105422.7</v>
      </c>
    </row>
    <row r="16" spans="1:19" ht="12.75">
      <c r="A16" s="149" t="s">
        <v>10</v>
      </c>
      <c r="B16" s="164">
        <v>11592.3</v>
      </c>
      <c r="C16" s="169">
        <v>12137.6</v>
      </c>
      <c r="D16" s="166">
        <v>12740.5</v>
      </c>
      <c r="E16" s="160">
        <v>13582.3</v>
      </c>
      <c r="F16" s="160">
        <v>14112.4</v>
      </c>
      <c r="G16" s="166">
        <v>14604.8</v>
      </c>
      <c r="H16" s="166">
        <v>15151.8</v>
      </c>
      <c r="I16" s="167">
        <v>15585.8</v>
      </c>
      <c r="J16" s="196">
        <v>15698.7</v>
      </c>
      <c r="K16" s="196">
        <v>16067.7</v>
      </c>
      <c r="L16" s="168">
        <f>(K16-J16)*100/J16</f>
        <v>2.4</v>
      </c>
      <c r="M16" s="166">
        <f>(K16-O16)*100/O16</f>
        <v>42.7</v>
      </c>
      <c r="N16" s="163">
        <v>10462.7</v>
      </c>
      <c r="O16" s="163">
        <v>11256.8</v>
      </c>
      <c r="Q16" s="196">
        <v>15698.7</v>
      </c>
      <c r="S16" s="204">
        <v>16067.7</v>
      </c>
    </row>
    <row r="17" spans="1:19" ht="12.75">
      <c r="A17" s="149"/>
      <c r="B17" s="171"/>
      <c r="C17" s="169"/>
      <c r="D17" s="166"/>
      <c r="E17" s="160"/>
      <c r="F17" s="160"/>
      <c r="G17" s="166"/>
      <c r="H17" s="166"/>
      <c r="I17" s="167"/>
      <c r="J17" s="196"/>
      <c r="K17" s="196"/>
      <c r="L17" s="168"/>
      <c r="M17" s="166"/>
      <c r="N17" s="163"/>
      <c r="O17" s="163"/>
      <c r="Q17" s="196"/>
      <c r="S17" s="204"/>
    </row>
    <row r="18" spans="1:19" ht="12.75">
      <c r="A18" s="149" t="s">
        <v>11</v>
      </c>
      <c r="B18" s="164">
        <v>5105.8</v>
      </c>
      <c r="C18" s="169">
        <v>5278.1</v>
      </c>
      <c r="D18" s="166">
        <v>5464.4</v>
      </c>
      <c r="E18" s="160">
        <v>5457.6</v>
      </c>
      <c r="F18" s="160">
        <v>5518.5</v>
      </c>
      <c r="G18" s="166">
        <v>5529.8</v>
      </c>
      <c r="H18" s="166">
        <v>5469.9</v>
      </c>
      <c r="I18" s="167">
        <v>5419.8</v>
      </c>
      <c r="J18" s="196">
        <v>5438.7</v>
      </c>
      <c r="K18" s="196">
        <v>5393</v>
      </c>
      <c r="L18" s="168">
        <f>(K18-J18)*100/J18</f>
        <v>-0.8</v>
      </c>
      <c r="M18" s="166">
        <f>(K18-O18)*100/O18</f>
        <v>8.6</v>
      </c>
      <c r="N18" s="163">
        <v>4866.5</v>
      </c>
      <c r="O18" s="163">
        <v>4967.4</v>
      </c>
      <c r="Q18" s="196">
        <v>5438.7</v>
      </c>
      <c r="S18" s="204">
        <v>5393</v>
      </c>
    </row>
    <row r="19" spans="1:19" ht="12.75">
      <c r="A19" s="149" t="s">
        <v>12</v>
      </c>
      <c r="B19" s="164">
        <v>22627.3</v>
      </c>
      <c r="C19" s="169">
        <v>23355.3</v>
      </c>
      <c r="D19" s="166">
        <v>24257.1</v>
      </c>
      <c r="E19" s="160">
        <v>25125.9</v>
      </c>
      <c r="F19" s="160">
        <v>25761.4</v>
      </c>
      <c r="G19" s="166">
        <v>26141</v>
      </c>
      <c r="H19" s="166">
        <v>26404</v>
      </c>
      <c r="I19" s="167">
        <v>26519.8</v>
      </c>
      <c r="J19" s="196">
        <v>27028.3</v>
      </c>
      <c r="K19" s="196">
        <v>27369.2</v>
      </c>
      <c r="L19" s="168">
        <f>(K19-J19)*100/J19</f>
        <v>1.3</v>
      </c>
      <c r="M19" s="166">
        <f>(K19-O19)*100/O19</f>
        <v>24</v>
      </c>
      <c r="N19" s="163">
        <v>21440.2</v>
      </c>
      <c r="O19" s="163">
        <v>22079.1</v>
      </c>
      <c r="Q19" s="196">
        <v>27028.3</v>
      </c>
      <c r="S19" s="204">
        <v>27369.2</v>
      </c>
    </row>
    <row r="20" spans="1:19" ht="12.75">
      <c r="A20" s="149" t="s">
        <v>13</v>
      </c>
      <c r="B20" s="164">
        <v>13018.1</v>
      </c>
      <c r="C20" s="169">
        <v>13427</v>
      </c>
      <c r="D20" s="166">
        <v>13718.2</v>
      </c>
      <c r="E20" s="160">
        <v>14049</v>
      </c>
      <c r="F20" s="160">
        <v>14429</v>
      </c>
      <c r="G20" s="166">
        <v>14628</v>
      </c>
      <c r="H20" s="166">
        <v>14824.7</v>
      </c>
      <c r="I20" s="167">
        <v>15060.6</v>
      </c>
      <c r="J20" s="196">
        <v>15271.1</v>
      </c>
      <c r="K20" s="196">
        <v>15502.2</v>
      </c>
      <c r="L20" s="168">
        <f>(K20-J20)*100/J20</f>
        <v>1.5</v>
      </c>
      <c r="M20" s="166">
        <f>(K20-O20)*100/O20</f>
        <v>21.4</v>
      </c>
      <c r="N20" s="163">
        <v>12492</v>
      </c>
      <c r="O20" s="163">
        <v>12764.8</v>
      </c>
      <c r="Q20" s="196">
        <v>15271.1</v>
      </c>
      <c r="S20" s="204">
        <v>15502.2</v>
      </c>
    </row>
    <row r="21" spans="1:19" ht="12.75">
      <c r="A21" s="149" t="s">
        <v>14</v>
      </c>
      <c r="B21" s="164">
        <v>19315.2</v>
      </c>
      <c r="C21" s="169">
        <v>19569.9</v>
      </c>
      <c r="D21" s="166">
        <v>19921.3</v>
      </c>
      <c r="E21" s="160">
        <v>19752.9</v>
      </c>
      <c r="F21" s="160">
        <v>20787</v>
      </c>
      <c r="G21" s="166">
        <v>21433.1</v>
      </c>
      <c r="H21" s="166">
        <v>21916.9</v>
      </c>
      <c r="I21" s="167">
        <v>22539.4</v>
      </c>
      <c r="J21" s="196">
        <v>23133.8</v>
      </c>
      <c r="K21" s="196">
        <v>23818.5</v>
      </c>
      <c r="L21" s="168">
        <f>(K21-J21)*100/J21</f>
        <v>3</v>
      </c>
      <c r="M21" s="166">
        <f>(K21-O21)*100/O21</f>
        <v>27.5</v>
      </c>
      <c r="N21" s="163">
        <v>18271.3</v>
      </c>
      <c r="O21" s="163">
        <v>18678.4</v>
      </c>
      <c r="Q21" s="196">
        <v>23133.8</v>
      </c>
      <c r="S21" s="204">
        <v>23818.5</v>
      </c>
    </row>
    <row r="22" spans="1:19" ht="12.75">
      <c r="A22" s="149" t="s">
        <v>15</v>
      </c>
      <c r="B22" s="164">
        <v>4811.6</v>
      </c>
      <c r="C22" s="169">
        <v>4820.9</v>
      </c>
      <c r="D22" s="166">
        <v>4879.2</v>
      </c>
      <c r="E22" s="160">
        <v>4889.4</v>
      </c>
      <c r="F22" s="160">
        <v>4882.6</v>
      </c>
      <c r="G22" s="166">
        <v>4864.4</v>
      </c>
      <c r="H22" s="166">
        <v>4795.3</v>
      </c>
      <c r="I22" s="167">
        <v>4664.9</v>
      </c>
      <c r="J22" s="196">
        <v>4610.4</v>
      </c>
      <c r="K22" s="196">
        <v>4564</v>
      </c>
      <c r="L22" s="168">
        <f>(K22-J22)*100/J22</f>
        <v>-1</v>
      </c>
      <c r="M22" s="166">
        <f>(K22-O22)*100/O22</f>
        <v>-4.1</v>
      </c>
      <c r="N22" s="163">
        <v>4673.8</v>
      </c>
      <c r="O22" s="163">
        <v>4759.1</v>
      </c>
      <c r="Q22" s="196">
        <v>4610.4</v>
      </c>
      <c r="S22" s="204">
        <v>4564</v>
      </c>
    </row>
    <row r="23" spans="1:19" ht="12.75">
      <c r="A23" s="149"/>
      <c r="B23" s="171"/>
      <c r="C23" s="169"/>
      <c r="D23" s="166"/>
      <c r="E23" s="160"/>
      <c r="F23" s="160"/>
      <c r="G23" s="166"/>
      <c r="H23" s="166"/>
      <c r="I23" s="167"/>
      <c r="J23" s="196"/>
      <c r="K23" s="196"/>
      <c r="L23" s="168"/>
      <c r="M23" s="166"/>
      <c r="N23" s="163"/>
      <c r="O23" s="163"/>
      <c r="Q23" s="196"/>
      <c r="S23" s="204"/>
    </row>
    <row r="24" spans="1:19" ht="12.75">
      <c r="A24" s="149" t="s">
        <v>16</v>
      </c>
      <c r="B24" s="164">
        <v>29027.7</v>
      </c>
      <c r="C24" s="169">
        <v>30173</v>
      </c>
      <c r="D24" s="166">
        <v>31204.2</v>
      </c>
      <c r="E24" s="160">
        <v>32237.1</v>
      </c>
      <c r="F24" s="160">
        <v>33030.2</v>
      </c>
      <c r="G24" s="166">
        <v>33776.7</v>
      </c>
      <c r="H24" s="166">
        <v>34456.9</v>
      </c>
      <c r="I24" s="167">
        <v>35288.1</v>
      </c>
      <c r="J24" s="196">
        <v>36733.2</v>
      </c>
      <c r="K24" s="196">
        <v>36843.7</v>
      </c>
      <c r="L24" s="168">
        <f>(K24-J24)*100/J24</f>
        <v>0.3</v>
      </c>
      <c r="M24" s="166">
        <f>(K24-O24)*100/O24</f>
        <v>32</v>
      </c>
      <c r="N24" s="163">
        <v>26689.1</v>
      </c>
      <c r="O24" s="163">
        <v>27901.5</v>
      </c>
      <c r="Q24" s="196">
        <v>36733.2</v>
      </c>
      <c r="S24" s="204">
        <v>36843.7</v>
      </c>
    </row>
    <row r="25" spans="1:19" ht="12.75">
      <c r="A25" s="149" t="s">
        <v>17</v>
      </c>
      <c r="B25" s="164">
        <v>5070.8</v>
      </c>
      <c r="C25" s="169">
        <v>5057.6</v>
      </c>
      <c r="D25" s="166">
        <v>5107.4</v>
      </c>
      <c r="E25" s="160">
        <v>5090.8</v>
      </c>
      <c r="F25" s="160">
        <v>5056.9</v>
      </c>
      <c r="G25" s="166">
        <v>5104.7</v>
      </c>
      <c r="H25" s="166">
        <v>5065.6</v>
      </c>
      <c r="I25" s="167">
        <v>4973.5</v>
      </c>
      <c r="J25" s="196">
        <v>4897.8</v>
      </c>
      <c r="K25" s="196">
        <v>4752.2</v>
      </c>
      <c r="L25" s="168">
        <f>(K25-J25)*100/J25</f>
        <v>-3</v>
      </c>
      <c r="M25" s="166">
        <f>(K25-O25)*100/O25</f>
        <v>-5.9</v>
      </c>
      <c r="N25" s="163">
        <v>5060.9</v>
      </c>
      <c r="O25" s="163">
        <v>5047.8</v>
      </c>
      <c r="Q25" s="196">
        <v>4897.8</v>
      </c>
      <c r="S25" s="204">
        <v>4752.2</v>
      </c>
    </row>
    <row r="26" spans="1:19" ht="12.75">
      <c r="A26" s="149" t="s">
        <v>18</v>
      </c>
      <c r="B26" s="164">
        <v>32926.1</v>
      </c>
      <c r="C26" s="169">
        <v>33858.3</v>
      </c>
      <c r="D26" s="166">
        <v>35566.9</v>
      </c>
      <c r="E26" s="160">
        <v>35747.5</v>
      </c>
      <c r="F26" s="160">
        <v>36291.9</v>
      </c>
      <c r="G26" s="166">
        <v>37033.4</v>
      </c>
      <c r="H26" s="166">
        <v>37346.3</v>
      </c>
      <c r="I26" s="167">
        <v>37573.3</v>
      </c>
      <c r="J26" s="196">
        <v>37997.75</v>
      </c>
      <c r="K26" s="196">
        <v>40159.8</v>
      </c>
      <c r="L26" s="168">
        <f>(K26-J26)*100/J26</f>
        <v>5.7</v>
      </c>
      <c r="M26" s="166">
        <f>(K26-O26)*100/O26</f>
        <v>26.2</v>
      </c>
      <c r="N26" s="163">
        <v>30999.9</v>
      </c>
      <c r="O26" s="163">
        <v>31830.2</v>
      </c>
      <c r="Q26" s="196">
        <v>37997.75</v>
      </c>
      <c r="S26" s="204">
        <v>40159.8</v>
      </c>
    </row>
    <row r="27" spans="1:19" ht="12.75">
      <c r="A27" s="149" t="s">
        <v>19</v>
      </c>
      <c r="B27" s="164">
        <v>33083.2</v>
      </c>
      <c r="C27" s="169">
        <v>34776.3</v>
      </c>
      <c r="D27" s="166">
        <v>36124.2</v>
      </c>
      <c r="E27" s="160">
        <v>37461.5</v>
      </c>
      <c r="F27" s="160">
        <v>38788.7</v>
      </c>
      <c r="G27" s="166">
        <v>40212.1</v>
      </c>
      <c r="H27" s="166">
        <v>41980.1</v>
      </c>
      <c r="I27" s="167">
        <v>43335.7</v>
      </c>
      <c r="J27" s="196">
        <v>44438.25</v>
      </c>
      <c r="K27" s="196">
        <v>47278.1</v>
      </c>
      <c r="L27" s="168">
        <f>(K27-J27)*100/J27</f>
        <v>6.4</v>
      </c>
      <c r="M27" s="166">
        <f>(K27-O27)*100/O27</f>
        <v>49.2</v>
      </c>
      <c r="N27" s="163">
        <v>30317.7</v>
      </c>
      <c r="O27" s="163">
        <v>31689.3</v>
      </c>
      <c r="Q27" s="196">
        <v>44438.25</v>
      </c>
      <c r="S27" s="204">
        <v>47278.1</v>
      </c>
    </row>
    <row r="28" spans="1:19" ht="12.75">
      <c r="A28" s="149" t="s">
        <v>20</v>
      </c>
      <c r="B28" s="164">
        <v>2534.8</v>
      </c>
      <c r="C28" s="169">
        <v>2603.4</v>
      </c>
      <c r="D28" s="166">
        <v>2651.4</v>
      </c>
      <c r="E28" s="160">
        <v>2717.7</v>
      </c>
      <c r="F28" s="160">
        <v>2693.9</v>
      </c>
      <c r="G28" s="166">
        <v>2670.3</v>
      </c>
      <c r="H28" s="166">
        <v>2703.1</v>
      </c>
      <c r="I28" s="167">
        <v>2588.6</v>
      </c>
      <c r="J28" s="196">
        <v>2603.6</v>
      </c>
      <c r="K28" s="196">
        <v>2536.8</v>
      </c>
      <c r="L28" s="168">
        <f>(K28-J28)*100/J28</f>
        <v>-2.6</v>
      </c>
      <c r="M28" s="166">
        <f>(K28-O28)*100/O28</f>
        <v>3.1</v>
      </c>
      <c r="N28" s="163">
        <v>2438.3</v>
      </c>
      <c r="O28" s="163">
        <v>2461.3</v>
      </c>
      <c r="Q28" s="196">
        <v>2603.6</v>
      </c>
      <c r="S28" s="204">
        <v>2536.8</v>
      </c>
    </row>
    <row r="29" spans="1:19" ht="12.75">
      <c r="A29" s="149"/>
      <c r="B29" s="171"/>
      <c r="C29" s="153"/>
      <c r="D29" s="166"/>
      <c r="E29" s="160"/>
      <c r="F29" s="160"/>
      <c r="G29" s="166"/>
      <c r="H29" s="166"/>
      <c r="I29" s="167"/>
      <c r="J29" s="196"/>
      <c r="K29" s="196"/>
      <c r="L29" s="168"/>
      <c r="M29" s="166"/>
      <c r="N29" s="163"/>
      <c r="O29" s="163"/>
      <c r="Q29" s="196"/>
      <c r="S29" s="204"/>
    </row>
    <row r="30" spans="1:19" ht="12.75">
      <c r="A30" s="149" t="s">
        <v>21</v>
      </c>
      <c r="B30" s="164">
        <v>108223.2</v>
      </c>
      <c r="C30" s="169">
        <v>111424.8</v>
      </c>
      <c r="D30" s="166">
        <v>114453.2</v>
      </c>
      <c r="E30" s="160">
        <v>117250.6</v>
      </c>
      <c r="F30" s="160">
        <v>119843.4</v>
      </c>
      <c r="G30" s="166">
        <v>123025.6</v>
      </c>
      <c r="H30" s="166">
        <v>126002.2</v>
      </c>
      <c r="I30" s="167">
        <v>129156.8</v>
      </c>
      <c r="J30" s="196">
        <v>132649.7</v>
      </c>
      <c r="K30" s="196">
        <v>135283.3</v>
      </c>
      <c r="L30" s="168">
        <f>(K30-J30)*100/J30</f>
        <v>2</v>
      </c>
      <c r="M30" s="166">
        <f>(K30-O30)*100/O30</f>
        <v>29.1</v>
      </c>
      <c r="N30" s="163">
        <v>103486.9</v>
      </c>
      <c r="O30" s="163">
        <v>104754.2</v>
      </c>
      <c r="Q30" s="196">
        <v>132649.7</v>
      </c>
      <c r="S30" s="204">
        <v>135283.3</v>
      </c>
    </row>
    <row r="31" spans="1:19" ht="12.75">
      <c r="A31" s="149" t="s">
        <v>22</v>
      </c>
      <c r="B31" s="164">
        <v>111497.8</v>
      </c>
      <c r="C31" s="169">
        <v>113702.3</v>
      </c>
      <c r="D31" s="166">
        <v>117323.1</v>
      </c>
      <c r="E31" s="160">
        <v>120682.3</v>
      </c>
      <c r="F31" s="160">
        <v>123994.2</v>
      </c>
      <c r="G31" s="166">
        <v>125693.9</v>
      </c>
      <c r="H31" s="166">
        <v>127133.7</v>
      </c>
      <c r="I31" s="167">
        <v>131775</v>
      </c>
      <c r="J31" s="196">
        <v>132820.6</v>
      </c>
      <c r="K31" s="196">
        <v>134444.7</v>
      </c>
      <c r="L31" s="168">
        <f>(K31-J31)*100/J31</f>
        <v>1.2</v>
      </c>
      <c r="M31" s="166">
        <f>(K31-O31)*100/O31</f>
        <v>23.6</v>
      </c>
      <c r="N31" s="163">
        <v>107289.9</v>
      </c>
      <c r="O31" s="163">
        <v>108783.7</v>
      </c>
      <c r="Q31" s="196">
        <v>132820.6</v>
      </c>
      <c r="S31" s="204">
        <v>134444.7</v>
      </c>
    </row>
    <row r="32" spans="1:19" ht="12.75">
      <c r="A32" s="149" t="s">
        <v>23</v>
      </c>
      <c r="B32" s="164">
        <v>5521.6</v>
      </c>
      <c r="C32" s="169">
        <v>5673.5</v>
      </c>
      <c r="D32" s="166">
        <v>5911.3</v>
      </c>
      <c r="E32" s="160">
        <v>6024.1</v>
      </c>
      <c r="F32" s="160">
        <v>6220.1</v>
      </c>
      <c r="G32" s="166">
        <v>6490.2</v>
      </c>
      <c r="H32" s="166">
        <v>6662.9</v>
      </c>
      <c r="I32" s="167">
        <v>6826.4</v>
      </c>
      <c r="J32" s="196">
        <v>6899.9</v>
      </c>
      <c r="K32" s="196">
        <v>7149.8</v>
      </c>
      <c r="L32" s="168">
        <f>(K32-J32)*100/J32</f>
        <v>3.6</v>
      </c>
      <c r="M32" s="166">
        <f>(K32-O32)*100/O32</f>
        <v>31.6</v>
      </c>
      <c r="N32" s="163">
        <v>5235.8</v>
      </c>
      <c r="O32" s="163">
        <v>5433.9</v>
      </c>
      <c r="Q32" s="196">
        <v>6899.9</v>
      </c>
      <c r="S32" s="204">
        <v>7149.8</v>
      </c>
    </row>
    <row r="33" spans="1:19" ht="12.75">
      <c r="A33" s="149" t="s">
        <v>24</v>
      </c>
      <c r="B33" s="164">
        <v>12103</v>
      </c>
      <c r="C33" s="169">
        <v>12460.3</v>
      </c>
      <c r="D33" s="166">
        <v>12950.4</v>
      </c>
      <c r="E33" s="160">
        <v>13343.1</v>
      </c>
      <c r="F33" s="160">
        <v>13784.5</v>
      </c>
      <c r="G33" s="166">
        <v>13947.4</v>
      </c>
      <c r="H33" s="166">
        <v>14088.5</v>
      </c>
      <c r="I33" s="167">
        <v>14319.2</v>
      </c>
      <c r="J33" s="196">
        <v>14544.1</v>
      </c>
      <c r="K33" s="196">
        <v>15180.8</v>
      </c>
      <c r="L33" s="168">
        <f>(K33-J33)*100/J33</f>
        <v>4.4</v>
      </c>
      <c r="M33" s="166">
        <f>(K33-O33)*100/O33</f>
        <v>26.3</v>
      </c>
      <c r="N33" s="163">
        <v>12098.5</v>
      </c>
      <c r="O33" s="163">
        <v>12022.6</v>
      </c>
      <c r="Q33" s="196">
        <v>14544.1</v>
      </c>
      <c r="S33" s="204">
        <v>15180.8</v>
      </c>
    </row>
    <row r="34" spans="1:19" ht="12.75">
      <c r="A34" s="149" t="s">
        <v>25</v>
      </c>
      <c r="B34" s="164">
        <v>3326.6</v>
      </c>
      <c r="C34" s="169">
        <v>3275.3</v>
      </c>
      <c r="D34" s="166">
        <v>3070</v>
      </c>
      <c r="E34" s="160">
        <v>3070.8</v>
      </c>
      <c r="F34" s="160">
        <v>2950.6</v>
      </c>
      <c r="G34" s="166">
        <v>2936.8</v>
      </c>
      <c r="H34" s="166">
        <v>2934.2</v>
      </c>
      <c r="I34" s="167">
        <v>2903.4</v>
      </c>
      <c r="J34" s="196">
        <v>2855.4</v>
      </c>
      <c r="K34" s="196">
        <v>2816.1</v>
      </c>
      <c r="L34" s="168">
        <f>(K34-J34)*100/J34</f>
        <v>-1.4</v>
      </c>
      <c r="M34" s="166">
        <f>(K34-O34)*100/O34</f>
        <v>-16.4</v>
      </c>
      <c r="N34" s="163">
        <v>3360</v>
      </c>
      <c r="O34" s="163">
        <v>3369</v>
      </c>
      <c r="Q34" s="196">
        <v>2855.4</v>
      </c>
      <c r="S34" s="204">
        <v>2816.1</v>
      </c>
    </row>
    <row r="35" spans="1:19" ht="12.75">
      <c r="A35" s="149"/>
      <c r="B35" s="171"/>
      <c r="C35" s="169"/>
      <c r="D35" s="166"/>
      <c r="E35" s="166"/>
      <c r="F35" s="160"/>
      <c r="G35" s="166"/>
      <c r="H35" s="166"/>
      <c r="I35" s="167"/>
      <c r="J35" s="196"/>
      <c r="K35" s="196"/>
      <c r="L35" s="168"/>
      <c r="M35" s="166"/>
      <c r="N35" s="163"/>
      <c r="O35" s="163"/>
      <c r="Q35" s="196"/>
      <c r="S35" s="204"/>
    </row>
    <row r="36" spans="1:19" ht="12.75">
      <c r="A36" s="149" t="s">
        <v>26</v>
      </c>
      <c r="B36" s="164">
        <v>4030.2</v>
      </c>
      <c r="C36" s="169">
        <v>4102.5</v>
      </c>
      <c r="D36" s="166">
        <v>4150.4</v>
      </c>
      <c r="E36" s="160">
        <v>4201.2</v>
      </c>
      <c r="F36" s="160">
        <v>4308.2</v>
      </c>
      <c r="G36" s="166">
        <v>4327</v>
      </c>
      <c r="H36" s="166">
        <v>4371.6</v>
      </c>
      <c r="I36" s="167">
        <v>4387.3</v>
      </c>
      <c r="J36" s="196">
        <v>4393.4</v>
      </c>
      <c r="K36" s="196">
        <v>4381</v>
      </c>
      <c r="L36" s="168">
        <f>(K36-J36)*100/J36</f>
        <v>-0.3</v>
      </c>
      <c r="M36" s="166">
        <f>(K36-O36)*100/O36</f>
        <v>10</v>
      </c>
      <c r="N36" s="163">
        <v>3951</v>
      </c>
      <c r="O36" s="163">
        <v>3984.3</v>
      </c>
      <c r="Q36" s="196">
        <v>4393.4</v>
      </c>
      <c r="S36" s="204">
        <v>4381</v>
      </c>
    </row>
    <row r="37" spans="1:19" ht="12.75">
      <c r="A37" s="149" t="s">
        <v>27</v>
      </c>
      <c r="B37" s="164">
        <v>18128.1</v>
      </c>
      <c r="C37" s="169">
        <v>18474.4</v>
      </c>
      <c r="D37" s="166">
        <v>18644.8</v>
      </c>
      <c r="E37" s="160">
        <v>18751.2</v>
      </c>
      <c r="F37" s="160">
        <v>18885.9</v>
      </c>
      <c r="G37" s="166">
        <v>18991.4</v>
      </c>
      <c r="H37" s="166">
        <v>19007.7</v>
      </c>
      <c r="I37" s="167">
        <v>18920.8</v>
      </c>
      <c r="J37" s="196">
        <v>18883</v>
      </c>
      <c r="K37" s="196">
        <v>19058.7</v>
      </c>
      <c r="L37" s="168">
        <f>(K37-J37)*100/J37</f>
        <v>0.9</v>
      </c>
      <c r="M37" s="166">
        <f>(K37-O37)*100/O37</f>
        <v>7.8</v>
      </c>
      <c r="N37" s="163">
        <v>17158.2</v>
      </c>
      <c r="O37" s="163">
        <v>17679</v>
      </c>
      <c r="Q37" s="196">
        <v>18883</v>
      </c>
      <c r="S37" s="204">
        <v>19058.7</v>
      </c>
    </row>
    <row r="38" spans="1:19" ht="12.75">
      <c r="A38" s="149" t="s">
        <v>28</v>
      </c>
      <c r="B38" s="164">
        <v>12772.5</v>
      </c>
      <c r="C38" s="169">
        <v>12891.9</v>
      </c>
      <c r="D38" s="166">
        <v>13091.2</v>
      </c>
      <c r="E38" s="160">
        <v>13148.7</v>
      </c>
      <c r="F38" s="160">
        <v>13414.1</v>
      </c>
      <c r="G38" s="166">
        <v>13501.5</v>
      </c>
      <c r="H38" s="166">
        <v>13635.7</v>
      </c>
      <c r="I38" s="167">
        <v>13380.4</v>
      </c>
      <c r="J38" s="196">
        <v>13397.9</v>
      </c>
      <c r="K38" s="196">
        <v>13574.2</v>
      </c>
      <c r="L38" s="168">
        <f>(K38-J38)*100/J38</f>
        <v>1.3</v>
      </c>
      <c r="M38" s="166">
        <f>(K38-O38)*100/O38</f>
        <v>7.7</v>
      </c>
      <c r="N38" s="163">
        <v>12408.5</v>
      </c>
      <c r="O38" s="163">
        <v>12600.1</v>
      </c>
      <c r="Q38" s="196">
        <v>13397.9</v>
      </c>
      <c r="S38" s="204">
        <v>13574.2</v>
      </c>
    </row>
    <row r="39" spans="1:19" ht="12.75">
      <c r="A39" s="172" t="s">
        <v>29</v>
      </c>
      <c r="B39" s="174">
        <v>5807.9</v>
      </c>
      <c r="C39" s="175">
        <v>6081.1</v>
      </c>
      <c r="D39" s="176">
        <v>6245.1</v>
      </c>
      <c r="E39" s="177">
        <v>6420</v>
      </c>
      <c r="F39" s="177">
        <v>6462.4</v>
      </c>
      <c r="G39" s="176">
        <v>6549.9</v>
      </c>
      <c r="H39" s="176">
        <v>6532.2</v>
      </c>
      <c r="I39" s="178">
        <v>6453.3</v>
      </c>
      <c r="J39" s="198">
        <v>6367</v>
      </c>
      <c r="K39" s="198">
        <v>6087.2</v>
      </c>
      <c r="L39" s="179">
        <f>(K39-J39)*100/J39</f>
        <v>-4.4</v>
      </c>
      <c r="M39" s="176">
        <f>(K39-O39)*100/O39</f>
        <v>7</v>
      </c>
      <c r="N39" s="173">
        <v>5559.3</v>
      </c>
      <c r="O39" s="173">
        <v>5689.6</v>
      </c>
      <c r="Q39" s="198">
        <v>6367</v>
      </c>
      <c r="S39" s="204">
        <v>6087.2</v>
      </c>
    </row>
    <row r="40" spans="1:15" ht="12.75">
      <c r="A40" s="200" t="s">
        <v>194</v>
      </c>
      <c r="B40" s="153"/>
      <c r="C40" s="171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2:15" ht="12.75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2:15" ht="12.75">
      <c r="B42" s="171"/>
      <c r="C42" s="166"/>
      <c r="D42" s="166"/>
      <c r="E42" s="166"/>
      <c r="F42" s="166"/>
      <c r="G42" s="166"/>
      <c r="H42" s="166"/>
      <c r="I42" s="228"/>
      <c r="J42" s="171"/>
      <c r="K42" s="171"/>
      <c r="L42" s="153"/>
      <c r="M42" s="153"/>
      <c r="N42" s="153"/>
      <c r="O42" s="153"/>
    </row>
    <row r="43" spans="2:15" ht="12.75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2:15" ht="12.75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2:15" ht="12.75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2:15" ht="12.75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2:15" ht="12.75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2:15" ht="12.75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2:15" ht="12.75"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2:15" ht="12.75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2:15" ht="12.75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2:15" ht="12.75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2:15" ht="12.75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2:15" ht="12.75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2:15" ht="12.75"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2:15" ht="12.75"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2:15" ht="12.75"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2:15" ht="12.75"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2:15" ht="12.75"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2:15" ht="12.75"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2:15" ht="12.75"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2:15" ht="12.75"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2:15" ht="12.75"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2:15" ht="12.75"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2:15" ht="12.75"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2:15" ht="12.75"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2:15" ht="12.75"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2:15" ht="12.75"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2:15" ht="12.75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2:15" ht="12.75"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</row>
    <row r="71" spans="2:15" ht="12.75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</row>
    <row r="72" spans="2:15" ht="12.75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2:15" ht="12.75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2:15" ht="12.75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</row>
    <row r="75" spans="2:15" ht="12.75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</row>
    <row r="76" spans="2:15" ht="12.75"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</row>
    <row r="77" spans="2:15" ht="12.75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</row>
    <row r="78" spans="2:15" ht="12.75"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</row>
    <row r="79" spans="2:15" ht="12.75"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</row>
    <row r="80" spans="2:15" ht="12.75"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</row>
    <row r="81" spans="2:15" ht="12.75"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</row>
    <row r="82" spans="2:15" ht="12.75"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</row>
    <row r="83" spans="2:15" ht="12.75"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</row>
    <row r="84" spans="2:15" ht="12.75"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</row>
    <row r="85" spans="2:15" ht="12.75"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</row>
    <row r="86" spans="2:15" ht="12.75"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</row>
    <row r="87" spans="2:15" ht="12.75"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</row>
    <row r="88" spans="2:15" ht="12.75"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</row>
    <row r="89" spans="2:15" ht="12.75"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</row>
    <row r="90" spans="2:15" ht="12.75"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</row>
    <row r="91" spans="2:15" ht="12.75"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</row>
    <row r="92" spans="2:15" ht="12.75"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</row>
    <row r="93" spans="2:15" ht="12.75"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</row>
    <row r="94" spans="2:15" ht="12.75"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</row>
    <row r="95" spans="2:15" ht="12.75"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</row>
    <row r="96" spans="2:15" ht="12.75"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</row>
    <row r="97" spans="2:15" ht="12.75"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</row>
    <row r="98" spans="2:15" ht="12.75"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</row>
    <row r="99" spans="2:15" ht="12.75"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</row>
    <row r="100" spans="2:15" ht="12.75"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</row>
    <row r="101" spans="2:15" ht="12.75"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</row>
    <row r="102" spans="2:15" ht="12.75"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</row>
    <row r="103" spans="2:15" ht="12.75"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</row>
    <row r="104" spans="2:15" ht="12.75"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</row>
    <row r="105" spans="2:15" ht="12.75"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</row>
    <row r="106" spans="2:15" ht="12.75"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</row>
    <row r="107" spans="2:15" ht="12.75"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</row>
    <row r="108" spans="2:15" ht="12.75"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</row>
    <row r="109" spans="2:15" ht="12.75"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</row>
    <row r="110" spans="2:15" ht="12.75"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</row>
    <row r="111" spans="2:15" ht="12.75"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</row>
    <row r="112" spans="2:15" ht="12.75"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</row>
    <row r="113" spans="2:15" ht="12.75"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</row>
    <row r="114" spans="2:15" ht="12.75"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</row>
    <row r="115" spans="2:15" ht="12.75"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</row>
    <row r="116" spans="2:15" ht="12.75"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</row>
    <row r="117" spans="2:15" ht="12.75"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</row>
    <row r="118" spans="2:15" ht="12.75"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</row>
    <row r="119" spans="2:15" ht="12.75"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</row>
    <row r="120" spans="2:15" ht="12.75"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</row>
    <row r="121" spans="2:15" ht="12.75"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</row>
    <row r="122" spans="2:15" ht="12.75"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</row>
    <row r="123" spans="2:15" ht="12.75"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</row>
    <row r="124" spans="2:15" ht="12.75"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</row>
    <row r="125" spans="2:15" ht="12.75"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</row>
    <row r="126" spans="2:15" ht="12.75"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</row>
    <row r="127" spans="2:15" ht="12.75"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</row>
    <row r="128" spans="2:15" ht="12.75"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</row>
    <row r="129" spans="2:15" ht="12.75"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</row>
    <row r="130" spans="2:15" ht="12.75"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</row>
    <row r="131" spans="2:15" ht="12.75"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</row>
    <row r="132" spans="2:15" ht="12.75"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</row>
    <row r="133" spans="2:15" ht="12.75"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</row>
    <row r="134" spans="2:15" ht="12.75"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</row>
    <row r="135" spans="2:15" ht="12.75"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</row>
    <row r="136" spans="2:15" ht="12.75"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</row>
    <row r="137" spans="2:15" ht="12.75"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</row>
    <row r="138" spans="2:15" ht="12.75"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</row>
    <row r="139" spans="2:15" ht="12.75"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</row>
    <row r="140" spans="2:15" ht="12.75"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</row>
    <row r="141" spans="2:15" ht="12.75"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</row>
    <row r="142" spans="2:15" ht="12.75"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</row>
    <row r="143" spans="2:15" ht="12.75"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</row>
    <row r="144" spans="2:15" ht="12.75"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</row>
    <row r="145" spans="2:15" ht="12.75"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</row>
    <row r="146" spans="2:15" ht="12.75"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</row>
    <row r="147" spans="2:15" ht="12.75"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</row>
    <row r="148" spans="2:15" ht="12.75"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</row>
    <row r="149" spans="2:15" ht="12.75"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</row>
    <row r="150" spans="2:15" ht="12.75"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</row>
    <row r="151" spans="2:15" ht="12.75"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</row>
    <row r="152" spans="2:15" ht="12.75"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</row>
    <row r="153" spans="2:15" ht="12.75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</row>
    <row r="154" spans="2:15" ht="12.75"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</row>
    <row r="155" spans="2:15" ht="12.75"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</row>
    <row r="156" spans="2:15" ht="12.75"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</row>
    <row r="157" spans="2:15" ht="12.75"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</row>
    <row r="158" spans="2:15" ht="12.75"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</row>
    <row r="159" spans="2:15" ht="12.75"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</row>
    <row r="160" spans="2:15" ht="12.75"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</row>
    <row r="161" spans="2:15" ht="12.75"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</row>
    <row r="162" spans="2:15" ht="12.75"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</row>
    <row r="163" spans="2:15" ht="12.75"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</row>
    <row r="164" spans="2:15" ht="12.75"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</row>
    <row r="165" spans="2:15" ht="12.75"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</row>
    <row r="166" spans="2:15" ht="12.75"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</row>
    <row r="167" spans="2:15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</row>
    <row r="168" spans="2:15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</row>
    <row r="169" spans="2:15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</row>
    <row r="170" spans="2:15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</row>
    <row r="171" spans="2:15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</row>
    <row r="172" spans="2:15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</row>
    <row r="173" spans="2:15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</row>
    <row r="174" spans="2:15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</row>
    <row r="175" spans="2:15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</row>
    <row r="176" spans="2:15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</row>
    <row r="177" spans="2:15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</row>
    <row r="178" spans="2:15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</row>
    <row r="179" spans="2:15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</row>
    <row r="180" spans="2:15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</row>
    <row r="181" spans="2:15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</row>
    <row r="182" spans="2:15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</row>
    <row r="183" spans="2:15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</row>
    <row r="184" spans="2:15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</row>
    <row r="185" spans="2:15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</row>
    <row r="186" spans="2:15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</row>
    <row r="187" spans="2:15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</row>
    <row r="188" spans="2:15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</row>
    <row r="189" spans="2:15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</row>
    <row r="190" spans="2:15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</row>
    <row r="191" spans="2:15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</row>
    <row r="192" spans="2:15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</row>
    <row r="193" spans="2:15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</row>
    <row r="194" spans="2:15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</row>
    <row r="195" spans="2:15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</row>
    <row r="196" spans="2:15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</row>
    <row r="197" spans="2:15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</row>
    <row r="198" spans="2:15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</row>
    <row r="199" spans="2:15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</row>
    <row r="200" spans="2:15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</row>
    <row r="201" spans="2:15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</row>
    <row r="202" spans="2:15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</row>
    <row r="203" spans="2:15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</row>
    <row r="204" spans="2:15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</row>
    <row r="205" spans="2:15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</row>
    <row r="206" spans="2:15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</row>
    <row r="207" spans="2:15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</row>
    <row r="208" spans="2:15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</row>
    <row r="209" spans="2:15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2:15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</row>
    <row r="211" spans="2:15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</row>
    <row r="212" spans="2:15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</row>
    <row r="213" spans="2:15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</row>
    <row r="214" spans="2:15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</row>
    <row r="215" spans="2:15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</row>
    <row r="216" spans="2:15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</row>
    <row r="217" spans="2:15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</row>
    <row r="218" spans="2:15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</row>
    <row r="219" spans="2:15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</row>
    <row r="220" spans="2:15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</row>
    <row r="221" spans="2:15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</row>
    <row r="222" spans="2:15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</row>
    <row r="223" spans="2:15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</row>
    <row r="224" spans="2:15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</row>
    <row r="225" spans="2:15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</row>
    <row r="226" spans="2:15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</row>
    <row r="227" spans="2:15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</row>
    <row r="228" spans="2:15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</row>
    <row r="229" spans="2:15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</row>
    <row r="230" spans="2:15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</row>
    <row r="231" spans="2:15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</row>
    <row r="232" spans="2:15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</row>
    <row r="233" spans="2:15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</row>
    <row r="234" spans="2:15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</row>
    <row r="235" spans="2:15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</row>
    <row r="236" spans="2:15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</row>
    <row r="237" spans="2:15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</row>
    <row r="238" spans="2:15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</row>
    <row r="239" spans="2:15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</row>
    <row r="240" spans="2:15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</row>
    <row r="241" spans="2:15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</row>
    <row r="242" spans="2:15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</row>
    <row r="243" spans="2:15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</row>
    <row r="244" spans="2:15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</row>
    <row r="245" spans="2:15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</row>
    <row r="246" spans="2:15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</row>
    <row r="247" spans="2:15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</row>
    <row r="248" spans="2:15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</row>
    <row r="249" spans="2:15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</row>
    <row r="250" spans="2:15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</row>
    <row r="251" spans="2:15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</row>
    <row r="252" spans="2:15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</row>
    <row r="253" spans="2:15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</row>
    <row r="254" spans="2:15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</row>
    <row r="255" spans="2:15" ht="12.75"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</row>
    <row r="256" spans="2:15" ht="12.75"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</row>
    <row r="257" spans="2:15" ht="12.75"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</row>
    <row r="258" spans="2:15" ht="12.75"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</row>
    <row r="259" spans="2:15" ht="12.75"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</row>
    <row r="260" spans="2:15" ht="12.75"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</row>
    <row r="261" spans="2:15" ht="12.75"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</row>
    <row r="262" spans="2:15" ht="12.75"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</row>
    <row r="263" spans="2:15" ht="12.75"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</row>
    <row r="264" spans="2:15" ht="12.75"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</row>
    <row r="265" spans="2:15" ht="12.75"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</row>
    <row r="266" spans="2:15" ht="12.75"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</row>
    <row r="267" spans="2:15" ht="12.75"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</row>
    <row r="268" spans="2:15" ht="12.75"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</row>
    <row r="269" spans="2:15" ht="12.75"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</row>
    <row r="270" spans="2:15" ht="12.75"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</row>
    <row r="271" spans="2:15" ht="12.75"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</row>
    <row r="272" spans="2:15" ht="12.75"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</row>
    <row r="273" spans="2:15" ht="12.75"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</row>
    <row r="274" spans="2:15" ht="12.75"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</row>
    <row r="275" spans="2:15" ht="12.75"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</row>
    <row r="276" spans="2:15" ht="12.75"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</row>
    <row r="277" spans="2:15" ht="12.75"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</row>
    <row r="278" spans="2:15" ht="12.75"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</row>
    <row r="279" spans="2:15" ht="12.75"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</row>
    <row r="280" spans="2:15" ht="12.75"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</row>
    <row r="281" spans="2:15" ht="12.75"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</row>
    <row r="282" spans="2:15" ht="12.75"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</row>
    <row r="283" spans="2:15" ht="12.75"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</row>
    <row r="284" spans="2:15" ht="12.75"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</row>
    <row r="285" spans="2:15" ht="12.75"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</row>
    <row r="286" spans="2:15" ht="12.75"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</row>
    <row r="287" spans="2:15" ht="12.75"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</row>
    <row r="288" spans="2:15" ht="12.75"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</row>
    <row r="289" spans="2:15" ht="12.75">
      <c r="B289" s="153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</row>
    <row r="290" spans="2:15" ht="12.75"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</row>
    <row r="291" spans="2:15" ht="12.75"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</row>
    <row r="292" spans="2:15" ht="12.75"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</row>
    <row r="293" spans="2:15" ht="12.75"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</row>
    <row r="294" spans="2:15" ht="12.75"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</row>
    <row r="295" spans="2:15" ht="12.75"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</row>
    <row r="296" spans="2:15" ht="12.75"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</row>
    <row r="297" spans="2:15" ht="12.75"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</row>
    <row r="298" spans="2:15" ht="12.75"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</row>
    <row r="299" spans="2:15" ht="12.75"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</row>
    <row r="300" spans="2:15" ht="12.75"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</row>
    <row r="301" spans="2:15" ht="12.75"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</row>
    <row r="302" spans="2:15" ht="12.75"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</row>
    <row r="303" spans="2:15" ht="12.75"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</row>
    <row r="304" spans="2:15" ht="12.75">
      <c r="B304" s="153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</row>
    <row r="305" spans="2:15" ht="12.75"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</row>
    <row r="306" spans="2:15" ht="12.75"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</row>
    <row r="307" spans="2:15" ht="12.75"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</row>
    <row r="308" spans="2:15" ht="12.75"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</row>
    <row r="309" spans="2:15" ht="12.75"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</row>
    <row r="310" spans="2:15" ht="12.75"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</row>
    <row r="311" spans="2:15" ht="12.75"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</row>
    <row r="312" spans="2:15" ht="12.75"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</row>
    <row r="313" spans="2:15" ht="12.75"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</row>
    <row r="314" spans="2:15" ht="12.75"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</row>
    <row r="315" spans="2:15" ht="12.75"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</row>
    <row r="316" spans="2:15" ht="12.75"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</row>
    <row r="317" spans="2:15" ht="12.75"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</row>
    <row r="318" spans="2:15" ht="12.75"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</row>
    <row r="319" spans="2:15" ht="12.75"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</row>
    <row r="320" spans="2:15" ht="12.75"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</row>
    <row r="321" spans="2:15" ht="12.75"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</row>
    <row r="322" spans="2:15" ht="12.75"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</row>
    <row r="323" spans="2:15" ht="12.75"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</row>
    <row r="324" spans="2:15" ht="12.75"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</row>
    <row r="325" spans="2:15" ht="12.75"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</row>
    <row r="326" spans="2:15" ht="12.75"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</row>
    <row r="327" spans="2:15" ht="12.75"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</row>
    <row r="328" spans="2:15" ht="12.75"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</row>
    <row r="329" spans="2:15" ht="12.75"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</row>
    <row r="330" spans="2:15" ht="12.75"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</row>
    <row r="331" spans="2:15" ht="12.75"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</row>
    <row r="332" spans="2:15" ht="12.75"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</row>
    <row r="333" spans="2:15" ht="12.75"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</row>
    <row r="334" spans="2:15" ht="12.75"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</row>
    <row r="335" spans="2:15" ht="12.75"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</row>
    <row r="336" spans="2:15" ht="12.75"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</row>
  </sheetData>
  <mergeCells count="1">
    <mergeCell ref="A3:M3"/>
  </mergeCells>
  <printOptions/>
  <pageMargins left="0.36" right="0.21" top="0.86" bottom="0.61" header="0.37" footer="0.4"/>
  <pageSetup fitToHeight="1" fitToWidth="1" horizontalDpi="600" verticalDpi="600" orientation="landscape" scale="82" r:id="rId1"/>
  <headerFooter alignWithMargins="0">
    <oddFooter>&amp;L&amp;"Lucida Sans,Italic"&amp;10MSDE-DBS 11 / 2004&amp;C- 19 -&amp;R&amp;"Lucida Sans,Italic"&amp;10Selected Financial Data - Part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workbookViewId="0" topLeftCell="E1">
      <selection activeCell="F7" sqref="F7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3" width="6.625" style="1" customWidth="1"/>
    <col min="14" max="16" width="10.125" style="1" customWidth="1"/>
    <col min="17" max="21" width="10.125" style="3" customWidth="1"/>
    <col min="22" max="22" width="10.125" style="1" customWidth="1"/>
    <col min="23" max="23" width="6.75390625" style="3" customWidth="1"/>
    <col min="24" max="24" width="12.50390625" style="3" bestFit="1" customWidth="1"/>
    <col min="25" max="25" width="10.125" style="3" customWidth="1"/>
    <col min="26" max="26" width="5.625" style="3" customWidth="1"/>
    <col min="27" max="28" width="10.125" style="3" customWidth="1"/>
    <col min="29" max="29" width="7.00390625" style="3" customWidth="1"/>
    <col min="30" max="43" width="10.125" style="3" customWidth="1"/>
    <col min="44" max="16384" width="10.00390625" style="3" customWidth="1"/>
  </cols>
  <sheetData>
    <row r="1" spans="1:22" ht="12.75">
      <c r="A1" s="205" t="s">
        <v>102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"/>
      <c r="O1" s="2"/>
      <c r="P1" s="2"/>
      <c r="V1" s="7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V2" s="2"/>
    </row>
    <row r="3" spans="1:22" ht="12.75">
      <c r="A3" s="205" t="s">
        <v>45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10"/>
      <c r="O3" s="10"/>
      <c r="P3" s="10"/>
      <c r="V3" s="73"/>
    </row>
    <row r="4" spans="1:22" ht="12.75">
      <c r="A4" s="205" t="s">
        <v>196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10"/>
      <c r="O4" s="10"/>
      <c r="P4" s="10"/>
      <c r="V4" s="73"/>
    </row>
    <row r="5" spans="1:22" ht="13.5" thickBo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V5" s="106"/>
    </row>
    <row r="6" spans="1:23" ht="13.5" thickTop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5"/>
      <c r="O6" s="5"/>
      <c r="P6" s="5"/>
      <c r="Q6" s="5"/>
      <c r="R6" s="5"/>
      <c r="T6" s="5"/>
      <c r="U6" s="5"/>
      <c r="V6" s="201"/>
      <c r="W6" s="7"/>
    </row>
    <row r="7" spans="1:23" ht="12.7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6" t="s">
        <v>34</v>
      </c>
      <c r="M7" s="6"/>
      <c r="Q7" s="1"/>
      <c r="R7" s="1"/>
      <c r="T7" s="1"/>
      <c r="U7" s="1"/>
      <c r="V7" s="106"/>
      <c r="W7" s="1"/>
    </row>
    <row r="8" spans="1:23" ht="12.75">
      <c r="A8" s="106"/>
      <c r="B8" s="106"/>
      <c r="C8" s="106"/>
      <c r="D8" s="106"/>
      <c r="E8" s="202"/>
      <c r="F8" s="202"/>
      <c r="G8" s="202"/>
      <c r="H8" s="202"/>
      <c r="I8" s="202"/>
      <c r="J8" s="202"/>
      <c r="K8" s="202"/>
      <c r="L8" s="10" t="s">
        <v>106</v>
      </c>
      <c r="M8" s="10" t="s">
        <v>107</v>
      </c>
      <c r="Q8" s="1"/>
      <c r="R8" s="1"/>
      <c r="T8" s="1"/>
      <c r="U8" s="1"/>
      <c r="V8" s="106"/>
      <c r="W8" s="1"/>
    </row>
    <row r="9" spans="1:31" ht="13.5" thickBot="1">
      <c r="A9" s="8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9" t="s">
        <v>105</v>
      </c>
      <c r="M9" s="9" t="s">
        <v>105</v>
      </c>
      <c r="N9" s="10" t="s">
        <v>46</v>
      </c>
      <c r="O9" s="9" t="s">
        <v>36</v>
      </c>
      <c r="P9" s="9" t="s">
        <v>37</v>
      </c>
      <c r="Q9" s="9" t="s">
        <v>38</v>
      </c>
      <c r="R9" s="9" t="s">
        <v>39</v>
      </c>
      <c r="S9" s="9" t="s">
        <v>40</v>
      </c>
      <c r="T9" s="9" t="s">
        <v>41</v>
      </c>
      <c r="U9" s="8" t="s">
        <v>83</v>
      </c>
      <c r="V9" s="8" t="s">
        <v>84</v>
      </c>
      <c r="W9" s="7"/>
      <c r="X9" s="9" t="s">
        <v>130</v>
      </c>
      <c r="Y9" s="9" t="s">
        <v>130</v>
      </c>
      <c r="AA9" s="127" t="s">
        <v>187</v>
      </c>
      <c r="AB9" s="127" t="s">
        <v>187</v>
      </c>
      <c r="AD9" s="127" t="s">
        <v>197</v>
      </c>
      <c r="AE9" s="127" t="s">
        <v>197</v>
      </c>
    </row>
    <row r="10" spans="1:31" ht="13.5" thickTop="1">
      <c r="A10" s="7" t="s">
        <v>5</v>
      </c>
      <c r="B10" s="11">
        <f>SUM(B12:B39)</f>
        <v>4727259</v>
      </c>
      <c r="C10" s="11">
        <f>SUM(C12:C39)</f>
        <v>5028499</v>
      </c>
      <c r="D10" s="11">
        <f>SUM(E12:E43)</f>
        <v>5453638</v>
      </c>
      <c r="E10" s="11">
        <f>SUM(E12:E43)</f>
        <v>5453638</v>
      </c>
      <c r="F10" s="11">
        <f aca="true" t="shared" si="0" ref="F10:K10">SUM(F12:F39)</f>
        <v>5780549</v>
      </c>
      <c r="G10" s="11">
        <f t="shared" si="0"/>
        <v>6108201</v>
      </c>
      <c r="H10" s="11">
        <f t="shared" si="0"/>
        <v>6418873</v>
      </c>
      <c r="I10" s="11">
        <f t="shared" si="0"/>
        <v>6943072</v>
      </c>
      <c r="J10" s="11">
        <f t="shared" si="0"/>
        <v>7325471</v>
      </c>
      <c r="K10" s="11">
        <f t="shared" si="0"/>
        <v>7726859</v>
      </c>
      <c r="L10" s="99">
        <f>(K10-J10)/J10</f>
        <v>0.0548</v>
      </c>
      <c r="M10" s="146">
        <f>(K10-V10)/V10</f>
        <v>0.7162</v>
      </c>
      <c r="N10" s="14">
        <f aca="true" t="shared" si="1" ref="N10:S10">SUM(N12:N39)</f>
        <v>2486303</v>
      </c>
      <c r="O10" s="11">
        <f t="shared" si="1"/>
        <v>2685434</v>
      </c>
      <c r="P10" s="11">
        <f t="shared" si="1"/>
        <v>2916433</v>
      </c>
      <c r="Q10" s="11">
        <f t="shared" si="1"/>
        <v>3174751</v>
      </c>
      <c r="R10" s="11">
        <f t="shared" si="1"/>
        <v>3478838</v>
      </c>
      <c r="S10" s="11">
        <f t="shared" si="1"/>
        <v>3829014</v>
      </c>
      <c r="T10" s="11">
        <f>SUM(T12:T39)</f>
        <v>4179737</v>
      </c>
      <c r="U10" s="11">
        <f>SUM(U12:U39)</f>
        <v>4284556</v>
      </c>
      <c r="V10" s="11">
        <f>SUM(V12:V39)</f>
        <v>4502334</v>
      </c>
      <c r="W10" s="11"/>
      <c r="X10" s="11">
        <f>SUM(X12:X39)</f>
        <v>6943074714</v>
      </c>
      <c r="Y10" s="11">
        <f>SUM(Y12:Y39)</f>
        <v>6943072</v>
      </c>
      <c r="AA10" s="3">
        <f>SUM(AA12:AA39)</f>
        <v>7325471043</v>
      </c>
      <c r="AB10" s="3">
        <f>SUM(AB12:AB39)</f>
        <v>7325471</v>
      </c>
      <c r="AD10" s="3">
        <f>SUM(AD12:AD39)</f>
        <v>7726855425</v>
      </c>
      <c r="AE10" s="3">
        <f>SUM(AE12:AE39)</f>
        <v>7726859</v>
      </c>
    </row>
    <row r="11" spans="4:23" ht="12.75">
      <c r="D11" s="15"/>
      <c r="E11" s="15"/>
      <c r="F11" s="15"/>
      <c r="G11" s="15"/>
      <c r="H11" s="15"/>
      <c r="M11" s="15"/>
      <c r="Q11" s="1"/>
      <c r="R11" s="1"/>
      <c r="S11" s="1"/>
      <c r="T11" s="1"/>
      <c r="U11" s="1"/>
      <c r="W11" s="1"/>
    </row>
    <row r="12" spans="1:31" ht="12.75">
      <c r="A12" s="1" t="s">
        <v>6</v>
      </c>
      <c r="B12" s="15">
        <v>59839</v>
      </c>
      <c r="C12" s="15">
        <v>63412</v>
      </c>
      <c r="D12" s="15">
        <v>66229</v>
      </c>
      <c r="E12" s="15">
        <v>69046</v>
      </c>
      <c r="F12" s="15">
        <v>71664</v>
      </c>
      <c r="G12" s="15">
        <v>75072</v>
      </c>
      <c r="H12" s="15">
        <v>76528</v>
      </c>
      <c r="I12" s="1">
        <v>80469</v>
      </c>
      <c r="J12" s="1">
        <v>85597</v>
      </c>
      <c r="K12" s="1">
        <v>89453</v>
      </c>
      <c r="L12" s="16">
        <f>(K12-J12)*100/J12</f>
        <v>4.5</v>
      </c>
      <c r="M12" s="17">
        <f>(K12-V12)*100/V12</f>
        <v>55.5</v>
      </c>
      <c r="N12" s="15">
        <v>37762</v>
      </c>
      <c r="O12" s="15">
        <v>39463</v>
      </c>
      <c r="P12" s="15">
        <v>41847</v>
      </c>
      <c r="Q12" s="15">
        <v>45105</v>
      </c>
      <c r="R12" s="15">
        <v>47782</v>
      </c>
      <c r="S12" s="15">
        <v>50521</v>
      </c>
      <c r="T12" s="15">
        <v>53781</v>
      </c>
      <c r="U12" s="15">
        <v>54877</v>
      </c>
      <c r="V12" s="15">
        <f>57523082/1000</f>
        <v>57523</v>
      </c>
      <c r="W12" s="15"/>
      <c r="X12" s="3">
        <v>80468850</v>
      </c>
      <c r="Y12" s="3">
        <f>X12/1000</f>
        <v>80469</v>
      </c>
      <c r="AA12" s="3">
        <v>85597068</v>
      </c>
      <c r="AB12" s="3">
        <f>AA12/1000</f>
        <v>85597</v>
      </c>
      <c r="AD12" s="3">
        <v>89453050</v>
      </c>
      <c r="AE12" s="3">
        <f>AD12/1000</f>
        <v>89453</v>
      </c>
    </row>
    <row r="13" spans="1:31" ht="12.75">
      <c r="A13" s="1" t="s">
        <v>7</v>
      </c>
      <c r="B13" s="15">
        <v>411021</v>
      </c>
      <c r="C13" s="15">
        <v>438133</v>
      </c>
      <c r="D13" s="15">
        <v>455509</v>
      </c>
      <c r="E13" s="15">
        <v>460381</v>
      </c>
      <c r="F13" s="15">
        <v>478694</v>
      </c>
      <c r="G13" s="15">
        <v>497891</v>
      </c>
      <c r="H13" s="15">
        <v>534592</v>
      </c>
      <c r="I13" s="1">
        <v>570321</v>
      </c>
      <c r="J13" s="1">
        <v>605913</v>
      </c>
      <c r="K13" s="1">
        <v>635152</v>
      </c>
      <c r="L13" s="16">
        <f>(K13-J13)*100/J13</f>
        <v>4.8</v>
      </c>
      <c r="M13" s="17">
        <f>(K13-V13)*100/V13</f>
        <v>60.9</v>
      </c>
      <c r="N13" s="15">
        <v>221383</v>
      </c>
      <c r="O13" s="15">
        <v>242466</v>
      </c>
      <c r="P13" s="15">
        <v>266240</v>
      </c>
      <c r="Q13" s="15">
        <v>282632</v>
      </c>
      <c r="R13" s="15">
        <v>306897</v>
      </c>
      <c r="S13" s="15">
        <v>341757</v>
      </c>
      <c r="T13" s="15">
        <v>374313</v>
      </c>
      <c r="U13" s="15">
        <v>375017</v>
      </c>
      <c r="V13" s="15">
        <f>394831587/1000</f>
        <v>394832</v>
      </c>
      <c r="W13" s="15"/>
      <c r="X13" s="3">
        <v>570321229</v>
      </c>
      <c r="Y13" s="3">
        <f>X13/1000</f>
        <v>570321</v>
      </c>
      <c r="AA13" s="3">
        <v>605913064</v>
      </c>
      <c r="AB13" s="3">
        <f>AA13/1000</f>
        <v>605913</v>
      </c>
      <c r="AD13" s="3">
        <v>635151836</v>
      </c>
      <c r="AE13" s="3">
        <f>AD13/1000</f>
        <v>635152</v>
      </c>
    </row>
    <row r="14" spans="1:31" ht="12.75">
      <c r="A14" s="1" t="s">
        <v>8</v>
      </c>
      <c r="B14" s="15">
        <v>658735</v>
      </c>
      <c r="C14" s="15">
        <v>678132</v>
      </c>
      <c r="D14" s="15">
        <v>704822</v>
      </c>
      <c r="E14" s="15">
        <v>733527</v>
      </c>
      <c r="F14" s="15">
        <v>796993</v>
      </c>
      <c r="G14" s="15">
        <v>846482</v>
      </c>
      <c r="H14" s="15">
        <v>859871</v>
      </c>
      <c r="I14" s="1">
        <v>919756</v>
      </c>
      <c r="J14" s="1">
        <v>940241</v>
      </c>
      <c r="K14" s="1">
        <v>929249</v>
      </c>
      <c r="L14" s="16">
        <f>(K14-J14)*100/J14</f>
        <v>-1.2</v>
      </c>
      <c r="M14" s="17">
        <f>(K14-V14)*100/V14</f>
        <v>46.5</v>
      </c>
      <c r="N14" s="15">
        <v>364731</v>
      </c>
      <c r="O14" s="15">
        <v>392102</v>
      </c>
      <c r="P14" s="15">
        <v>413877</v>
      </c>
      <c r="Q14" s="15">
        <v>446389</v>
      </c>
      <c r="R14" s="15">
        <v>476939</v>
      </c>
      <c r="S14" s="15">
        <v>519871</v>
      </c>
      <c r="T14" s="15">
        <v>568439</v>
      </c>
      <c r="U14" s="15">
        <v>594878</v>
      </c>
      <c r="V14" s="15">
        <f>634480202/1000</f>
        <v>634480</v>
      </c>
      <c r="W14" s="15"/>
      <c r="X14" s="3">
        <v>919756294</v>
      </c>
      <c r="Y14" s="3">
        <f>X14/1000</f>
        <v>919756</v>
      </c>
      <c r="AA14" s="3">
        <v>940241326</v>
      </c>
      <c r="AB14" s="3">
        <f>AA14/1000</f>
        <v>940241</v>
      </c>
      <c r="AD14" s="3">
        <v>929248707</v>
      </c>
      <c r="AE14" s="3">
        <f>AD14/1000</f>
        <v>929249</v>
      </c>
    </row>
    <row r="15" spans="1:31" ht="12.75">
      <c r="A15" s="1" t="s">
        <v>9</v>
      </c>
      <c r="B15" s="15">
        <v>590180</v>
      </c>
      <c r="C15" s="15">
        <v>643364</v>
      </c>
      <c r="D15" s="15">
        <v>660732</v>
      </c>
      <c r="E15" s="15">
        <v>695221</v>
      </c>
      <c r="F15" s="15">
        <v>733337</v>
      </c>
      <c r="G15" s="15">
        <v>762882</v>
      </c>
      <c r="H15" s="15">
        <v>800158</v>
      </c>
      <c r="I15" s="1">
        <v>874958</v>
      </c>
      <c r="J15" s="1">
        <v>916581</v>
      </c>
      <c r="K15" s="1">
        <v>963760</v>
      </c>
      <c r="L15" s="16">
        <f>(K15-J15)*100/J15</f>
        <v>5.1</v>
      </c>
      <c r="M15" s="17">
        <f>(K15-V15)*100/V15</f>
        <v>71.1</v>
      </c>
      <c r="N15" s="15">
        <v>347664</v>
      </c>
      <c r="O15" s="15">
        <v>364606</v>
      </c>
      <c r="P15" s="15">
        <v>393111</v>
      </c>
      <c r="Q15" s="15">
        <v>416472</v>
      </c>
      <c r="R15" s="15">
        <v>463102</v>
      </c>
      <c r="S15" s="15">
        <v>502726</v>
      </c>
      <c r="T15" s="15">
        <v>530557</v>
      </c>
      <c r="U15" s="15">
        <v>543781</v>
      </c>
      <c r="V15" s="15">
        <f>563296101/1000</f>
        <v>563296</v>
      </c>
      <c r="W15" s="15"/>
      <c r="X15" s="3">
        <v>874957882</v>
      </c>
      <c r="Y15" s="3">
        <f>X15/1000</f>
        <v>874958</v>
      </c>
      <c r="AA15" s="3">
        <v>916580835</v>
      </c>
      <c r="AB15" s="3">
        <f>AA15/1000</f>
        <v>916581</v>
      </c>
      <c r="AD15" s="3">
        <v>963759846</v>
      </c>
      <c r="AE15" s="3">
        <f>AD15/1000</f>
        <v>963760</v>
      </c>
    </row>
    <row r="16" spans="1:31" ht="12.75">
      <c r="A16" s="1" t="s">
        <v>10</v>
      </c>
      <c r="B16" s="15">
        <v>68996</v>
      </c>
      <c r="C16" s="15">
        <v>74084</v>
      </c>
      <c r="D16" s="15">
        <v>79469</v>
      </c>
      <c r="E16" s="15">
        <v>85187</v>
      </c>
      <c r="F16" s="15">
        <v>91777</v>
      </c>
      <c r="G16" s="15">
        <v>99660</v>
      </c>
      <c r="H16" s="15">
        <v>107139</v>
      </c>
      <c r="I16" s="1">
        <v>116556</v>
      </c>
      <c r="J16" s="1">
        <v>127821</v>
      </c>
      <c r="K16" s="1">
        <v>139319</v>
      </c>
      <c r="L16" s="16">
        <f>(K16-J16)*100/J16</f>
        <v>9</v>
      </c>
      <c r="M16" s="17">
        <f>(K16-V16)*100/V16</f>
        <v>113.7</v>
      </c>
      <c r="N16" s="15">
        <v>29244</v>
      </c>
      <c r="O16" s="15">
        <v>31494</v>
      </c>
      <c r="P16" s="15">
        <v>33604</v>
      </c>
      <c r="Q16" s="15">
        <v>37643</v>
      </c>
      <c r="R16" s="15">
        <v>42105</v>
      </c>
      <c r="S16" s="15">
        <v>47443</v>
      </c>
      <c r="T16" s="15">
        <v>53160</v>
      </c>
      <c r="U16" s="15">
        <v>59527</v>
      </c>
      <c r="V16" s="15">
        <f>65203019/1000</f>
        <v>65203</v>
      </c>
      <c r="W16" s="15"/>
      <c r="X16" s="3">
        <v>116555943</v>
      </c>
      <c r="Y16" s="3">
        <f>X16/1000</f>
        <v>116556</v>
      </c>
      <c r="AA16" s="3">
        <v>127820525</v>
      </c>
      <c r="AB16" s="3">
        <f>AA16/1000</f>
        <v>127821</v>
      </c>
      <c r="AD16" s="3">
        <v>139318689</v>
      </c>
      <c r="AE16" s="3">
        <f>AD16/1000</f>
        <v>139319</v>
      </c>
    </row>
    <row r="17" spans="2:23" ht="12.75">
      <c r="B17" s="15"/>
      <c r="C17" s="15"/>
      <c r="D17" s="15"/>
      <c r="E17" s="15"/>
      <c r="F17" s="15"/>
      <c r="G17" s="15"/>
      <c r="H17" s="15"/>
      <c r="L17" s="16"/>
      <c r="M17" s="17"/>
      <c r="Q17" s="1"/>
      <c r="R17" s="15"/>
      <c r="S17" s="15"/>
      <c r="T17" s="15"/>
      <c r="U17" s="15"/>
      <c r="V17" s="15"/>
      <c r="W17" s="15"/>
    </row>
    <row r="18" spans="1:31" ht="12.75">
      <c r="A18" s="1" t="s">
        <v>11</v>
      </c>
      <c r="B18" s="15">
        <v>27296</v>
      </c>
      <c r="C18" s="15">
        <v>29370</v>
      </c>
      <c r="D18" s="15">
        <v>30778</v>
      </c>
      <c r="E18" s="15">
        <v>32930</v>
      </c>
      <c r="F18" s="15">
        <v>34495</v>
      </c>
      <c r="G18" s="15">
        <v>36824</v>
      </c>
      <c r="H18" s="15">
        <v>37306</v>
      </c>
      <c r="I18" s="1">
        <v>38291</v>
      </c>
      <c r="J18" s="1">
        <v>40262</v>
      </c>
      <c r="K18" s="1">
        <v>43477</v>
      </c>
      <c r="L18" s="16">
        <f>(K18-J18)*100/J18</f>
        <v>8</v>
      </c>
      <c r="M18" s="17">
        <f>(K18-V18)*100/V18</f>
        <v>70.6</v>
      </c>
      <c r="N18" s="15">
        <v>13200</v>
      </c>
      <c r="O18" s="15">
        <v>14290</v>
      </c>
      <c r="P18" s="15">
        <v>15692</v>
      </c>
      <c r="Q18" s="15">
        <v>17384</v>
      </c>
      <c r="R18" s="15">
        <v>18917</v>
      </c>
      <c r="S18" s="15">
        <v>20583</v>
      </c>
      <c r="T18" s="15">
        <v>22689</v>
      </c>
      <c r="U18" s="15">
        <v>23965</v>
      </c>
      <c r="V18" s="15">
        <f>25484058/1000</f>
        <v>25484</v>
      </c>
      <c r="W18" s="15"/>
      <c r="X18" s="3">
        <v>38290787</v>
      </c>
      <c r="Y18" s="3">
        <f>X18/1000</f>
        <v>38291</v>
      </c>
      <c r="AA18" s="3">
        <v>40262201</v>
      </c>
      <c r="AB18" s="3">
        <f>AA18/1000</f>
        <v>40262</v>
      </c>
      <c r="AD18" s="3">
        <v>43476861</v>
      </c>
      <c r="AE18" s="3">
        <f>AD18/1000</f>
        <v>43477</v>
      </c>
    </row>
    <row r="19" spans="1:31" ht="12.75">
      <c r="A19" s="1" t="s">
        <v>12</v>
      </c>
      <c r="B19" s="15">
        <v>130726</v>
      </c>
      <c r="C19" s="15">
        <v>143102</v>
      </c>
      <c r="D19" s="15">
        <v>147472</v>
      </c>
      <c r="E19" s="15">
        <v>154711</v>
      </c>
      <c r="F19" s="15">
        <v>164890</v>
      </c>
      <c r="G19" s="15">
        <v>176517</v>
      </c>
      <c r="H19" s="15">
        <v>184028</v>
      </c>
      <c r="I19" s="1">
        <v>195968</v>
      </c>
      <c r="J19" s="1">
        <v>207135</v>
      </c>
      <c r="K19" s="1">
        <v>223104</v>
      </c>
      <c r="L19" s="16">
        <f>(K19-J19)*100/J19</f>
        <v>7.7</v>
      </c>
      <c r="M19" s="17">
        <f>(K19-V19)*100/V19</f>
        <v>82.4</v>
      </c>
      <c r="N19" s="15">
        <v>58701</v>
      </c>
      <c r="O19" s="15">
        <v>63599</v>
      </c>
      <c r="P19" s="15">
        <v>69351</v>
      </c>
      <c r="Q19" s="15">
        <v>78655</v>
      </c>
      <c r="R19" s="15">
        <v>89068</v>
      </c>
      <c r="S19" s="15">
        <v>98450</v>
      </c>
      <c r="T19" s="15">
        <v>109672</v>
      </c>
      <c r="U19" s="15">
        <v>115356</v>
      </c>
      <c r="V19" s="15">
        <f>122294498/1000</f>
        <v>122294</v>
      </c>
      <c r="W19" s="15"/>
      <c r="X19" s="3">
        <v>195967598</v>
      </c>
      <c r="Y19" s="3">
        <f>X19/1000</f>
        <v>195968</v>
      </c>
      <c r="AA19" s="3">
        <v>207134889</v>
      </c>
      <c r="AB19" s="3">
        <f>AA19/1000</f>
        <v>207135</v>
      </c>
      <c r="AD19" s="3">
        <v>223103763</v>
      </c>
      <c r="AE19" s="3">
        <f>AD19/1000</f>
        <v>223104</v>
      </c>
    </row>
    <row r="20" spans="1:31" ht="12.75">
      <c r="A20" s="1" t="s">
        <v>13</v>
      </c>
      <c r="B20" s="15">
        <v>74118</v>
      </c>
      <c r="C20" s="15">
        <v>79214</v>
      </c>
      <c r="D20" s="15">
        <v>81961</v>
      </c>
      <c r="E20" s="15">
        <v>85699</v>
      </c>
      <c r="F20" s="15">
        <v>91123</v>
      </c>
      <c r="G20" s="15">
        <v>98374</v>
      </c>
      <c r="H20" s="15">
        <v>102839</v>
      </c>
      <c r="I20" s="1">
        <v>111310</v>
      </c>
      <c r="J20" s="1">
        <v>117833</v>
      </c>
      <c r="K20" s="1">
        <v>126888</v>
      </c>
      <c r="L20" s="16">
        <f>(K20-J20)*100/J20</f>
        <v>7.7</v>
      </c>
      <c r="M20" s="17">
        <f>(K20-V20)*100/V20</f>
        <v>84.7</v>
      </c>
      <c r="N20" s="15">
        <v>36853</v>
      </c>
      <c r="O20" s="15">
        <v>39228</v>
      </c>
      <c r="P20" s="15">
        <v>42895</v>
      </c>
      <c r="Q20" s="15">
        <v>46438</v>
      </c>
      <c r="R20" s="15">
        <v>51269</v>
      </c>
      <c r="S20" s="15">
        <v>57387</v>
      </c>
      <c r="T20" s="15">
        <v>62796</v>
      </c>
      <c r="U20" s="15">
        <v>66949</v>
      </c>
      <c r="V20" s="15">
        <f>68698870/1000</f>
        <v>68699</v>
      </c>
      <c r="W20" s="15"/>
      <c r="X20" s="3">
        <v>111310489</v>
      </c>
      <c r="Y20" s="3">
        <f>X20/1000</f>
        <v>111310</v>
      </c>
      <c r="AA20" s="3">
        <v>117832770</v>
      </c>
      <c r="AB20" s="3">
        <f>AA20/1000</f>
        <v>117833</v>
      </c>
      <c r="AD20" s="3">
        <v>126887944</v>
      </c>
      <c r="AE20" s="3">
        <f>AD20/1000</f>
        <v>126888</v>
      </c>
    </row>
    <row r="21" spans="1:31" ht="12.75">
      <c r="A21" s="1" t="s">
        <v>14</v>
      </c>
      <c r="B21" s="15">
        <v>115495</v>
      </c>
      <c r="C21" s="15">
        <v>122848</v>
      </c>
      <c r="D21" s="15">
        <v>125269</v>
      </c>
      <c r="E21" s="15">
        <v>130949</v>
      </c>
      <c r="F21" s="15">
        <v>140938</v>
      </c>
      <c r="G21" s="15">
        <v>147233</v>
      </c>
      <c r="H21" s="15">
        <v>158305</v>
      </c>
      <c r="I21" s="1">
        <v>167431</v>
      </c>
      <c r="J21" s="1">
        <v>179349</v>
      </c>
      <c r="K21" s="1">
        <v>194528</v>
      </c>
      <c r="L21" s="16">
        <f>(K21-J21)*100/J21</f>
        <v>8.5</v>
      </c>
      <c r="M21" s="17">
        <f>(K21-V21)*100/V21</f>
        <v>77.7</v>
      </c>
      <c r="N21" s="15">
        <v>53594</v>
      </c>
      <c r="O21" s="15">
        <v>59192</v>
      </c>
      <c r="P21" s="15">
        <v>64594</v>
      </c>
      <c r="Q21" s="15">
        <v>70363</v>
      </c>
      <c r="R21" s="15">
        <v>78084</v>
      </c>
      <c r="S21" s="15">
        <v>90253</v>
      </c>
      <c r="T21" s="15">
        <v>98065</v>
      </c>
      <c r="U21" s="15">
        <v>103805</v>
      </c>
      <c r="V21" s="15">
        <f>109492360/1000</f>
        <v>109492</v>
      </c>
      <c r="W21" s="15"/>
      <c r="X21" s="3">
        <v>167431305</v>
      </c>
      <c r="Y21" s="3">
        <f>X21/1000</f>
        <v>167431</v>
      </c>
      <c r="AA21" s="3">
        <v>179349446</v>
      </c>
      <c r="AB21" s="3">
        <f>AA21/1000</f>
        <v>179349</v>
      </c>
      <c r="AD21" s="3">
        <v>194527510</v>
      </c>
      <c r="AE21" s="3">
        <f>AD21/1000</f>
        <v>194528</v>
      </c>
    </row>
    <row r="22" spans="1:31" ht="12.75">
      <c r="A22" s="1" t="s">
        <v>15</v>
      </c>
      <c r="B22" s="15">
        <v>28762</v>
      </c>
      <c r="C22" s="15">
        <v>30942</v>
      </c>
      <c r="D22" s="15">
        <v>31637</v>
      </c>
      <c r="E22" s="15">
        <v>33570</v>
      </c>
      <c r="F22" s="15">
        <v>35145</v>
      </c>
      <c r="G22" s="15">
        <v>36158</v>
      </c>
      <c r="H22" s="15">
        <v>37886</v>
      </c>
      <c r="I22" s="1">
        <v>39987</v>
      </c>
      <c r="J22" s="1">
        <v>39809</v>
      </c>
      <c r="K22" s="1">
        <v>41614</v>
      </c>
      <c r="L22" s="16">
        <f>(K22-J22)*100/J22</f>
        <v>4.5</v>
      </c>
      <c r="M22" s="17">
        <f>(K22-V22)*100/V22</f>
        <v>54.5</v>
      </c>
      <c r="N22" s="15">
        <v>17223</v>
      </c>
      <c r="O22" s="15">
        <v>18557</v>
      </c>
      <c r="P22" s="15">
        <v>19284</v>
      </c>
      <c r="Q22" s="15">
        <v>20539</v>
      </c>
      <c r="R22" s="15">
        <v>22379</v>
      </c>
      <c r="S22" s="15">
        <v>24707</v>
      </c>
      <c r="T22" s="15">
        <v>26005</v>
      </c>
      <c r="U22" s="15">
        <v>26331</v>
      </c>
      <c r="V22" s="15">
        <f>26929614/1000</f>
        <v>26930</v>
      </c>
      <c r="W22" s="15"/>
      <c r="X22" s="3">
        <v>39987149</v>
      </c>
      <c r="Y22" s="3">
        <f>X22/1000</f>
        <v>39987</v>
      </c>
      <c r="AA22" s="3">
        <v>39809349</v>
      </c>
      <c r="AB22" s="3">
        <f>AA22/1000</f>
        <v>39809</v>
      </c>
      <c r="AD22" s="3">
        <v>41614130</v>
      </c>
      <c r="AE22" s="3">
        <f>AD22/1000</f>
        <v>41614</v>
      </c>
    </row>
    <row r="23" spans="2:23" ht="12.75">
      <c r="B23" s="15"/>
      <c r="C23" s="15"/>
      <c r="D23" s="15"/>
      <c r="E23" s="15"/>
      <c r="F23" s="15"/>
      <c r="G23" s="15"/>
      <c r="H23" s="15"/>
      <c r="L23" s="16"/>
      <c r="M23" s="17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31" ht="12.75">
      <c r="A24" s="1" t="s">
        <v>16</v>
      </c>
      <c r="B24" s="15">
        <v>166137</v>
      </c>
      <c r="C24" s="15">
        <v>180856</v>
      </c>
      <c r="D24" s="15">
        <v>189782</v>
      </c>
      <c r="E24" s="15">
        <v>199618</v>
      </c>
      <c r="F24" s="15">
        <v>212892</v>
      </c>
      <c r="G24" s="15">
        <v>224989</v>
      </c>
      <c r="H24" s="15">
        <v>238788</v>
      </c>
      <c r="I24" s="1">
        <v>259886</v>
      </c>
      <c r="J24" s="1">
        <v>279707</v>
      </c>
      <c r="K24" s="1">
        <v>301771</v>
      </c>
      <c r="L24" s="16">
        <f>(K24-J24)*100/J24</f>
        <v>7.9</v>
      </c>
      <c r="M24" s="17">
        <f>(K24-V24)*100/V24</f>
        <v>95.1</v>
      </c>
      <c r="N24" s="15">
        <v>75384</v>
      </c>
      <c r="O24" s="15">
        <v>81537</v>
      </c>
      <c r="P24" s="15">
        <v>90178</v>
      </c>
      <c r="Q24" s="15">
        <v>99880</v>
      </c>
      <c r="R24" s="15">
        <v>112533</v>
      </c>
      <c r="S24" s="15">
        <v>126428</v>
      </c>
      <c r="T24" s="15">
        <v>139187</v>
      </c>
      <c r="U24" s="15">
        <v>146964</v>
      </c>
      <c r="V24" s="15">
        <f>154712888/1000</f>
        <v>154713</v>
      </c>
      <c r="W24" s="15"/>
      <c r="X24" s="3">
        <v>259886317</v>
      </c>
      <c r="Y24" s="3">
        <f>X24/1000</f>
        <v>259886</v>
      </c>
      <c r="AA24" s="3">
        <v>279706828</v>
      </c>
      <c r="AB24" s="3">
        <f>AA24/1000</f>
        <v>279707</v>
      </c>
      <c r="AD24" s="3">
        <v>301771067</v>
      </c>
      <c r="AE24" s="3">
        <f>AD24/1000</f>
        <v>301771</v>
      </c>
    </row>
    <row r="25" spans="1:31" ht="12.75">
      <c r="A25" s="1" t="s">
        <v>17</v>
      </c>
      <c r="B25" s="15">
        <v>29932</v>
      </c>
      <c r="C25" s="15">
        <v>30691</v>
      </c>
      <c r="D25" s="15">
        <v>31873</v>
      </c>
      <c r="E25" s="15">
        <v>33171</v>
      </c>
      <c r="F25" s="15">
        <v>34351</v>
      </c>
      <c r="G25" s="15">
        <v>36383</v>
      </c>
      <c r="H25" s="15">
        <v>37241</v>
      </c>
      <c r="I25" s="1">
        <v>38977</v>
      </c>
      <c r="J25" s="1">
        <v>40406</v>
      </c>
      <c r="K25" s="1">
        <v>42314</v>
      </c>
      <c r="L25" s="16">
        <f>(K25-J25)*100/J25</f>
        <v>4.7</v>
      </c>
      <c r="M25" s="17">
        <f>(K25-V25)*100/V25</f>
        <v>49.1</v>
      </c>
      <c r="N25" s="15">
        <v>16300</v>
      </c>
      <c r="O25" s="15">
        <v>18239</v>
      </c>
      <c r="P25" s="15">
        <v>19317</v>
      </c>
      <c r="Q25" s="15">
        <v>20941</v>
      </c>
      <c r="R25" s="15">
        <v>22889</v>
      </c>
      <c r="S25" s="15">
        <v>25003</v>
      </c>
      <c r="T25" s="15">
        <v>28358</v>
      </c>
      <c r="U25" s="15">
        <v>27211</v>
      </c>
      <c r="V25" s="15">
        <f>28378866/1000</f>
        <v>28379</v>
      </c>
      <c r="W25" s="15"/>
      <c r="X25" s="3">
        <v>38976929</v>
      </c>
      <c r="Y25" s="3">
        <f>X25/1000</f>
        <v>38977</v>
      </c>
      <c r="AA25" s="3">
        <v>40406322</v>
      </c>
      <c r="AB25" s="3">
        <f>AA25/1000</f>
        <v>40406</v>
      </c>
      <c r="AD25" s="3">
        <v>42313668</v>
      </c>
      <c r="AE25" s="3">
        <f>AD25/1000</f>
        <v>42314</v>
      </c>
    </row>
    <row r="26" spans="1:31" ht="12.75">
      <c r="A26" s="1" t="s">
        <v>18</v>
      </c>
      <c r="B26" s="15">
        <v>185580</v>
      </c>
      <c r="C26" s="15">
        <v>198372</v>
      </c>
      <c r="D26" s="15">
        <v>210676</v>
      </c>
      <c r="E26" s="15">
        <v>220112</v>
      </c>
      <c r="F26" s="15">
        <v>232231</v>
      </c>
      <c r="G26" s="15">
        <v>241889</v>
      </c>
      <c r="H26" s="15">
        <v>252011</v>
      </c>
      <c r="I26" s="1">
        <v>271523</v>
      </c>
      <c r="J26" s="1">
        <v>288793</v>
      </c>
      <c r="K26" s="1">
        <v>305218</v>
      </c>
      <c r="L26" s="16">
        <f>(K26-J26)*100/J26</f>
        <v>5.7</v>
      </c>
      <c r="M26" s="17">
        <f>(K26-V26)*100/V26</f>
        <v>75.7</v>
      </c>
      <c r="N26" s="15">
        <v>87184</v>
      </c>
      <c r="O26" s="15">
        <v>93262</v>
      </c>
      <c r="P26" s="15">
        <v>101626</v>
      </c>
      <c r="Q26" s="15">
        <v>110388</v>
      </c>
      <c r="R26" s="15">
        <v>121661</v>
      </c>
      <c r="S26" s="15">
        <v>135641</v>
      </c>
      <c r="T26" s="15">
        <v>151025</v>
      </c>
      <c r="U26" s="15">
        <v>160235</v>
      </c>
      <c r="V26" s="15">
        <f>173681021/1000</f>
        <v>173681</v>
      </c>
      <c r="W26" s="15"/>
      <c r="X26" s="3">
        <v>271522776</v>
      </c>
      <c r="Y26" s="3">
        <f>X26/1000</f>
        <v>271523</v>
      </c>
      <c r="AA26" s="3">
        <v>288792840</v>
      </c>
      <c r="AB26" s="3">
        <f>AA26/1000</f>
        <v>288793</v>
      </c>
      <c r="AD26" s="3">
        <v>305217930</v>
      </c>
      <c r="AE26" s="3">
        <f>AD26/1000</f>
        <v>305218</v>
      </c>
    </row>
    <row r="27" spans="1:31" ht="12.75">
      <c r="A27" s="1" t="s">
        <v>19</v>
      </c>
      <c r="B27" s="15">
        <v>229112</v>
      </c>
      <c r="C27" s="15">
        <v>247525</v>
      </c>
      <c r="D27" s="15">
        <v>260197</v>
      </c>
      <c r="E27" s="15">
        <v>270201</v>
      </c>
      <c r="F27" s="15">
        <v>287508</v>
      </c>
      <c r="G27" s="15">
        <v>312913</v>
      </c>
      <c r="H27" s="15">
        <v>336551</v>
      </c>
      <c r="I27" s="1">
        <v>405466</v>
      </c>
      <c r="J27" s="1">
        <v>406996</v>
      </c>
      <c r="K27" s="1">
        <v>438442</v>
      </c>
      <c r="L27" s="16">
        <f>(K27-J27)*100/J27</f>
        <v>7.7</v>
      </c>
      <c r="M27" s="17">
        <f>(K27-V27)*100/V27</f>
        <v>104.6</v>
      </c>
      <c r="N27" s="15">
        <v>100203</v>
      </c>
      <c r="O27" s="15">
        <v>109561</v>
      </c>
      <c r="P27" s="15">
        <v>124154</v>
      </c>
      <c r="Q27" s="15">
        <v>136741</v>
      </c>
      <c r="R27" s="15">
        <v>156259</v>
      </c>
      <c r="S27" s="15">
        <v>178254</v>
      </c>
      <c r="T27" s="15">
        <v>205336</v>
      </c>
      <c r="U27" s="15">
        <v>202147</v>
      </c>
      <c r="V27" s="15">
        <f>214253511/1000</f>
        <v>214254</v>
      </c>
      <c r="W27" s="15"/>
      <c r="X27" s="3">
        <v>405466159</v>
      </c>
      <c r="Y27" s="3">
        <f>X27/1000</f>
        <v>405466</v>
      </c>
      <c r="AA27" s="3">
        <v>406995706</v>
      </c>
      <c r="AB27" s="3">
        <f>AA27/1000</f>
        <v>406996</v>
      </c>
      <c r="AD27" s="3">
        <v>438441855</v>
      </c>
      <c r="AE27" s="3">
        <f>AD27/1000</f>
        <v>438442</v>
      </c>
    </row>
    <row r="28" spans="1:31" ht="12.75">
      <c r="A28" s="1" t="s">
        <v>20</v>
      </c>
      <c r="B28" s="15">
        <v>17125</v>
      </c>
      <c r="C28" s="15">
        <v>18095</v>
      </c>
      <c r="D28" s="15">
        <v>18854</v>
      </c>
      <c r="E28" s="15">
        <v>19521</v>
      </c>
      <c r="F28" s="15">
        <v>20739</v>
      </c>
      <c r="G28" s="15">
        <v>21890</v>
      </c>
      <c r="H28" s="15">
        <v>22694</v>
      </c>
      <c r="I28" s="1">
        <v>24240</v>
      </c>
      <c r="J28" s="1">
        <v>26255</v>
      </c>
      <c r="K28" s="1">
        <v>26945</v>
      </c>
      <c r="L28" s="16">
        <f>(K28-J28)*100/J28</f>
        <v>2.6</v>
      </c>
      <c r="M28" s="17">
        <f>(K28-V28)*100/V28</f>
        <v>71</v>
      </c>
      <c r="N28" s="15">
        <v>8786</v>
      </c>
      <c r="O28" s="15">
        <v>9524</v>
      </c>
      <c r="P28" s="15">
        <v>10455</v>
      </c>
      <c r="Q28" s="15">
        <v>10985</v>
      </c>
      <c r="R28" s="15">
        <v>12817</v>
      </c>
      <c r="S28" s="15">
        <v>14191</v>
      </c>
      <c r="T28" s="15">
        <v>14989</v>
      </c>
      <c r="U28" s="15">
        <v>15127</v>
      </c>
      <c r="V28" s="15">
        <f>15761349/1000</f>
        <v>15761</v>
      </c>
      <c r="W28" s="15"/>
      <c r="X28" s="3">
        <v>24240126</v>
      </c>
      <c r="Y28" s="3">
        <f>X28/1000</f>
        <v>24240</v>
      </c>
      <c r="AA28" s="3">
        <v>26254730</v>
      </c>
      <c r="AB28" s="3">
        <f>AA28/1000</f>
        <v>26255</v>
      </c>
      <c r="AD28" s="3">
        <v>26944565</v>
      </c>
      <c r="AE28" s="3">
        <f>AD28/1000</f>
        <v>26945</v>
      </c>
    </row>
    <row r="29" spans="2:23" ht="12.75">
      <c r="B29" s="15"/>
      <c r="C29" s="15"/>
      <c r="D29" s="15"/>
      <c r="E29" s="15"/>
      <c r="F29" s="15"/>
      <c r="G29" s="15"/>
      <c r="H29" s="15"/>
      <c r="L29" s="16"/>
      <c r="M29" s="17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31" ht="12.75">
      <c r="A30" s="1" t="s">
        <v>21</v>
      </c>
      <c r="B30" s="15">
        <v>853939</v>
      </c>
      <c r="C30" s="15">
        <v>899273</v>
      </c>
      <c r="D30" s="15">
        <v>945752</v>
      </c>
      <c r="E30" s="15">
        <v>987884</v>
      </c>
      <c r="F30" s="15">
        <v>1036255</v>
      </c>
      <c r="G30" s="15">
        <v>1096476</v>
      </c>
      <c r="H30" s="15">
        <v>1164850</v>
      </c>
      <c r="I30" s="1">
        <v>1269483</v>
      </c>
      <c r="J30" s="1">
        <v>1373236</v>
      </c>
      <c r="K30" s="1">
        <v>1452924</v>
      </c>
      <c r="L30" s="16">
        <f>(K30-J30)*100/J30</f>
        <v>5.8</v>
      </c>
      <c r="M30" s="17">
        <f>(K30-V30)*100/V30</f>
        <v>76.6</v>
      </c>
      <c r="N30" s="15">
        <v>451095</v>
      </c>
      <c r="O30" s="15">
        <v>489309</v>
      </c>
      <c r="P30" s="15">
        <v>535242</v>
      </c>
      <c r="Q30" s="15">
        <v>586065</v>
      </c>
      <c r="R30" s="15">
        <v>649792</v>
      </c>
      <c r="S30" s="15">
        <v>719405</v>
      </c>
      <c r="T30" s="15">
        <v>786709</v>
      </c>
      <c r="U30" s="15">
        <v>795873</v>
      </c>
      <c r="V30" s="15">
        <f>822642892/1000</f>
        <v>822643</v>
      </c>
      <c r="W30" s="15"/>
      <c r="X30" s="3">
        <v>1269483383</v>
      </c>
      <c r="Y30" s="3">
        <f>X30/1000</f>
        <v>1269483</v>
      </c>
      <c r="AA30" s="3">
        <v>1373236071</v>
      </c>
      <c r="AB30" s="3">
        <f>AA30/1000</f>
        <v>1373236</v>
      </c>
      <c r="AD30" s="3">
        <v>1452923728</v>
      </c>
      <c r="AE30" s="3">
        <f>AD30/1000</f>
        <v>1452924</v>
      </c>
    </row>
    <row r="31" spans="1:31" ht="12.75">
      <c r="A31" s="1" t="s">
        <v>22</v>
      </c>
      <c r="B31" s="15">
        <v>711713</v>
      </c>
      <c r="C31" s="15">
        <v>761421</v>
      </c>
      <c r="D31" s="15">
        <v>788055</v>
      </c>
      <c r="E31" s="15">
        <v>824222</v>
      </c>
      <c r="F31" s="15">
        <v>876798</v>
      </c>
      <c r="G31" s="15">
        <v>925086</v>
      </c>
      <c r="H31" s="15">
        <v>972642</v>
      </c>
      <c r="I31" s="1">
        <v>1030545</v>
      </c>
      <c r="J31" s="1">
        <v>1084505</v>
      </c>
      <c r="K31" s="1">
        <v>1174967</v>
      </c>
      <c r="L31" s="16">
        <f>(K31-J31)*100/J31</f>
        <v>8.3</v>
      </c>
      <c r="M31" s="17">
        <f>(K31-V31)*100/V31</f>
        <v>73.9</v>
      </c>
      <c r="N31" s="15">
        <v>377229</v>
      </c>
      <c r="O31" s="15">
        <v>409799</v>
      </c>
      <c r="P31" s="15">
        <v>448356</v>
      </c>
      <c r="Q31" s="15">
        <v>500893</v>
      </c>
      <c r="R31" s="15">
        <v>538545</v>
      </c>
      <c r="S31" s="15">
        <v>581630</v>
      </c>
      <c r="T31" s="15">
        <v>633729</v>
      </c>
      <c r="U31" s="15">
        <v>634536</v>
      </c>
      <c r="V31" s="15">
        <f>675680520/1000</f>
        <v>675681</v>
      </c>
      <c r="W31" s="15"/>
      <c r="X31" s="3">
        <v>1030545286</v>
      </c>
      <c r="Y31" s="3">
        <f>X31/1000</f>
        <v>1030545</v>
      </c>
      <c r="AA31" s="3">
        <v>1084505309</v>
      </c>
      <c r="AB31" s="3">
        <f>AA31/1000</f>
        <v>1084505</v>
      </c>
      <c r="AD31" s="3">
        <v>1174967272</v>
      </c>
      <c r="AE31" s="3">
        <f>AD31/1000</f>
        <v>1174967</v>
      </c>
    </row>
    <row r="32" spans="1:31" ht="12.75">
      <c r="A32" s="1" t="s">
        <v>23</v>
      </c>
      <c r="B32" s="15">
        <v>34589</v>
      </c>
      <c r="C32" s="15">
        <v>36420</v>
      </c>
      <c r="D32" s="15">
        <v>37577</v>
      </c>
      <c r="E32" s="15">
        <v>40009</v>
      </c>
      <c r="F32" s="15">
        <v>41729</v>
      </c>
      <c r="G32" s="15">
        <v>46117</v>
      </c>
      <c r="H32" s="15">
        <v>48358</v>
      </c>
      <c r="I32" s="1">
        <v>52384</v>
      </c>
      <c r="J32" s="1">
        <v>56915</v>
      </c>
      <c r="K32" s="1">
        <v>60334</v>
      </c>
      <c r="L32" s="16">
        <f>(K32-J32)*100/J32</f>
        <v>6</v>
      </c>
      <c r="M32" s="17">
        <f>(K32-V32)*100/V32</f>
        <v>84.8</v>
      </c>
      <c r="N32" s="15">
        <v>15658</v>
      </c>
      <c r="O32" s="15">
        <v>18457</v>
      </c>
      <c r="P32" s="15">
        <v>20513</v>
      </c>
      <c r="Q32" s="15">
        <v>22155</v>
      </c>
      <c r="R32" s="15">
        <v>23730</v>
      </c>
      <c r="S32" s="15">
        <v>26520</v>
      </c>
      <c r="T32" s="15">
        <v>29915</v>
      </c>
      <c r="U32" s="15">
        <v>32299</v>
      </c>
      <c r="V32" s="15">
        <f>32655484/1000</f>
        <v>32655</v>
      </c>
      <c r="W32" s="15"/>
      <c r="X32" s="3">
        <v>52384264</v>
      </c>
      <c r="Y32" s="3">
        <f>X32/1000</f>
        <v>52384</v>
      </c>
      <c r="AA32" s="3">
        <v>56914517</v>
      </c>
      <c r="AB32" s="3">
        <f>AA32/1000</f>
        <v>56915</v>
      </c>
      <c r="AD32" s="3">
        <v>60334033</v>
      </c>
      <c r="AE32" s="3">
        <f>AD32/1000</f>
        <v>60334</v>
      </c>
    </row>
    <row r="33" spans="1:31" ht="12.75">
      <c r="A33" s="1" t="s">
        <v>24</v>
      </c>
      <c r="B33" s="15">
        <v>75984</v>
      </c>
      <c r="C33" s="15">
        <v>80578</v>
      </c>
      <c r="D33" s="15">
        <v>81446</v>
      </c>
      <c r="E33" s="15">
        <v>87200</v>
      </c>
      <c r="F33" s="15">
        <v>91633</v>
      </c>
      <c r="G33" s="15">
        <v>96785</v>
      </c>
      <c r="H33" s="15">
        <v>102952</v>
      </c>
      <c r="I33" s="1">
        <v>110571</v>
      </c>
      <c r="J33" s="1">
        <v>119941</v>
      </c>
      <c r="K33" s="1">
        <v>126104</v>
      </c>
      <c r="L33" s="16">
        <f>(K33-J33)*100/J33</f>
        <v>5.1</v>
      </c>
      <c r="M33" s="17">
        <f>(K33-V33)*100/V33</f>
        <v>72.1</v>
      </c>
      <c r="N33" s="15">
        <v>37214</v>
      </c>
      <c r="O33" s="15">
        <v>40446</v>
      </c>
      <c r="P33" s="15">
        <v>44576</v>
      </c>
      <c r="Q33" s="15">
        <v>49553</v>
      </c>
      <c r="R33" s="15">
        <v>53583</v>
      </c>
      <c r="S33" s="15">
        <v>58369</v>
      </c>
      <c r="T33" s="15">
        <v>63845</v>
      </c>
      <c r="U33" s="15">
        <v>71320</v>
      </c>
      <c r="V33" s="15">
        <f>73289900/1000</f>
        <v>73290</v>
      </c>
      <c r="W33" s="15"/>
      <c r="X33" s="3">
        <v>110571476</v>
      </c>
      <c r="Y33" s="3">
        <f>X33/1000</f>
        <v>110571</v>
      </c>
      <c r="AA33" s="3">
        <v>119941028</v>
      </c>
      <c r="AB33" s="3">
        <f>AA33/1000</f>
        <v>119941</v>
      </c>
      <c r="AD33" s="3">
        <v>126103888</v>
      </c>
      <c r="AE33" s="3">
        <f>AD33/1000</f>
        <v>126104</v>
      </c>
    </row>
    <row r="34" spans="1:31" ht="12.75">
      <c r="A34" s="1" t="s">
        <v>25</v>
      </c>
      <c r="B34" s="15">
        <v>19936</v>
      </c>
      <c r="C34" s="15">
        <v>20966</v>
      </c>
      <c r="D34" s="15">
        <v>21879</v>
      </c>
      <c r="E34" s="15">
        <v>21775</v>
      </c>
      <c r="F34" s="15">
        <v>23881</v>
      </c>
      <c r="G34" s="15">
        <v>24388</v>
      </c>
      <c r="H34" s="15">
        <v>25102</v>
      </c>
      <c r="I34" s="1">
        <v>26248</v>
      </c>
      <c r="J34" s="1">
        <v>27406</v>
      </c>
      <c r="K34" s="1">
        <v>28751</v>
      </c>
      <c r="L34" s="16">
        <f>(K34-J34)*100/J34</f>
        <v>4.9</v>
      </c>
      <c r="M34" s="17">
        <f>(K34-V34)*100/V34</f>
        <v>54</v>
      </c>
      <c r="N34" s="15">
        <v>10681</v>
      </c>
      <c r="O34" s="15">
        <v>11539</v>
      </c>
      <c r="P34" s="15">
        <v>12404</v>
      </c>
      <c r="Q34" s="15">
        <v>13369</v>
      </c>
      <c r="R34" s="15">
        <v>15015</v>
      </c>
      <c r="S34" s="15">
        <v>16222</v>
      </c>
      <c r="T34" s="15">
        <v>17441</v>
      </c>
      <c r="U34" s="15">
        <v>17675</v>
      </c>
      <c r="V34" s="15">
        <f>18672234/1000</f>
        <v>18672</v>
      </c>
      <c r="W34" s="15"/>
      <c r="X34" s="3">
        <v>26248393</v>
      </c>
      <c r="Y34" s="3">
        <f>X34/1000</f>
        <v>26248</v>
      </c>
      <c r="AA34" s="3">
        <v>27406363</v>
      </c>
      <c r="AB34" s="3">
        <f>AA34/1000</f>
        <v>27406</v>
      </c>
      <c r="AD34" s="3">
        <v>28751327</v>
      </c>
      <c r="AE34" s="3">
        <f>AD34/1000</f>
        <v>28751</v>
      </c>
    </row>
    <row r="35" spans="2:23" ht="12.75">
      <c r="B35" s="15"/>
      <c r="C35" s="15"/>
      <c r="D35" s="15"/>
      <c r="E35" s="15"/>
      <c r="F35" s="15"/>
      <c r="G35" s="15"/>
      <c r="H35" s="15"/>
      <c r="L35" s="16"/>
      <c r="M35" s="17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31" ht="12.75">
      <c r="A36" s="1" t="s">
        <v>26</v>
      </c>
      <c r="B36" s="15">
        <v>24317</v>
      </c>
      <c r="C36" s="15">
        <v>26254</v>
      </c>
      <c r="D36" s="15">
        <v>27215</v>
      </c>
      <c r="E36" s="15">
        <v>27114</v>
      </c>
      <c r="F36" s="15">
        <v>27765</v>
      </c>
      <c r="G36" s="15">
        <v>29900</v>
      </c>
      <c r="H36" s="15">
        <v>31143</v>
      </c>
      <c r="I36" s="1">
        <v>33273</v>
      </c>
      <c r="J36" s="1">
        <v>35814</v>
      </c>
      <c r="K36" s="1">
        <v>37994</v>
      </c>
      <c r="L36" s="16">
        <f>(K36-J36)*100/J36</f>
        <v>6.1</v>
      </c>
      <c r="M36" s="17">
        <f>(K36-V36)*100/V36</f>
        <v>71.5</v>
      </c>
      <c r="N36" s="15">
        <v>12772</v>
      </c>
      <c r="O36" s="15">
        <v>13595</v>
      </c>
      <c r="P36" s="15">
        <v>14223</v>
      </c>
      <c r="Q36" s="15">
        <v>16325</v>
      </c>
      <c r="R36" s="15">
        <v>17771</v>
      </c>
      <c r="S36" s="15">
        <v>20709</v>
      </c>
      <c r="T36" s="15">
        <v>21642</v>
      </c>
      <c r="U36" s="15">
        <v>21550</v>
      </c>
      <c r="V36" s="15">
        <f>22152464/1000</f>
        <v>22152</v>
      </c>
      <c r="W36" s="15"/>
      <c r="X36" s="3">
        <v>33272922</v>
      </c>
      <c r="Y36" s="3">
        <f>X36/1000</f>
        <v>33273</v>
      </c>
      <c r="AA36" s="3">
        <v>35813696</v>
      </c>
      <c r="AB36" s="3">
        <f>AA36/1000</f>
        <v>35814</v>
      </c>
      <c r="AD36" s="3">
        <v>37993615</v>
      </c>
      <c r="AE36" s="3">
        <f>AD36/1000</f>
        <v>37994</v>
      </c>
    </row>
    <row r="37" spans="1:31" ht="12.75">
      <c r="A37" s="1" t="s">
        <v>27</v>
      </c>
      <c r="B37" s="15">
        <v>104445</v>
      </c>
      <c r="C37" s="15">
        <v>110155</v>
      </c>
      <c r="D37" s="15">
        <v>112839</v>
      </c>
      <c r="E37" s="15">
        <v>116065</v>
      </c>
      <c r="F37" s="15">
        <v>122267</v>
      </c>
      <c r="G37" s="15">
        <v>129850</v>
      </c>
      <c r="H37" s="15">
        <v>136679</v>
      </c>
      <c r="I37" s="1">
        <v>142372</v>
      </c>
      <c r="J37" s="1">
        <v>152087</v>
      </c>
      <c r="K37" s="1">
        <v>159240</v>
      </c>
      <c r="L37" s="16">
        <f>(K37-J37)*100/J37</f>
        <v>4.7</v>
      </c>
      <c r="M37" s="17">
        <f>(K37-V37)*100/V37</f>
        <v>62.9</v>
      </c>
      <c r="N37" s="15">
        <v>59424</v>
      </c>
      <c r="O37" s="15">
        <v>64757</v>
      </c>
      <c r="P37" s="15">
        <v>68434</v>
      </c>
      <c r="Q37" s="15">
        <v>74127</v>
      </c>
      <c r="R37" s="15">
        <v>79718</v>
      </c>
      <c r="S37" s="15">
        <v>85468</v>
      </c>
      <c r="T37" s="15">
        <v>91813</v>
      </c>
      <c r="U37" s="15">
        <v>96112</v>
      </c>
      <c r="V37" s="15">
        <f>97725056/1000</f>
        <v>97725</v>
      </c>
      <c r="W37" s="15"/>
      <c r="X37" s="3">
        <v>142371845</v>
      </c>
      <c r="Y37" s="3">
        <f>X37/1000</f>
        <v>142372</v>
      </c>
      <c r="AA37" s="3">
        <v>152086831</v>
      </c>
      <c r="AB37" s="3">
        <f>AA37/1000</f>
        <v>152087</v>
      </c>
      <c r="AD37" s="3">
        <v>159239920</v>
      </c>
      <c r="AE37" s="3">
        <f>AD37/1000</f>
        <v>159240</v>
      </c>
    </row>
    <row r="38" spans="1:31" ht="12.75">
      <c r="A38" s="1" t="s">
        <v>28</v>
      </c>
      <c r="B38" s="15">
        <v>70801</v>
      </c>
      <c r="C38" s="15">
        <v>75223</v>
      </c>
      <c r="D38" s="15">
        <v>75715</v>
      </c>
      <c r="E38" s="15">
        <v>81014</v>
      </c>
      <c r="F38" s="15">
        <v>86121</v>
      </c>
      <c r="G38" s="15">
        <v>93366</v>
      </c>
      <c r="H38" s="15">
        <v>98530</v>
      </c>
      <c r="I38" s="1">
        <v>106373</v>
      </c>
      <c r="J38" s="1">
        <v>110791</v>
      </c>
      <c r="K38" s="1">
        <v>117576</v>
      </c>
      <c r="L38" s="16">
        <f>(K38-J38)*100/J38</f>
        <v>6.1</v>
      </c>
      <c r="M38" s="17">
        <f>(K38-V38)*100/V38</f>
        <v>72.5</v>
      </c>
      <c r="N38" s="15">
        <v>34871</v>
      </c>
      <c r="O38" s="15">
        <v>39012</v>
      </c>
      <c r="P38" s="15">
        <v>42006</v>
      </c>
      <c r="Q38" s="15">
        <v>45351</v>
      </c>
      <c r="R38" s="15">
        <v>49977</v>
      </c>
      <c r="S38" s="15">
        <v>56692</v>
      </c>
      <c r="T38" s="15">
        <v>62569</v>
      </c>
      <c r="U38" s="15">
        <v>63271</v>
      </c>
      <c r="V38" s="15">
        <f>68144105/1000</f>
        <v>68144</v>
      </c>
      <c r="W38" s="15"/>
      <c r="X38" s="3">
        <v>106373182</v>
      </c>
      <c r="Y38" s="3">
        <f>X38/1000</f>
        <v>106373</v>
      </c>
      <c r="AA38" s="3">
        <v>110791312</v>
      </c>
      <c r="AB38" s="3">
        <f>AA38/1000</f>
        <v>110791</v>
      </c>
      <c r="AD38" s="3">
        <v>117575700</v>
      </c>
      <c r="AE38" s="3">
        <f>AD38/1000</f>
        <v>117576</v>
      </c>
    </row>
    <row r="39" spans="1:31" ht="12.75">
      <c r="A39" s="18" t="s">
        <v>29</v>
      </c>
      <c r="B39" s="15">
        <v>38481</v>
      </c>
      <c r="C39" s="15">
        <v>40069</v>
      </c>
      <c r="D39" s="15">
        <v>41957</v>
      </c>
      <c r="E39" s="15">
        <v>44511</v>
      </c>
      <c r="F39" s="15">
        <v>47323</v>
      </c>
      <c r="G39" s="15">
        <v>51076</v>
      </c>
      <c r="H39" s="15">
        <v>52680</v>
      </c>
      <c r="I39" s="1">
        <v>56684</v>
      </c>
      <c r="J39" s="1">
        <v>62078</v>
      </c>
      <c r="K39" s="1">
        <v>67735</v>
      </c>
      <c r="L39" s="16">
        <f>(K39-J39)*100/J39</f>
        <v>9.1</v>
      </c>
      <c r="M39" s="98">
        <f>(K39-V39)*100/V39</f>
        <v>86.3</v>
      </c>
      <c r="N39" s="15">
        <v>19147</v>
      </c>
      <c r="O39" s="15">
        <v>21400</v>
      </c>
      <c r="P39" s="15">
        <v>24454</v>
      </c>
      <c r="Q39" s="15">
        <v>26358</v>
      </c>
      <c r="R39" s="15">
        <v>28006</v>
      </c>
      <c r="S39" s="15">
        <v>30784</v>
      </c>
      <c r="T39" s="15">
        <v>33702</v>
      </c>
      <c r="U39" s="15">
        <v>35750</v>
      </c>
      <c r="V39" s="15">
        <f>36351048/1000</f>
        <v>36351</v>
      </c>
      <c r="W39" s="15"/>
      <c r="X39" s="3">
        <v>56684130</v>
      </c>
      <c r="Y39" s="3">
        <f>X39/1000</f>
        <v>56684</v>
      </c>
      <c r="AA39" s="3">
        <v>62078017</v>
      </c>
      <c r="AB39" s="3">
        <f>AA39/1000</f>
        <v>62078</v>
      </c>
      <c r="AD39" s="3">
        <v>67734521</v>
      </c>
      <c r="AE39" s="3">
        <f>AD39/1000</f>
        <v>67735</v>
      </c>
    </row>
    <row r="40" spans="1:22" ht="12.75">
      <c r="A40" s="1" t="s">
        <v>43</v>
      </c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7"/>
      <c r="N40" s="20"/>
      <c r="O40" s="20"/>
      <c r="P40" s="20"/>
      <c r="V40" s="20"/>
    </row>
    <row r="41" spans="3:22" ht="12.75">
      <c r="C41" s="15"/>
      <c r="N41" s="15"/>
      <c r="O41" s="15"/>
      <c r="P41" s="15"/>
      <c r="V41" s="15"/>
    </row>
    <row r="42" spans="1:22" ht="12.75">
      <c r="A42" s="3" t="s">
        <v>44</v>
      </c>
      <c r="C42" s="15"/>
      <c r="N42" s="15"/>
      <c r="O42" s="15"/>
      <c r="P42" s="15"/>
      <c r="V42" s="15"/>
    </row>
    <row r="43" spans="3:22" ht="12.75">
      <c r="C43" s="15"/>
      <c r="N43" s="15"/>
      <c r="O43" s="15"/>
      <c r="P43" s="15"/>
      <c r="V43" s="15"/>
    </row>
    <row r="44" spans="3:22" ht="12.75">
      <c r="C44" s="15"/>
      <c r="N44" s="15"/>
      <c r="O44" s="15"/>
      <c r="P44" s="15"/>
      <c r="V44" s="15"/>
    </row>
    <row r="45" spans="3:22" ht="12.75">
      <c r="C45" s="15"/>
      <c r="N45" s="15"/>
      <c r="O45" s="15"/>
      <c r="P45" s="15"/>
      <c r="V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</sheetData>
  <mergeCells count="3">
    <mergeCell ref="A4:M4"/>
    <mergeCell ref="A3:M3"/>
    <mergeCell ref="A1:M1"/>
  </mergeCells>
  <printOptions/>
  <pageMargins left="0.5" right="0.47" top="1" bottom="1" header="0.5" footer="0.5"/>
  <pageSetup fitToHeight="1" fitToWidth="1" orientation="landscape" scale="78" r:id="rId1"/>
  <headerFooter alignWithMargins="0">
    <oddFooter>&amp;L&amp;"Lucida Sans,Italic"&amp;10MSDE-DBS 11 / 2004&amp;C- 2 -&amp;R&amp;"Lucida Sans,Italic"&amp;10Selected Financial Data - Part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workbookViewId="0" topLeftCell="A1">
      <selection activeCell="C8" sqref="C8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3" width="6.625" style="1" customWidth="1"/>
    <col min="14" max="22" width="10.125" style="1" customWidth="1"/>
    <col min="23" max="23" width="7.25390625" style="1" customWidth="1"/>
    <col min="24" max="24" width="12.50390625" style="1" bestFit="1" customWidth="1"/>
    <col min="25" max="25" width="10.125" style="1" customWidth="1"/>
    <col min="26" max="26" width="10.125" style="3" customWidth="1"/>
    <col min="27" max="27" width="11.00390625" style="3" customWidth="1"/>
    <col min="28" max="29" width="10.125" style="3" customWidth="1"/>
    <col min="30" max="30" width="11.625" style="3" customWidth="1"/>
    <col min="31" max="57" width="10.125" style="3" customWidth="1"/>
    <col min="58" max="16384" width="10.00390625" style="3" customWidth="1"/>
  </cols>
  <sheetData>
    <row r="1" spans="1:24" ht="12.75">
      <c r="A1" s="205" t="s">
        <v>103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T1" s="2"/>
      <c r="U1" s="2"/>
      <c r="V1" s="10"/>
      <c r="W1" s="2"/>
      <c r="X1" s="73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T2" s="2"/>
      <c r="U2" s="2"/>
      <c r="V2" s="2"/>
      <c r="W2" s="2"/>
      <c r="X2" s="2"/>
    </row>
    <row r="3" spans="1:24" ht="12.75">
      <c r="A3" s="205" t="s">
        <v>47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T3" s="2"/>
      <c r="U3" s="2"/>
      <c r="V3" s="10"/>
      <c r="W3" s="2"/>
      <c r="X3" s="2"/>
    </row>
    <row r="4" spans="1:24" ht="12.75">
      <c r="A4" s="205" t="s">
        <v>196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T4" s="2"/>
      <c r="U4" s="2"/>
      <c r="V4" s="10"/>
      <c r="W4" s="2"/>
      <c r="X4" s="2"/>
    </row>
    <row r="5" spans="1:22" ht="13.5" thickBo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V5" s="106"/>
    </row>
    <row r="6" spans="1:25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7"/>
      <c r="X6" s="3"/>
      <c r="Y6" s="3"/>
    </row>
    <row r="7" spans="12:25" ht="12.75">
      <c r="L7" s="6" t="s">
        <v>34</v>
      </c>
      <c r="M7" s="6"/>
      <c r="S7" s="3"/>
      <c r="X7" s="3"/>
      <c r="Y7" s="3"/>
    </row>
    <row r="8" spans="5:25" ht="12.75">
      <c r="E8" s="7"/>
      <c r="F8" s="7"/>
      <c r="G8" s="7"/>
      <c r="H8" s="7"/>
      <c r="I8" s="7"/>
      <c r="J8" s="7"/>
      <c r="K8" s="7"/>
      <c r="L8" s="10" t="s">
        <v>106</v>
      </c>
      <c r="M8" s="10" t="s">
        <v>107</v>
      </c>
      <c r="S8" s="3"/>
      <c r="X8" s="3"/>
      <c r="Y8" s="3"/>
    </row>
    <row r="9" spans="1:25" ht="13.5" thickBot="1">
      <c r="A9" s="8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9" t="s">
        <v>105</v>
      </c>
      <c r="M9" s="9" t="s">
        <v>105</v>
      </c>
      <c r="N9" s="10" t="s">
        <v>48</v>
      </c>
      <c r="O9" s="9" t="s">
        <v>36</v>
      </c>
      <c r="P9" s="9" t="s">
        <v>37</v>
      </c>
      <c r="Q9" s="9" t="s">
        <v>38</v>
      </c>
      <c r="R9" s="9" t="s">
        <v>39</v>
      </c>
      <c r="S9" s="9" t="s">
        <v>40</v>
      </c>
      <c r="T9" s="9" t="s">
        <v>41</v>
      </c>
      <c r="U9" s="8" t="s">
        <v>83</v>
      </c>
      <c r="V9" s="8" t="s">
        <v>84</v>
      </c>
      <c r="W9" s="7"/>
      <c r="X9" s="9" t="s">
        <v>130</v>
      </c>
      <c r="Y9" s="9" t="s">
        <v>130</v>
      </c>
    </row>
    <row r="10" spans="1:31" ht="13.5" thickTop="1">
      <c r="A10" s="7" t="s">
        <v>5</v>
      </c>
      <c r="B10" s="11">
        <f aca="true" t="shared" si="0" ref="B10:I10">SUM(B12:B39)</f>
        <v>1868902</v>
      </c>
      <c r="C10" s="11">
        <f t="shared" si="0"/>
        <v>1963115</v>
      </c>
      <c r="D10" s="11">
        <f t="shared" si="0"/>
        <v>2080392</v>
      </c>
      <c r="E10" s="11">
        <f t="shared" si="0"/>
        <v>2191846</v>
      </c>
      <c r="F10" s="11">
        <f t="shared" si="0"/>
        <v>2378117</v>
      </c>
      <c r="G10" s="11">
        <f t="shared" si="0"/>
        <v>2522733</v>
      </c>
      <c r="H10" s="11">
        <f t="shared" si="0"/>
        <v>2594552</v>
      </c>
      <c r="I10" s="11">
        <f t="shared" si="0"/>
        <v>2924890</v>
      </c>
      <c r="J10" s="11">
        <f>SUM(J12:J39)</f>
        <v>2853967</v>
      </c>
      <c r="K10" s="11">
        <f>SUM(K12:K39)</f>
        <v>3074878</v>
      </c>
      <c r="L10" s="99">
        <f>(K10-J10)/J10</f>
        <v>0.0774</v>
      </c>
      <c r="M10" s="12">
        <f>(K10-V10)/V10</f>
        <v>0.647</v>
      </c>
      <c r="N10" s="14">
        <v>994434</v>
      </c>
      <c r="O10" s="11">
        <v>1076131</v>
      </c>
      <c r="P10" s="11">
        <v>1179082</v>
      </c>
      <c r="Q10" s="11">
        <v>1285974</v>
      </c>
      <c r="R10" s="11">
        <v>1385784</v>
      </c>
      <c r="S10" s="11">
        <f>SUM(S12:S39)</f>
        <v>1504562</v>
      </c>
      <c r="T10" s="11">
        <f>SUM(T12:T39)</f>
        <v>1631931</v>
      </c>
      <c r="U10" s="11">
        <f aca="true" t="shared" si="1" ref="U10:AE10">SUM(U12:U39)</f>
        <v>1720447</v>
      </c>
      <c r="V10" s="11">
        <f>SUM(V12:V39)</f>
        <v>1866666</v>
      </c>
      <c r="W10" s="11"/>
      <c r="X10" s="145">
        <f t="shared" si="1"/>
        <v>2924893128</v>
      </c>
      <c r="Y10" s="145">
        <f t="shared" si="1"/>
        <v>2924890</v>
      </c>
      <c r="AA10" s="145">
        <f t="shared" si="1"/>
        <v>2853965397</v>
      </c>
      <c r="AB10" s="145">
        <f t="shared" si="1"/>
        <v>2853967</v>
      </c>
      <c r="AD10" s="145">
        <f t="shared" si="1"/>
        <v>3074880212</v>
      </c>
      <c r="AE10" s="145">
        <f t="shared" si="1"/>
        <v>3074878</v>
      </c>
    </row>
    <row r="11" spans="3:25" ht="12.75">
      <c r="C11" s="15"/>
      <c r="D11" s="15"/>
      <c r="E11" s="15"/>
      <c r="F11" s="15"/>
      <c r="G11" s="15"/>
      <c r="H11" s="15"/>
      <c r="M11" s="15"/>
      <c r="O11" s="15"/>
      <c r="X11" s="3"/>
      <c r="Y11" s="3"/>
    </row>
    <row r="12" spans="1:31" ht="12.75">
      <c r="A12" s="1" t="s">
        <v>6</v>
      </c>
      <c r="B12" s="15">
        <v>34353</v>
      </c>
      <c r="C12" s="15">
        <v>36719</v>
      </c>
      <c r="D12" s="15">
        <v>38216</v>
      </c>
      <c r="E12" s="15">
        <v>39703</v>
      </c>
      <c r="F12" s="15">
        <v>41569</v>
      </c>
      <c r="G12" s="15">
        <v>43231</v>
      </c>
      <c r="H12" s="15">
        <v>42159</v>
      </c>
      <c r="I12" s="15">
        <v>45611</v>
      </c>
      <c r="J12" s="32">
        <v>47591</v>
      </c>
      <c r="K12" s="32">
        <v>49905</v>
      </c>
      <c r="L12" s="16">
        <f>(K12-J12)*100/J12</f>
        <v>4.9</v>
      </c>
      <c r="M12" s="17">
        <f>(K12-V12)*100/V12</f>
        <v>46.2</v>
      </c>
      <c r="N12" s="15">
        <v>19506</v>
      </c>
      <c r="O12" s="15">
        <v>20859</v>
      </c>
      <c r="P12" s="15">
        <v>22940</v>
      </c>
      <c r="Q12" s="15">
        <v>25256</v>
      </c>
      <c r="R12" s="15">
        <v>26749</v>
      </c>
      <c r="S12" s="15">
        <v>28899</v>
      </c>
      <c r="T12" s="15">
        <v>30898</v>
      </c>
      <c r="U12" s="15">
        <v>31885</v>
      </c>
      <c r="V12" s="15">
        <v>34128</v>
      </c>
      <c r="W12" s="15"/>
      <c r="X12" s="3">
        <v>45611115</v>
      </c>
      <c r="Y12" s="3">
        <f>X12/1000</f>
        <v>45611</v>
      </c>
      <c r="AA12" s="3">
        <v>47590525</v>
      </c>
      <c r="AB12" s="3">
        <f>AA12/1000</f>
        <v>47591</v>
      </c>
      <c r="AD12" s="3">
        <v>49904689</v>
      </c>
      <c r="AE12" s="3">
        <f>AD12/1000</f>
        <v>49905</v>
      </c>
    </row>
    <row r="13" spans="1:31" ht="12.75">
      <c r="A13" s="1" t="s">
        <v>7</v>
      </c>
      <c r="B13" s="15">
        <v>154386</v>
      </c>
      <c r="C13" s="15">
        <v>158598</v>
      </c>
      <c r="D13" s="15">
        <v>165298</v>
      </c>
      <c r="E13" s="15">
        <v>172092</v>
      </c>
      <c r="F13" s="15">
        <v>179696</v>
      </c>
      <c r="G13" s="15">
        <v>183503</v>
      </c>
      <c r="H13" s="15">
        <v>192266</v>
      </c>
      <c r="I13" s="15">
        <v>203641</v>
      </c>
      <c r="J13" s="32">
        <v>198643</v>
      </c>
      <c r="K13" s="32">
        <v>211968</v>
      </c>
      <c r="L13" s="16">
        <f>(K13-J13)*100/J13</f>
        <v>6.7</v>
      </c>
      <c r="M13" s="17">
        <f>(K13-V13)*100/V13</f>
        <v>35.3</v>
      </c>
      <c r="N13" s="15">
        <v>92071</v>
      </c>
      <c r="O13" s="15">
        <v>99282</v>
      </c>
      <c r="P13" s="15">
        <v>108143</v>
      </c>
      <c r="Q13" s="15">
        <v>116727</v>
      </c>
      <c r="R13" s="15">
        <v>125441</v>
      </c>
      <c r="S13" s="15">
        <v>134602</v>
      </c>
      <c r="T13" s="15">
        <v>145661</v>
      </c>
      <c r="U13" s="15">
        <v>150959</v>
      </c>
      <c r="V13" s="15">
        <v>156689</v>
      </c>
      <c r="W13" s="15"/>
      <c r="X13" s="3">
        <v>203641256</v>
      </c>
      <c r="Y13" s="3">
        <f>X13/1000</f>
        <v>203641</v>
      </c>
      <c r="AA13" s="3">
        <v>198643436</v>
      </c>
      <c r="AB13" s="3">
        <f>AA13/1000</f>
        <v>198643</v>
      </c>
      <c r="AD13" s="3">
        <v>211968280</v>
      </c>
      <c r="AE13" s="3">
        <f>AD13/1000</f>
        <v>211968</v>
      </c>
    </row>
    <row r="14" spans="1:31" ht="12.75">
      <c r="A14" s="1" t="s">
        <v>8</v>
      </c>
      <c r="B14" s="15">
        <v>388191</v>
      </c>
      <c r="C14" s="15">
        <v>398957</v>
      </c>
      <c r="D14" s="15">
        <v>418500</v>
      </c>
      <c r="E14" s="15">
        <v>427969</v>
      </c>
      <c r="F14" s="15">
        <v>487607</v>
      </c>
      <c r="G14" s="15">
        <v>530367</v>
      </c>
      <c r="H14" s="15">
        <v>535693</v>
      </c>
      <c r="I14" s="1">
        <v>580166</v>
      </c>
      <c r="J14" s="32">
        <v>564195</v>
      </c>
      <c r="K14" s="32">
        <v>572039</v>
      </c>
      <c r="L14" s="16">
        <f>(K14-J14)*100/J14</f>
        <v>1.4</v>
      </c>
      <c r="M14" s="17">
        <f>(K14-V14)*100/V14</f>
        <v>53.9</v>
      </c>
      <c r="N14" s="15">
        <v>200985</v>
      </c>
      <c r="O14" s="15">
        <v>221168</v>
      </c>
      <c r="P14" s="15">
        <v>236677</v>
      </c>
      <c r="Q14" s="15">
        <v>252274</v>
      </c>
      <c r="R14" s="15">
        <v>263456</v>
      </c>
      <c r="S14" s="15">
        <v>286869</v>
      </c>
      <c r="T14" s="15">
        <v>311258</v>
      </c>
      <c r="U14" s="15">
        <v>332330</v>
      </c>
      <c r="V14" s="15">
        <v>371677</v>
      </c>
      <c r="W14" s="15"/>
      <c r="X14" s="3">
        <v>580166324</v>
      </c>
      <c r="Y14" s="3">
        <f>X14/1000</f>
        <v>580166</v>
      </c>
      <c r="AA14" s="3">
        <v>564194800</v>
      </c>
      <c r="AB14" s="3">
        <f>AA14/1000</f>
        <v>564195</v>
      </c>
      <c r="AD14" s="3">
        <v>572039102</v>
      </c>
      <c r="AE14" s="3">
        <f>AD14/1000</f>
        <v>572039</v>
      </c>
    </row>
    <row r="15" spans="1:31" ht="12.75">
      <c r="A15" s="1" t="s">
        <v>9</v>
      </c>
      <c r="B15" s="15">
        <v>196064</v>
      </c>
      <c r="C15" s="15">
        <v>208757</v>
      </c>
      <c r="D15" s="15">
        <v>225656</v>
      </c>
      <c r="E15" s="15">
        <v>239301</v>
      </c>
      <c r="F15" s="15">
        <v>263698</v>
      </c>
      <c r="G15" s="15">
        <v>279677</v>
      </c>
      <c r="H15" s="15">
        <v>280585</v>
      </c>
      <c r="I15" s="1">
        <v>311112</v>
      </c>
      <c r="J15" s="32">
        <v>309774</v>
      </c>
      <c r="K15" s="32">
        <v>342365</v>
      </c>
      <c r="L15" s="16">
        <f>(K15-J15)*100/J15</f>
        <v>10.5</v>
      </c>
      <c r="M15" s="17">
        <f>(K15-V15)*100/V15</f>
        <v>75.6</v>
      </c>
      <c r="N15" s="15">
        <v>110037</v>
      </c>
      <c r="O15" s="15">
        <v>112318</v>
      </c>
      <c r="P15" s="15">
        <v>123280</v>
      </c>
      <c r="Q15" s="15">
        <v>134919</v>
      </c>
      <c r="R15" s="15">
        <v>147759</v>
      </c>
      <c r="S15" s="15">
        <v>157959</v>
      </c>
      <c r="T15" s="15">
        <v>171887</v>
      </c>
      <c r="U15" s="15">
        <v>180069</v>
      </c>
      <c r="V15" s="15">
        <v>194966</v>
      </c>
      <c r="W15" s="15"/>
      <c r="X15" s="3">
        <v>311112268</v>
      </c>
      <c r="Y15" s="3">
        <f>X15/1000</f>
        <v>311112</v>
      </c>
      <c r="AA15" s="3">
        <v>309774418</v>
      </c>
      <c r="AB15" s="3">
        <f>AA15/1000</f>
        <v>309774</v>
      </c>
      <c r="AD15" s="3">
        <v>342365185</v>
      </c>
      <c r="AE15" s="3">
        <f>AD15/1000</f>
        <v>342365</v>
      </c>
    </row>
    <row r="16" spans="1:31" ht="12.75">
      <c r="A16" s="1" t="s">
        <v>10</v>
      </c>
      <c r="B16" s="15">
        <v>26272</v>
      </c>
      <c r="C16" s="15">
        <v>28661</v>
      </c>
      <c r="D16" s="15">
        <v>30643</v>
      </c>
      <c r="E16" s="15">
        <v>33668</v>
      </c>
      <c r="F16" s="15">
        <v>37031</v>
      </c>
      <c r="G16" s="15">
        <v>39524</v>
      </c>
      <c r="H16" s="15">
        <v>41705</v>
      </c>
      <c r="I16" s="1">
        <v>46050</v>
      </c>
      <c r="J16" s="32">
        <v>49652</v>
      </c>
      <c r="K16" s="32">
        <v>56030</v>
      </c>
      <c r="L16" s="16">
        <f>(K16-J16)*100/J16</f>
        <v>12.8</v>
      </c>
      <c r="M16" s="17">
        <f>(K16-V16)*100/V16</f>
        <v>112.3</v>
      </c>
      <c r="N16" s="15">
        <v>9620</v>
      </c>
      <c r="O16" s="15">
        <v>10997</v>
      </c>
      <c r="P16" s="15">
        <v>12517</v>
      </c>
      <c r="Q16" s="15">
        <v>14189</v>
      </c>
      <c r="R16" s="15">
        <v>16012</v>
      </c>
      <c r="S16" s="15">
        <v>18275</v>
      </c>
      <c r="T16" s="15">
        <v>21713</v>
      </c>
      <c r="U16" s="15">
        <v>24111</v>
      </c>
      <c r="V16" s="15">
        <v>26394</v>
      </c>
      <c r="W16" s="15"/>
      <c r="X16" s="3">
        <v>46049798</v>
      </c>
      <c r="Y16" s="3">
        <f>X16/1000</f>
        <v>46050</v>
      </c>
      <c r="AA16" s="3">
        <v>49651794</v>
      </c>
      <c r="AB16" s="3">
        <f>AA16/1000</f>
        <v>49652</v>
      </c>
      <c r="AD16" s="3">
        <v>56030341</v>
      </c>
      <c r="AE16" s="3">
        <f>AD16/1000</f>
        <v>56030</v>
      </c>
    </row>
    <row r="17" spans="2:25" ht="12.75">
      <c r="B17" s="15"/>
      <c r="C17" s="15"/>
      <c r="D17" s="15"/>
      <c r="E17" s="15"/>
      <c r="F17" s="15"/>
      <c r="G17" s="15"/>
      <c r="H17" s="15"/>
      <c r="J17" s="32"/>
      <c r="K17" s="32"/>
      <c r="L17" s="16"/>
      <c r="M17" s="1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3"/>
      <c r="Y17" s="3"/>
    </row>
    <row r="18" spans="1:31" ht="12.75">
      <c r="A18" s="1" t="s">
        <v>11</v>
      </c>
      <c r="B18" s="15">
        <v>16112</v>
      </c>
      <c r="C18" s="15">
        <v>17211</v>
      </c>
      <c r="D18" s="15">
        <v>18265</v>
      </c>
      <c r="E18" s="15">
        <v>20087</v>
      </c>
      <c r="F18" s="15">
        <v>21135</v>
      </c>
      <c r="G18" s="15">
        <v>22230</v>
      </c>
      <c r="H18" s="15">
        <v>22901</v>
      </c>
      <c r="I18" s="1">
        <v>23681</v>
      </c>
      <c r="J18" s="32">
        <v>24629</v>
      </c>
      <c r="K18" s="32">
        <v>27385</v>
      </c>
      <c r="L18" s="16">
        <f>(K18-J18)*100/J18</f>
        <v>11.2</v>
      </c>
      <c r="M18" s="17">
        <f>(K18-V18)*100/V18</f>
        <v>73.2</v>
      </c>
      <c r="N18" s="15">
        <v>7587</v>
      </c>
      <c r="O18" s="15">
        <v>8223</v>
      </c>
      <c r="P18" s="15">
        <v>9196</v>
      </c>
      <c r="Q18" s="15">
        <v>10357</v>
      </c>
      <c r="R18" s="15">
        <v>11147</v>
      </c>
      <c r="S18" s="15">
        <v>12152</v>
      </c>
      <c r="T18" s="15">
        <v>13256</v>
      </c>
      <c r="U18" s="15">
        <v>14512</v>
      </c>
      <c r="V18" s="15">
        <v>15808</v>
      </c>
      <c r="W18" s="15"/>
      <c r="X18" s="3">
        <v>23681420</v>
      </c>
      <c r="Y18" s="3">
        <f>X18/1000</f>
        <v>23681</v>
      </c>
      <c r="AA18" s="3">
        <v>24628892</v>
      </c>
      <c r="AB18" s="3">
        <f>AA18/1000</f>
        <v>24629</v>
      </c>
      <c r="AD18" s="3">
        <v>27385126</v>
      </c>
      <c r="AE18" s="3">
        <f>AD18/1000</f>
        <v>27385</v>
      </c>
    </row>
    <row r="19" spans="1:31" ht="12.75">
      <c r="A19" s="1" t="s">
        <v>12</v>
      </c>
      <c r="B19" s="15">
        <v>60589</v>
      </c>
      <c r="C19" s="15">
        <v>63373</v>
      </c>
      <c r="D19" s="15">
        <v>66144</v>
      </c>
      <c r="E19" s="15">
        <v>70315</v>
      </c>
      <c r="F19" s="15">
        <v>76325</v>
      </c>
      <c r="G19" s="15">
        <v>79649</v>
      </c>
      <c r="H19" s="15">
        <v>82264</v>
      </c>
      <c r="I19" s="1">
        <v>91478</v>
      </c>
      <c r="J19" s="32">
        <v>89002</v>
      </c>
      <c r="K19" s="32">
        <v>96606</v>
      </c>
      <c r="L19" s="16">
        <f>(K19-J19)*100/J19</f>
        <v>8.5</v>
      </c>
      <c r="M19" s="17">
        <f>(K19-V19)*100/V19</f>
        <v>59.2</v>
      </c>
      <c r="N19" s="15">
        <v>27889</v>
      </c>
      <c r="O19" s="15">
        <v>30925</v>
      </c>
      <c r="P19" s="15">
        <v>34474</v>
      </c>
      <c r="Q19" s="15">
        <v>38792</v>
      </c>
      <c r="R19" s="15">
        <v>42629</v>
      </c>
      <c r="S19" s="15">
        <v>46693</v>
      </c>
      <c r="T19" s="15">
        <v>51564</v>
      </c>
      <c r="U19" s="15">
        <v>55569</v>
      </c>
      <c r="V19" s="15">
        <v>60679</v>
      </c>
      <c r="W19" s="15"/>
      <c r="X19" s="3">
        <v>91478208</v>
      </c>
      <c r="Y19" s="3">
        <f>X19/1000</f>
        <v>91478</v>
      </c>
      <c r="AA19" s="3">
        <v>89001775</v>
      </c>
      <c r="AB19" s="3">
        <f>AA19/1000</f>
        <v>89002</v>
      </c>
      <c r="AD19" s="3">
        <v>96606306</v>
      </c>
      <c r="AE19" s="3">
        <f>AD19/1000</f>
        <v>96606</v>
      </c>
    </row>
    <row r="20" spans="1:31" ht="12.75">
      <c r="A20" s="1" t="s">
        <v>13</v>
      </c>
      <c r="B20" s="15">
        <v>37964</v>
      </c>
      <c r="C20" s="15">
        <v>39731</v>
      </c>
      <c r="D20" s="15">
        <v>41464</v>
      </c>
      <c r="E20" s="15">
        <v>44171</v>
      </c>
      <c r="F20" s="15">
        <v>46617</v>
      </c>
      <c r="G20" s="15">
        <v>49585</v>
      </c>
      <c r="H20" s="15">
        <v>50463</v>
      </c>
      <c r="I20" s="1">
        <v>60672</v>
      </c>
      <c r="J20" s="32">
        <v>57827</v>
      </c>
      <c r="K20" s="32">
        <v>63184</v>
      </c>
      <c r="L20" s="16">
        <f>(K20-J20)*100/J20</f>
        <v>9.3</v>
      </c>
      <c r="M20" s="17">
        <f>(K20-V20)*100/V20</f>
        <v>65.8</v>
      </c>
      <c r="N20" s="15">
        <v>19246</v>
      </c>
      <c r="O20" s="15">
        <v>20980</v>
      </c>
      <c r="P20" s="15">
        <v>23294</v>
      </c>
      <c r="Q20" s="15">
        <v>25107</v>
      </c>
      <c r="R20" s="15">
        <v>26949</v>
      </c>
      <c r="S20" s="15">
        <v>30324</v>
      </c>
      <c r="T20" s="15">
        <v>32520</v>
      </c>
      <c r="U20" s="15">
        <v>34659</v>
      </c>
      <c r="V20" s="15">
        <v>38098</v>
      </c>
      <c r="W20" s="15"/>
      <c r="X20" s="3">
        <v>60672394</v>
      </c>
      <c r="Y20" s="3">
        <f>X20/1000</f>
        <v>60672</v>
      </c>
      <c r="AA20" s="3">
        <v>57826657</v>
      </c>
      <c r="AB20" s="3">
        <f>AA20/1000</f>
        <v>57827</v>
      </c>
      <c r="AD20" s="3">
        <v>63183675</v>
      </c>
      <c r="AE20" s="3">
        <f>AD20/1000</f>
        <v>63184</v>
      </c>
    </row>
    <row r="21" spans="1:31" ht="12.75">
      <c r="A21" s="1" t="s">
        <v>14</v>
      </c>
      <c r="B21" s="15">
        <v>54038</v>
      </c>
      <c r="C21" s="15">
        <v>56040</v>
      </c>
      <c r="D21" s="15">
        <v>58156</v>
      </c>
      <c r="E21" s="15">
        <v>61443</v>
      </c>
      <c r="F21" s="15">
        <v>64831</v>
      </c>
      <c r="G21" s="15">
        <v>66595</v>
      </c>
      <c r="H21" s="15">
        <v>70856</v>
      </c>
      <c r="I21" s="1">
        <v>81031</v>
      </c>
      <c r="J21" s="32">
        <v>81871</v>
      </c>
      <c r="K21" s="32">
        <v>88252</v>
      </c>
      <c r="L21" s="16">
        <f>(K21-J21)*100/J21</f>
        <v>7.8</v>
      </c>
      <c r="M21" s="17">
        <f>(K21-V21)*100/V21</f>
        <v>62.3</v>
      </c>
      <c r="N21" s="15">
        <v>26852</v>
      </c>
      <c r="O21" s="15">
        <v>29536</v>
      </c>
      <c r="P21" s="15">
        <v>32225</v>
      </c>
      <c r="Q21" s="15">
        <v>34718</v>
      </c>
      <c r="R21" s="15">
        <v>38041</v>
      </c>
      <c r="S21" s="15">
        <v>42150</v>
      </c>
      <c r="T21" s="15">
        <v>45828</v>
      </c>
      <c r="U21" s="15">
        <v>50314</v>
      </c>
      <c r="V21" s="15">
        <v>54374</v>
      </c>
      <c r="W21" s="15"/>
      <c r="X21" s="3">
        <v>81030846</v>
      </c>
      <c r="Y21" s="3">
        <f>X21/1000</f>
        <v>81031</v>
      </c>
      <c r="AA21" s="3">
        <v>81870694</v>
      </c>
      <c r="AB21" s="3">
        <f>AA21/1000</f>
        <v>81871</v>
      </c>
      <c r="AD21" s="3">
        <v>88251848</v>
      </c>
      <c r="AE21" s="3">
        <f>AD21/1000</f>
        <v>88252</v>
      </c>
    </row>
    <row r="22" spans="1:31" ht="12.75">
      <c r="A22" s="1" t="s">
        <v>15</v>
      </c>
      <c r="B22" s="15">
        <v>15024</v>
      </c>
      <c r="C22" s="15">
        <v>16302</v>
      </c>
      <c r="D22" s="15">
        <v>16535</v>
      </c>
      <c r="E22" s="15">
        <v>17049</v>
      </c>
      <c r="F22" s="15">
        <v>18082</v>
      </c>
      <c r="G22" s="15">
        <v>18355</v>
      </c>
      <c r="H22" s="15">
        <v>18594</v>
      </c>
      <c r="I22" s="1">
        <v>20550</v>
      </c>
      <c r="J22" s="32">
        <v>19809</v>
      </c>
      <c r="K22" s="32">
        <v>20290</v>
      </c>
      <c r="L22" s="16">
        <f>(K22-J22)*100/J22</f>
        <v>2.4</v>
      </c>
      <c r="M22" s="17">
        <f>(K22-V22)*100/V22</f>
        <v>38.8</v>
      </c>
      <c r="N22" s="15">
        <v>8438</v>
      </c>
      <c r="O22" s="15">
        <v>9340</v>
      </c>
      <c r="P22" s="15">
        <v>10012</v>
      </c>
      <c r="Q22" s="15">
        <v>10790</v>
      </c>
      <c r="R22" s="15">
        <v>11799</v>
      </c>
      <c r="S22" s="15">
        <v>13014</v>
      </c>
      <c r="T22" s="15">
        <v>13492</v>
      </c>
      <c r="U22" s="15">
        <v>13964</v>
      </c>
      <c r="V22" s="15">
        <v>14620</v>
      </c>
      <c r="W22" s="15"/>
      <c r="X22" s="3">
        <v>20549933</v>
      </c>
      <c r="Y22" s="3">
        <f>X22/1000</f>
        <v>20550</v>
      </c>
      <c r="AA22" s="3">
        <v>19809403</v>
      </c>
      <c r="AB22" s="3">
        <f>AA22/1000</f>
        <v>19809</v>
      </c>
      <c r="AD22" s="3">
        <v>20290046</v>
      </c>
      <c r="AE22" s="3">
        <f>AD22/1000</f>
        <v>20290</v>
      </c>
    </row>
    <row r="23" spans="2:25" ht="12.75">
      <c r="B23" s="15"/>
      <c r="C23" s="15"/>
      <c r="D23" s="15"/>
      <c r="E23" s="15"/>
      <c r="F23" s="15"/>
      <c r="G23" s="15"/>
      <c r="H23" s="15"/>
      <c r="J23" s="32"/>
      <c r="K23" s="32"/>
      <c r="L23" s="16"/>
      <c r="M23" s="17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3"/>
      <c r="Y23" s="3"/>
    </row>
    <row r="24" spans="1:31" ht="12.75">
      <c r="A24" s="1" t="s">
        <v>16</v>
      </c>
      <c r="B24" s="15">
        <v>73628</v>
      </c>
      <c r="C24" s="15">
        <v>78050</v>
      </c>
      <c r="D24" s="15">
        <v>82598</v>
      </c>
      <c r="E24" s="15">
        <v>88670</v>
      </c>
      <c r="F24" s="15">
        <v>95904</v>
      </c>
      <c r="G24" s="15">
        <v>99874</v>
      </c>
      <c r="H24" s="15">
        <v>102427</v>
      </c>
      <c r="I24" s="1">
        <v>123374</v>
      </c>
      <c r="J24" s="32">
        <v>114079</v>
      </c>
      <c r="K24" s="32">
        <v>126058</v>
      </c>
      <c r="L24" s="16">
        <f>(K24-J24)*100/J24</f>
        <v>10.5</v>
      </c>
      <c r="M24" s="17">
        <f>(K24-V24)*100/V24</f>
        <v>73.4</v>
      </c>
      <c r="N24" s="15">
        <v>33835</v>
      </c>
      <c r="O24" s="15">
        <v>37399</v>
      </c>
      <c r="P24" s="15">
        <v>41789</v>
      </c>
      <c r="Q24" s="15">
        <v>47039</v>
      </c>
      <c r="R24" s="15">
        <v>51551</v>
      </c>
      <c r="S24" s="15">
        <v>56444</v>
      </c>
      <c r="T24" s="15">
        <v>61171</v>
      </c>
      <c r="U24" s="15">
        <v>64482</v>
      </c>
      <c r="V24" s="15">
        <v>72707</v>
      </c>
      <c r="W24" s="15"/>
      <c r="X24" s="3">
        <v>123374121</v>
      </c>
      <c r="Y24" s="3">
        <f>X24/1000</f>
        <v>123374</v>
      </c>
      <c r="AA24" s="3">
        <v>114078830</v>
      </c>
      <c r="AB24" s="3">
        <f>AA24/1000</f>
        <v>114079</v>
      </c>
      <c r="AD24" s="3">
        <v>126058340</v>
      </c>
      <c r="AE24" s="3">
        <f>AD24/1000</f>
        <v>126058</v>
      </c>
    </row>
    <row r="25" spans="1:31" ht="12.75">
      <c r="A25" s="1" t="s">
        <v>17</v>
      </c>
      <c r="B25" s="15">
        <v>16740</v>
      </c>
      <c r="C25" s="15">
        <v>17037</v>
      </c>
      <c r="D25" s="15">
        <v>17472</v>
      </c>
      <c r="E25" s="15">
        <v>17983</v>
      </c>
      <c r="F25" s="15">
        <v>18709</v>
      </c>
      <c r="G25" s="15">
        <v>19244</v>
      </c>
      <c r="H25" s="15">
        <v>19146</v>
      </c>
      <c r="I25" s="1">
        <v>19296</v>
      </c>
      <c r="J25" s="32">
        <v>19883</v>
      </c>
      <c r="K25" s="32">
        <v>21185</v>
      </c>
      <c r="L25" s="16">
        <f>(K25-J25)*100/J25</f>
        <v>6.5</v>
      </c>
      <c r="M25" s="17">
        <f>(K25-V25)*100/V25</f>
        <v>27.5</v>
      </c>
      <c r="N25" s="15">
        <v>9159</v>
      </c>
      <c r="O25" s="15">
        <v>10368</v>
      </c>
      <c r="P25" s="15">
        <v>11165</v>
      </c>
      <c r="Q25" s="15">
        <v>12124</v>
      </c>
      <c r="R25" s="15">
        <v>13045</v>
      </c>
      <c r="S25" s="15">
        <v>14454</v>
      </c>
      <c r="T25" s="15">
        <v>15826</v>
      </c>
      <c r="U25" s="15">
        <v>15793</v>
      </c>
      <c r="V25" s="15">
        <v>16621</v>
      </c>
      <c r="W25" s="15"/>
      <c r="X25" s="3">
        <v>19296050</v>
      </c>
      <c r="Y25" s="3">
        <f>X25/1000</f>
        <v>19296</v>
      </c>
      <c r="AA25" s="3">
        <v>19882738</v>
      </c>
      <c r="AB25" s="3">
        <f>AA25/1000</f>
        <v>19883</v>
      </c>
      <c r="AD25" s="3">
        <v>21184710</v>
      </c>
      <c r="AE25" s="3">
        <f>AD25/1000</f>
        <v>21185</v>
      </c>
    </row>
    <row r="26" spans="1:31" ht="12.75">
      <c r="A26" s="1" t="s">
        <v>18</v>
      </c>
      <c r="B26" s="15">
        <v>88834</v>
      </c>
      <c r="C26" s="15">
        <v>94386</v>
      </c>
      <c r="D26" s="15">
        <v>99800</v>
      </c>
      <c r="E26" s="15">
        <v>104847</v>
      </c>
      <c r="F26" s="15">
        <v>111595</v>
      </c>
      <c r="G26" s="15">
        <v>116063</v>
      </c>
      <c r="H26" s="15">
        <v>118387</v>
      </c>
      <c r="I26" s="1">
        <v>133398</v>
      </c>
      <c r="J26" s="32">
        <v>128187</v>
      </c>
      <c r="K26" s="32">
        <v>137276</v>
      </c>
      <c r="L26" s="16">
        <f>(K26-J26)*100/J26</f>
        <v>7.1</v>
      </c>
      <c r="M26" s="17">
        <f>(K26-V26)*100/V26</f>
        <v>54.2</v>
      </c>
      <c r="N26" s="15">
        <v>41759</v>
      </c>
      <c r="O26" s="15">
        <v>45645</v>
      </c>
      <c r="P26" s="15">
        <v>50937</v>
      </c>
      <c r="Q26" s="15">
        <v>55088</v>
      </c>
      <c r="R26" s="15">
        <v>60013</v>
      </c>
      <c r="S26" s="15">
        <v>66327</v>
      </c>
      <c r="T26" s="15">
        <v>72964</v>
      </c>
      <c r="U26" s="15">
        <v>79729</v>
      </c>
      <c r="V26" s="15">
        <v>89015</v>
      </c>
      <c r="W26" s="15"/>
      <c r="X26" s="3">
        <v>133398458</v>
      </c>
      <c r="Y26" s="3">
        <f>X26/1000</f>
        <v>133398</v>
      </c>
      <c r="AA26" s="3">
        <v>128186665</v>
      </c>
      <c r="AB26" s="3">
        <f>AA26/1000</f>
        <v>128187</v>
      </c>
      <c r="AD26" s="3">
        <v>137276258</v>
      </c>
      <c r="AE26" s="3">
        <f>AD26/1000</f>
        <v>137276</v>
      </c>
    </row>
    <row r="27" spans="1:31" ht="12.75">
      <c r="A27" s="1" t="s">
        <v>19</v>
      </c>
      <c r="B27" s="15">
        <v>67556</v>
      </c>
      <c r="C27" s="15">
        <v>72006</v>
      </c>
      <c r="D27" s="15">
        <v>78144</v>
      </c>
      <c r="E27" s="15">
        <v>82661</v>
      </c>
      <c r="F27" s="15">
        <v>90306</v>
      </c>
      <c r="G27" s="15">
        <v>96158</v>
      </c>
      <c r="H27" s="15">
        <v>100711</v>
      </c>
      <c r="I27" s="1">
        <v>121768</v>
      </c>
      <c r="J27" s="32">
        <v>111546</v>
      </c>
      <c r="K27" s="32">
        <v>125204</v>
      </c>
      <c r="L27" s="16">
        <f>(K27-J27)*100/J27</f>
        <v>12.2</v>
      </c>
      <c r="M27" s="17">
        <f>(K27-V27)*100/V27</f>
        <v>81.5</v>
      </c>
      <c r="N27" s="15">
        <v>32249</v>
      </c>
      <c r="O27" s="15">
        <v>35994</v>
      </c>
      <c r="P27" s="15">
        <v>40417</v>
      </c>
      <c r="Q27" s="15">
        <v>43139</v>
      </c>
      <c r="R27" s="15">
        <v>47225</v>
      </c>
      <c r="S27" s="15">
        <v>52219</v>
      </c>
      <c r="T27" s="15">
        <v>57536</v>
      </c>
      <c r="U27" s="15">
        <v>62453</v>
      </c>
      <c r="V27" s="15">
        <v>68993</v>
      </c>
      <c r="W27" s="15"/>
      <c r="X27" s="3">
        <v>121768303</v>
      </c>
      <c r="Y27" s="3">
        <f>X27/1000</f>
        <v>121768</v>
      </c>
      <c r="AA27" s="3">
        <v>111545750</v>
      </c>
      <c r="AB27" s="3">
        <f>AA27/1000</f>
        <v>111546</v>
      </c>
      <c r="AD27" s="3">
        <v>125204309</v>
      </c>
      <c r="AE27" s="3">
        <f>AD27/1000</f>
        <v>125204</v>
      </c>
    </row>
    <row r="28" spans="1:31" ht="12.75">
      <c r="A28" s="1" t="s">
        <v>20</v>
      </c>
      <c r="B28" s="15">
        <v>6697</v>
      </c>
      <c r="C28" s="15">
        <v>6873</v>
      </c>
      <c r="D28" s="15">
        <v>7153</v>
      </c>
      <c r="E28" s="15">
        <v>7636</v>
      </c>
      <c r="F28" s="15">
        <v>7944</v>
      </c>
      <c r="G28" s="15">
        <v>8340</v>
      </c>
      <c r="H28" s="15">
        <v>8409</v>
      </c>
      <c r="I28" s="1">
        <v>8883</v>
      </c>
      <c r="J28" s="32">
        <v>9256</v>
      </c>
      <c r="K28" s="32">
        <v>10170</v>
      </c>
      <c r="L28" s="16">
        <f>(K28-J28)*100/J28</f>
        <v>9.9</v>
      </c>
      <c r="M28" s="17">
        <f>(K28-V28)*100/V28</f>
        <v>48.1</v>
      </c>
      <c r="N28" s="15">
        <v>3900</v>
      </c>
      <c r="O28" s="15">
        <v>4277</v>
      </c>
      <c r="P28" s="15">
        <v>4685</v>
      </c>
      <c r="Q28" s="15">
        <v>4914</v>
      </c>
      <c r="R28" s="15">
        <v>5358</v>
      </c>
      <c r="S28" s="15">
        <v>6004</v>
      </c>
      <c r="T28" s="15">
        <v>6426</v>
      </c>
      <c r="U28" s="15">
        <v>6863</v>
      </c>
      <c r="V28" s="15">
        <v>6865</v>
      </c>
      <c r="W28" s="15"/>
      <c r="X28" s="3">
        <v>8883165</v>
      </c>
      <c r="Y28" s="3">
        <f>X28/1000</f>
        <v>8883</v>
      </c>
      <c r="AA28" s="3">
        <v>9255963</v>
      </c>
      <c r="AB28" s="3">
        <f>AA28/1000</f>
        <v>9256</v>
      </c>
      <c r="AD28" s="3">
        <v>10169990</v>
      </c>
      <c r="AE28" s="3">
        <f>AD28/1000</f>
        <v>10170</v>
      </c>
    </row>
    <row r="29" spans="2:25" ht="12.75">
      <c r="B29" s="15"/>
      <c r="C29" s="15"/>
      <c r="D29" s="15"/>
      <c r="E29" s="15"/>
      <c r="F29" s="15"/>
      <c r="G29" s="15"/>
      <c r="H29" s="15"/>
      <c r="J29" s="32"/>
      <c r="K29" s="32"/>
      <c r="L29" s="16"/>
      <c r="M29" s="17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3"/>
      <c r="Y29" s="3"/>
    </row>
    <row r="30" spans="1:31" ht="12.75">
      <c r="A30" s="1" t="s">
        <v>21</v>
      </c>
      <c r="B30" s="15">
        <v>155297</v>
      </c>
      <c r="C30" s="15">
        <v>169070</v>
      </c>
      <c r="D30" s="15">
        <v>190213</v>
      </c>
      <c r="E30" s="15">
        <v>206687</v>
      </c>
      <c r="F30" s="15">
        <v>217180</v>
      </c>
      <c r="G30" s="15">
        <v>227857</v>
      </c>
      <c r="H30" s="15">
        <v>236615</v>
      </c>
      <c r="I30" s="1">
        <v>287212</v>
      </c>
      <c r="J30" s="32">
        <v>276311</v>
      </c>
      <c r="K30" s="32">
        <v>306164</v>
      </c>
      <c r="L30" s="16">
        <f>(K30-J30)*100/J30</f>
        <v>10.8</v>
      </c>
      <c r="M30" s="17">
        <f aca="true" t="shared" si="2" ref="M30:M39">(K30-V30)*100/V30</f>
        <v>80.3</v>
      </c>
      <c r="N30" s="15">
        <v>106078</v>
      </c>
      <c r="O30" s="15">
        <v>111778</v>
      </c>
      <c r="P30" s="15">
        <v>121704</v>
      </c>
      <c r="Q30" s="15">
        <v>134991</v>
      </c>
      <c r="R30" s="15">
        <v>143068</v>
      </c>
      <c r="S30" s="15">
        <v>154034</v>
      </c>
      <c r="T30" s="15">
        <v>163196</v>
      </c>
      <c r="U30" s="15">
        <v>164861</v>
      </c>
      <c r="V30" s="15">
        <v>169804</v>
      </c>
      <c r="W30" s="15"/>
      <c r="X30" s="3">
        <v>287212067</v>
      </c>
      <c r="Y30" s="3">
        <f>X30/1000</f>
        <v>287212</v>
      </c>
      <c r="AA30" s="3">
        <v>276310578</v>
      </c>
      <c r="AB30" s="3">
        <f>AA30/1000</f>
        <v>276311</v>
      </c>
      <c r="AD30" s="3">
        <v>306163972</v>
      </c>
      <c r="AE30" s="3">
        <f>AD30/1000</f>
        <v>306164</v>
      </c>
    </row>
    <row r="31" spans="1:31" ht="12.75">
      <c r="A31" s="1" t="s">
        <v>22</v>
      </c>
      <c r="B31" s="15">
        <v>310304</v>
      </c>
      <c r="C31" s="15">
        <v>328711</v>
      </c>
      <c r="D31" s="15">
        <v>345952</v>
      </c>
      <c r="E31" s="15">
        <v>367773</v>
      </c>
      <c r="F31" s="15">
        <v>402521</v>
      </c>
      <c r="G31" s="15">
        <v>434843</v>
      </c>
      <c r="H31" s="15">
        <v>460845</v>
      </c>
      <c r="I31" s="1">
        <v>523175</v>
      </c>
      <c r="J31" s="32">
        <v>520663</v>
      </c>
      <c r="K31" s="32">
        <v>573611</v>
      </c>
      <c r="L31" s="16">
        <f>(K31-J31)*100/J31</f>
        <v>10.2</v>
      </c>
      <c r="M31" s="17">
        <f t="shared" si="2"/>
        <v>85.2</v>
      </c>
      <c r="N31" s="15">
        <v>160909</v>
      </c>
      <c r="O31" s="15">
        <v>173748</v>
      </c>
      <c r="P31" s="15">
        <v>192746</v>
      </c>
      <c r="Q31" s="15">
        <v>213478</v>
      </c>
      <c r="R31" s="15">
        <v>233869</v>
      </c>
      <c r="S31" s="15">
        <v>251203</v>
      </c>
      <c r="T31" s="15">
        <v>273200</v>
      </c>
      <c r="U31" s="15">
        <v>283218</v>
      </c>
      <c r="V31" s="15">
        <v>309751</v>
      </c>
      <c r="W31" s="15"/>
      <c r="X31" s="3">
        <v>523174922</v>
      </c>
      <c r="Y31" s="3">
        <f>X31/1000</f>
        <v>523175</v>
      </c>
      <c r="AA31" s="3">
        <v>520663329</v>
      </c>
      <c r="AB31" s="3">
        <f>AA31/1000</f>
        <v>520663</v>
      </c>
      <c r="AD31" s="3">
        <v>573611392</v>
      </c>
      <c r="AE31" s="3">
        <f>AD31/1000</f>
        <v>573611</v>
      </c>
    </row>
    <row r="32" spans="1:31" ht="12.75">
      <c r="A32" s="1" t="s">
        <v>23</v>
      </c>
      <c r="B32" s="15">
        <v>13867</v>
      </c>
      <c r="C32" s="15">
        <v>14152</v>
      </c>
      <c r="D32" s="15">
        <v>14772</v>
      </c>
      <c r="E32" s="15">
        <v>15677</v>
      </c>
      <c r="F32" s="15">
        <v>16279</v>
      </c>
      <c r="G32" s="15">
        <v>17282</v>
      </c>
      <c r="H32" s="15">
        <v>18164</v>
      </c>
      <c r="I32" s="1">
        <v>25604</v>
      </c>
      <c r="J32" s="32">
        <v>21184</v>
      </c>
      <c r="K32" s="32">
        <v>22228</v>
      </c>
      <c r="L32" s="16">
        <f>(K32-J32)*100/J32</f>
        <v>4.9</v>
      </c>
      <c r="M32" s="17">
        <f t="shared" si="2"/>
        <v>62.4</v>
      </c>
      <c r="N32" s="15">
        <v>6809</v>
      </c>
      <c r="O32" s="15">
        <v>7700</v>
      </c>
      <c r="P32" s="15">
        <v>8646</v>
      </c>
      <c r="Q32" s="15">
        <v>9347</v>
      </c>
      <c r="R32" s="15">
        <v>10098</v>
      </c>
      <c r="S32" s="15">
        <v>11287</v>
      </c>
      <c r="T32" s="15">
        <v>12127</v>
      </c>
      <c r="U32" s="15">
        <v>13118</v>
      </c>
      <c r="V32" s="15">
        <v>13687</v>
      </c>
      <c r="W32" s="15"/>
      <c r="X32" s="3">
        <v>25604324</v>
      </c>
      <c r="Y32" s="3">
        <f>X32/1000</f>
        <v>25604</v>
      </c>
      <c r="AA32" s="3">
        <v>21183644</v>
      </c>
      <c r="AB32" s="3">
        <f>AA32/1000</f>
        <v>21184</v>
      </c>
      <c r="AD32" s="3">
        <v>22228246</v>
      </c>
      <c r="AE32" s="3">
        <f>AD32/1000</f>
        <v>22228</v>
      </c>
    </row>
    <row r="33" spans="1:31" ht="12.75">
      <c r="A33" s="1" t="s">
        <v>24</v>
      </c>
      <c r="B33" s="15">
        <v>36993</v>
      </c>
      <c r="C33" s="15">
        <v>37561</v>
      </c>
      <c r="D33" s="15">
        <v>39196</v>
      </c>
      <c r="E33" s="15">
        <v>42280</v>
      </c>
      <c r="F33" s="15">
        <v>45224</v>
      </c>
      <c r="G33" s="15">
        <v>47085</v>
      </c>
      <c r="H33" s="15">
        <v>47210</v>
      </c>
      <c r="I33" s="1">
        <v>57422</v>
      </c>
      <c r="J33" s="32">
        <v>52904</v>
      </c>
      <c r="K33" s="32">
        <v>57054</v>
      </c>
      <c r="L33" s="16">
        <f>(K33-J33)*100/J33</f>
        <v>7.8</v>
      </c>
      <c r="M33" s="17">
        <f t="shared" si="2"/>
        <v>50.3</v>
      </c>
      <c r="N33" s="15">
        <v>18352</v>
      </c>
      <c r="O33" s="15">
        <v>20358</v>
      </c>
      <c r="P33" s="15">
        <v>22393</v>
      </c>
      <c r="Q33" s="15">
        <v>24933</v>
      </c>
      <c r="R33" s="15">
        <v>27136</v>
      </c>
      <c r="S33" s="15">
        <v>29880</v>
      </c>
      <c r="T33" s="15">
        <v>31939</v>
      </c>
      <c r="U33" s="15">
        <v>34825</v>
      </c>
      <c r="V33" s="15">
        <v>37949</v>
      </c>
      <c r="W33" s="15"/>
      <c r="X33" s="3">
        <v>57421580</v>
      </c>
      <c r="Y33" s="3">
        <f>X33/1000</f>
        <v>57422</v>
      </c>
      <c r="AA33" s="3">
        <v>52904076</v>
      </c>
      <c r="AB33" s="3">
        <f>AA33/1000</f>
        <v>52904</v>
      </c>
      <c r="AD33" s="3">
        <v>57054027</v>
      </c>
      <c r="AE33" s="3">
        <f>AD33/1000</f>
        <v>57054</v>
      </c>
    </row>
    <row r="34" spans="1:31" ht="12.75">
      <c r="A34" s="1" t="s">
        <v>25</v>
      </c>
      <c r="B34" s="15">
        <v>11719</v>
      </c>
      <c r="C34" s="15">
        <v>11795</v>
      </c>
      <c r="D34" s="15">
        <v>12210</v>
      </c>
      <c r="E34" s="15">
        <v>12430</v>
      </c>
      <c r="F34" s="15">
        <v>12538</v>
      </c>
      <c r="G34" s="15">
        <v>13075</v>
      </c>
      <c r="H34" s="15">
        <v>13303</v>
      </c>
      <c r="I34" s="1">
        <v>13377</v>
      </c>
      <c r="J34" s="32">
        <v>14002</v>
      </c>
      <c r="K34" s="32">
        <v>15734</v>
      </c>
      <c r="L34" s="16">
        <f>(K34-J34)*100/J34</f>
        <v>12.4</v>
      </c>
      <c r="M34" s="17">
        <f t="shared" si="2"/>
        <v>37.2</v>
      </c>
      <c r="N34" s="15">
        <v>5978</v>
      </c>
      <c r="O34" s="15">
        <v>6556</v>
      </c>
      <c r="P34" s="15">
        <v>7265</v>
      </c>
      <c r="Q34" s="15">
        <v>8097</v>
      </c>
      <c r="R34" s="15">
        <v>8757</v>
      </c>
      <c r="S34" s="15">
        <v>9339</v>
      </c>
      <c r="T34" s="15">
        <v>10248</v>
      </c>
      <c r="U34" s="15">
        <v>10787</v>
      </c>
      <c r="V34" s="15">
        <v>11471</v>
      </c>
      <c r="W34" s="15"/>
      <c r="X34" s="3">
        <v>13376710</v>
      </c>
      <c r="Y34" s="3">
        <f>X34/1000</f>
        <v>13377</v>
      </c>
      <c r="AA34" s="3">
        <v>14001870</v>
      </c>
      <c r="AB34" s="3">
        <f>AA34/1000</f>
        <v>14002</v>
      </c>
      <c r="AD34" s="3">
        <v>15734489</v>
      </c>
      <c r="AE34" s="3">
        <f>AD34/1000</f>
        <v>15734</v>
      </c>
    </row>
    <row r="35" spans="2:25" ht="12.75">
      <c r="B35" s="15"/>
      <c r="C35" s="15"/>
      <c r="D35" s="15"/>
      <c r="E35" s="15"/>
      <c r="F35" s="15"/>
      <c r="G35" s="15"/>
      <c r="H35" s="15"/>
      <c r="J35" s="32"/>
      <c r="K35" s="32"/>
      <c r="L35" s="16"/>
      <c r="M35" s="17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3"/>
      <c r="Y35" s="3"/>
    </row>
    <row r="36" spans="1:31" ht="12.75">
      <c r="A36" s="1" t="s">
        <v>26</v>
      </c>
      <c r="B36" s="15">
        <v>5968</v>
      </c>
      <c r="C36" s="15">
        <v>6109</v>
      </c>
      <c r="D36" s="15">
        <v>6391</v>
      </c>
      <c r="E36" s="15">
        <v>6685</v>
      </c>
      <c r="F36" s="15">
        <v>6505</v>
      </c>
      <c r="G36" s="15">
        <v>7153</v>
      </c>
      <c r="H36" s="15">
        <v>6924</v>
      </c>
      <c r="I36" s="1">
        <v>10854</v>
      </c>
      <c r="J36" s="32">
        <v>7120</v>
      </c>
      <c r="K36" s="32">
        <v>7067</v>
      </c>
      <c r="L36" s="16">
        <f>(K36-J36)*100/J36</f>
        <v>-0.7</v>
      </c>
      <c r="M36" s="17">
        <f t="shared" si="2"/>
        <v>8.8</v>
      </c>
      <c r="N36" s="15">
        <v>3657</v>
      </c>
      <c r="O36" s="15">
        <v>4077</v>
      </c>
      <c r="P36" s="15">
        <v>4596</v>
      </c>
      <c r="Q36" s="15">
        <v>4592</v>
      </c>
      <c r="R36" s="15">
        <v>4621</v>
      </c>
      <c r="S36" s="15">
        <v>5336</v>
      </c>
      <c r="T36" s="15">
        <v>5591</v>
      </c>
      <c r="U36" s="15">
        <v>6398</v>
      </c>
      <c r="V36" s="15">
        <v>6494</v>
      </c>
      <c r="W36" s="15"/>
      <c r="X36" s="3">
        <v>10854388</v>
      </c>
      <c r="Y36" s="3">
        <f>X36/1000</f>
        <v>10854</v>
      </c>
      <c r="AA36" s="3">
        <v>7120388</v>
      </c>
      <c r="AB36" s="3">
        <f>AA36/1000</f>
        <v>7120</v>
      </c>
      <c r="AD36" s="3">
        <v>7067132</v>
      </c>
      <c r="AE36" s="3">
        <f>AD36/1000</f>
        <v>7067</v>
      </c>
    </row>
    <row r="37" spans="1:31" ht="12.75">
      <c r="A37" s="1" t="s">
        <v>27</v>
      </c>
      <c r="B37" s="15">
        <v>53148</v>
      </c>
      <c r="C37" s="15">
        <v>55951</v>
      </c>
      <c r="D37" s="15">
        <v>57976</v>
      </c>
      <c r="E37" s="15">
        <v>60158</v>
      </c>
      <c r="F37" s="15">
        <v>62728</v>
      </c>
      <c r="G37" s="15">
        <v>64290</v>
      </c>
      <c r="H37" s="15">
        <v>65472</v>
      </c>
      <c r="I37" s="1">
        <v>70841</v>
      </c>
      <c r="J37" s="32">
        <v>70268</v>
      </c>
      <c r="K37" s="32">
        <v>73729</v>
      </c>
      <c r="L37" s="16">
        <f>(K37-J37)*100/J37</f>
        <v>4.9</v>
      </c>
      <c r="M37" s="17">
        <f t="shared" si="2"/>
        <v>43.6</v>
      </c>
      <c r="N37" s="15">
        <v>26959</v>
      </c>
      <c r="O37" s="15">
        <v>29812</v>
      </c>
      <c r="P37" s="15">
        <v>32828</v>
      </c>
      <c r="Q37" s="15">
        <v>35666</v>
      </c>
      <c r="R37" s="15">
        <v>39091</v>
      </c>
      <c r="S37" s="15">
        <v>42020</v>
      </c>
      <c r="T37" s="15">
        <v>45238</v>
      </c>
      <c r="U37" s="15">
        <v>47890</v>
      </c>
      <c r="V37" s="15">
        <v>51355</v>
      </c>
      <c r="W37" s="15"/>
      <c r="X37" s="3">
        <v>70841448</v>
      </c>
      <c r="Y37" s="3">
        <f>X37/1000</f>
        <v>70841</v>
      </c>
      <c r="AA37" s="3">
        <v>70267894</v>
      </c>
      <c r="AB37" s="3">
        <f>AA37/1000</f>
        <v>70268</v>
      </c>
      <c r="AD37" s="3">
        <v>73728916</v>
      </c>
      <c r="AE37" s="3">
        <f>AD37/1000</f>
        <v>73729</v>
      </c>
    </row>
    <row r="38" spans="1:31" ht="12.75">
      <c r="A38" s="1" t="s">
        <v>28</v>
      </c>
      <c r="B38" s="15">
        <v>38250</v>
      </c>
      <c r="C38" s="15">
        <v>40132</v>
      </c>
      <c r="D38" s="15">
        <v>41818</v>
      </c>
      <c r="E38" s="15">
        <v>43756</v>
      </c>
      <c r="F38" s="15">
        <v>46221</v>
      </c>
      <c r="G38" s="15">
        <v>48275</v>
      </c>
      <c r="H38" s="15">
        <v>49132</v>
      </c>
      <c r="I38" s="1">
        <v>55110</v>
      </c>
      <c r="J38" s="32">
        <v>54566</v>
      </c>
      <c r="K38" s="32">
        <v>58665</v>
      </c>
      <c r="L38" s="16">
        <f>(K38-J38)*100/J38</f>
        <v>7.5</v>
      </c>
      <c r="M38" s="17">
        <f t="shared" si="2"/>
        <v>56.4</v>
      </c>
      <c r="N38" s="15">
        <v>17390</v>
      </c>
      <c r="O38" s="15">
        <v>19272</v>
      </c>
      <c r="P38" s="15">
        <v>21644</v>
      </c>
      <c r="Q38" s="15">
        <v>23704</v>
      </c>
      <c r="R38" s="15">
        <v>26000</v>
      </c>
      <c r="S38" s="15">
        <v>28724</v>
      </c>
      <c r="T38" s="15">
        <v>31585</v>
      </c>
      <c r="U38" s="15">
        <v>34390</v>
      </c>
      <c r="V38" s="15">
        <v>37502</v>
      </c>
      <c r="W38" s="15"/>
      <c r="X38" s="3">
        <v>55109631</v>
      </c>
      <c r="Y38" s="3">
        <f>X38/1000</f>
        <v>55110</v>
      </c>
      <c r="AA38" s="3">
        <v>54566024</v>
      </c>
      <c r="AB38" s="3">
        <f>AA38/1000</f>
        <v>54566</v>
      </c>
      <c r="AD38" s="3">
        <v>58664747</v>
      </c>
      <c r="AE38" s="3">
        <f>AD38/1000</f>
        <v>58665</v>
      </c>
    </row>
    <row r="39" spans="1:31" ht="12.75">
      <c r="A39" s="18" t="s">
        <v>29</v>
      </c>
      <c r="B39" s="15">
        <v>6908</v>
      </c>
      <c r="C39" s="15">
        <v>6933</v>
      </c>
      <c r="D39" s="15">
        <v>7820</v>
      </c>
      <c r="E39" s="15">
        <v>8805</v>
      </c>
      <c r="F39" s="15">
        <v>7872</v>
      </c>
      <c r="G39" s="15">
        <v>10478</v>
      </c>
      <c r="H39" s="15">
        <v>10321</v>
      </c>
      <c r="I39" s="1">
        <v>10584</v>
      </c>
      <c r="J39" s="32">
        <v>11005</v>
      </c>
      <c r="K39" s="32">
        <v>12709</v>
      </c>
      <c r="L39" s="16">
        <f>(K39-J39)*100/J39</f>
        <v>15.5</v>
      </c>
      <c r="M39" s="17">
        <f t="shared" si="2"/>
        <v>81.1</v>
      </c>
      <c r="N39" s="15">
        <v>5169</v>
      </c>
      <c r="O39" s="15">
        <v>5519</v>
      </c>
      <c r="P39" s="15">
        <v>5509</v>
      </c>
      <c r="Q39" s="15">
        <v>5733</v>
      </c>
      <c r="R39" s="15">
        <v>5970</v>
      </c>
      <c r="S39" s="15">
        <v>6354</v>
      </c>
      <c r="T39" s="15">
        <v>6807</v>
      </c>
      <c r="U39" s="15">
        <v>7268</v>
      </c>
      <c r="V39" s="15">
        <v>7019</v>
      </c>
      <c r="W39" s="15"/>
      <c r="X39" s="3">
        <v>10584399</v>
      </c>
      <c r="Y39" s="3">
        <f>X39/1000</f>
        <v>10584</v>
      </c>
      <c r="AA39" s="3">
        <v>11005254</v>
      </c>
      <c r="AB39" s="3">
        <f>AA39/1000</f>
        <v>11005</v>
      </c>
      <c r="AD39" s="3">
        <v>12709086</v>
      </c>
      <c r="AE39" s="3">
        <f>AD39/1000</f>
        <v>12709</v>
      </c>
    </row>
    <row r="40" spans="1:24" ht="12.75">
      <c r="A40" s="1" t="s">
        <v>43</v>
      </c>
      <c r="B40" s="20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O40" s="15"/>
      <c r="T40" s="20"/>
      <c r="U40" s="20"/>
      <c r="V40" s="20"/>
      <c r="W40" s="20"/>
      <c r="X40" s="20"/>
    </row>
    <row r="41" spans="2:24" ht="12.75">
      <c r="B41" s="15"/>
      <c r="C41" s="15"/>
      <c r="T41" s="15"/>
      <c r="U41" s="15"/>
      <c r="V41" s="15"/>
      <c r="W41" s="15"/>
      <c r="X41" s="15"/>
    </row>
    <row r="42" spans="1:24" ht="12.75">
      <c r="A42" s="3"/>
      <c r="B42" s="15"/>
      <c r="C42" s="15"/>
      <c r="T42" s="15"/>
      <c r="U42" s="15"/>
      <c r="V42" s="15"/>
      <c r="W42" s="15"/>
      <c r="X42" s="15"/>
    </row>
    <row r="43" spans="2:24" ht="12.75">
      <c r="B43" s="15"/>
      <c r="C43" s="15"/>
      <c r="T43" s="15"/>
      <c r="U43" s="15"/>
      <c r="V43" s="15"/>
      <c r="W43" s="15"/>
      <c r="X43" s="15"/>
    </row>
    <row r="44" spans="2:24" ht="12.75">
      <c r="B44" s="15"/>
      <c r="C44" s="15"/>
      <c r="T44" s="15"/>
      <c r="U44" s="15"/>
      <c r="V44" s="15"/>
      <c r="W44" s="15"/>
      <c r="X44" s="15"/>
    </row>
    <row r="45" spans="2:24" ht="12.75">
      <c r="B45" s="15"/>
      <c r="C45" s="15"/>
      <c r="T45" s="15"/>
      <c r="U45" s="15"/>
      <c r="V45" s="15"/>
      <c r="W45" s="15"/>
      <c r="X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</sheetData>
  <mergeCells count="3">
    <mergeCell ref="A1:M1"/>
    <mergeCell ref="A3:M3"/>
    <mergeCell ref="A4:M4"/>
  </mergeCells>
  <printOptions/>
  <pageMargins left="0.52" right="0.48" top="1" bottom="0.84" header="0.5" footer="0.5"/>
  <pageSetup fitToHeight="1" fitToWidth="1" orientation="landscape" scale="78" r:id="rId1"/>
  <headerFooter alignWithMargins="0">
    <oddFooter>&amp;L&amp;"Lucida Sans,Italic"&amp;10MSDE-DBS  11 / 2004&amp;C- 3 -&amp;R&amp;"Lucida Sans,Italic"&amp;10Selected Financial Data - Part 4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workbookViewId="0" topLeftCell="A1">
      <selection activeCell="B7" sqref="B7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3" width="6.625" style="1" customWidth="1"/>
    <col min="14" max="22" width="10.125" style="1" customWidth="1"/>
    <col min="23" max="23" width="7.75390625" style="1" customWidth="1"/>
    <col min="24" max="24" width="12.50390625" style="1" bestFit="1" customWidth="1"/>
    <col min="25" max="25" width="10.125" style="3" customWidth="1"/>
    <col min="26" max="26" width="3.125" style="3" customWidth="1"/>
    <col min="27" max="27" width="12.50390625" style="3" bestFit="1" customWidth="1"/>
    <col min="28" max="28" width="10.125" style="3" customWidth="1"/>
    <col min="29" max="29" width="5.00390625" style="3" customWidth="1"/>
    <col min="30" max="30" width="12.50390625" style="3" bestFit="1" customWidth="1"/>
    <col min="31" max="16384" width="10.00390625" style="3" customWidth="1"/>
  </cols>
  <sheetData>
    <row r="1" spans="1:17" ht="12.75">
      <c r="A1" s="205" t="s">
        <v>104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P1" s="2"/>
      <c r="Q1" s="2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2"/>
      <c r="Q2" s="2"/>
      <c r="V2" s="2"/>
    </row>
    <row r="3" spans="1:17" ht="12.75">
      <c r="A3" s="205" t="s">
        <v>49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P3" s="2"/>
      <c r="Q3" s="2"/>
    </row>
    <row r="4" spans="1:17" ht="12.75">
      <c r="A4" s="205" t="s">
        <v>196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P4" s="2"/>
      <c r="Q4" s="2"/>
    </row>
    <row r="5" ht="13.5" thickBot="1"/>
    <row r="6" spans="1:23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R6" s="5"/>
      <c r="T6" s="5"/>
      <c r="U6" s="5"/>
      <c r="V6" s="5"/>
      <c r="W6" s="7"/>
    </row>
    <row r="7" spans="12:13" ht="12.75">
      <c r="L7" s="6" t="s">
        <v>34</v>
      </c>
      <c r="M7" s="6"/>
    </row>
    <row r="8" spans="5:13" ht="12.75">
      <c r="E8" s="7"/>
      <c r="F8" s="7"/>
      <c r="G8" s="7"/>
      <c r="H8" s="7"/>
      <c r="I8" s="7"/>
      <c r="J8" s="7"/>
      <c r="K8" s="7"/>
      <c r="L8" s="10" t="s">
        <v>106</v>
      </c>
      <c r="M8" s="10" t="s">
        <v>107</v>
      </c>
    </row>
    <row r="9" spans="1:28" ht="13.5" thickBot="1">
      <c r="A9" s="8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9" t="s">
        <v>105</v>
      </c>
      <c r="M9" s="9" t="s">
        <v>105</v>
      </c>
      <c r="N9" s="21" t="s">
        <v>2</v>
      </c>
      <c r="O9" s="9" t="s">
        <v>36</v>
      </c>
      <c r="P9" s="9" t="s">
        <v>37</v>
      </c>
      <c r="Q9" s="9" t="s">
        <v>38</v>
      </c>
      <c r="R9" s="9" t="s">
        <v>39</v>
      </c>
      <c r="S9" s="9" t="s">
        <v>40</v>
      </c>
      <c r="T9" s="9" t="s">
        <v>41</v>
      </c>
      <c r="U9" s="8" t="s">
        <v>83</v>
      </c>
      <c r="V9" s="8" t="s">
        <v>84</v>
      </c>
      <c r="W9" s="7"/>
      <c r="X9" s="9" t="s">
        <v>130</v>
      </c>
      <c r="Y9" s="9" t="s">
        <v>130</v>
      </c>
      <c r="AA9" s="9" t="s">
        <v>187</v>
      </c>
      <c r="AB9" s="9" t="s">
        <v>187</v>
      </c>
    </row>
    <row r="10" spans="1:31" ht="12.75">
      <c r="A10" s="7" t="s">
        <v>5</v>
      </c>
      <c r="B10" s="11">
        <f aca="true" t="shared" si="0" ref="B10:I10">SUM(B12:B43)</f>
        <v>2553671</v>
      </c>
      <c r="C10" s="11">
        <f t="shared" si="0"/>
        <v>2728936</v>
      </c>
      <c r="D10" s="11">
        <f t="shared" si="0"/>
        <v>2810524</v>
      </c>
      <c r="E10" s="11">
        <f t="shared" si="0"/>
        <v>2893531</v>
      </c>
      <c r="F10" s="11">
        <f t="shared" si="0"/>
        <v>2999645</v>
      </c>
      <c r="G10" s="11">
        <f t="shared" si="0"/>
        <v>3150814</v>
      </c>
      <c r="H10" s="11">
        <f t="shared" si="0"/>
        <v>3344657</v>
      </c>
      <c r="I10" s="11">
        <f t="shared" si="0"/>
        <v>3624544</v>
      </c>
      <c r="J10" s="11">
        <f>SUM(J12:J43)</f>
        <v>3851120</v>
      </c>
      <c r="K10" s="11">
        <f>SUM(K12:K43)</f>
        <v>3999047</v>
      </c>
      <c r="L10" s="99">
        <f>(K10-J10)/J10</f>
        <v>0.0384</v>
      </c>
      <c r="M10" s="12">
        <f>(K10-V10)/V10</f>
        <v>0.713</v>
      </c>
      <c r="N10" s="11">
        <f aca="true" t="shared" si="1" ref="N10:T10">SUM(N12:N39)</f>
        <v>1326266</v>
      </c>
      <c r="O10" s="11">
        <f t="shared" si="1"/>
        <v>1434688</v>
      </c>
      <c r="P10" s="11">
        <f t="shared" si="1"/>
        <v>1559467</v>
      </c>
      <c r="Q10" s="11">
        <f t="shared" si="1"/>
        <v>1695218</v>
      </c>
      <c r="R10" s="11">
        <f t="shared" si="1"/>
        <v>1879809</v>
      </c>
      <c r="S10" s="11">
        <f t="shared" si="1"/>
        <v>2102992</v>
      </c>
      <c r="T10" s="11">
        <f t="shared" si="1"/>
        <v>2302613</v>
      </c>
      <c r="U10" s="11">
        <f>SUM(U12:U43)</f>
        <v>2296711</v>
      </c>
      <c r="V10" s="11">
        <f>SUM(V12:V43)</f>
        <v>2334422</v>
      </c>
      <c r="W10" s="11"/>
      <c r="X10" s="11">
        <f>SUM(X12:X43)</f>
        <v>3624545182</v>
      </c>
      <c r="Y10" s="11">
        <f>SUM(Y12:Y43)</f>
        <v>3624544</v>
      </c>
      <c r="AA10" s="11">
        <f>SUM(AA12:AA43)</f>
        <v>3851119054</v>
      </c>
      <c r="AB10" s="11">
        <f>SUM(AB12:AB43)</f>
        <v>3851120</v>
      </c>
      <c r="AD10" s="11">
        <f>SUM(AD12:AD43)</f>
        <v>3999046147</v>
      </c>
      <c r="AE10" s="11">
        <f>SUM(AE12:AE43)</f>
        <v>3999047</v>
      </c>
    </row>
    <row r="11" spans="3:19" ht="12.75">
      <c r="C11" s="15"/>
      <c r="D11" s="15"/>
      <c r="E11" s="15"/>
      <c r="F11" s="74"/>
      <c r="G11" s="74"/>
      <c r="H11" s="74"/>
      <c r="M11" s="15"/>
      <c r="O11" s="15"/>
      <c r="R11" s="15"/>
      <c r="S11" s="15"/>
    </row>
    <row r="12" spans="1:31" ht="12.75">
      <c r="A12" s="1" t="s">
        <v>6</v>
      </c>
      <c r="B12" s="15">
        <v>19250</v>
      </c>
      <c r="C12" s="15">
        <v>20230</v>
      </c>
      <c r="D12" s="15">
        <v>20675</v>
      </c>
      <c r="E12" s="15">
        <v>21086</v>
      </c>
      <c r="F12" s="75">
        <v>21580</v>
      </c>
      <c r="G12" s="75">
        <v>22237</v>
      </c>
      <c r="H12" s="75">
        <v>23030</v>
      </c>
      <c r="I12" s="1">
        <v>24868</v>
      </c>
      <c r="J12" s="1">
        <v>26000</v>
      </c>
      <c r="K12" s="1">
        <v>25658</v>
      </c>
      <c r="L12" s="16">
        <f>(K12-J12)*100/J12</f>
        <v>-1.3</v>
      </c>
      <c r="M12" s="17">
        <f>(K12-V12)*100/V12</f>
        <v>44.3</v>
      </c>
      <c r="N12" s="22">
        <v>14821</v>
      </c>
      <c r="O12" s="15">
        <v>14896</v>
      </c>
      <c r="P12" s="15">
        <v>15250</v>
      </c>
      <c r="Q12" s="15">
        <v>15750</v>
      </c>
      <c r="R12" s="15">
        <v>16400</v>
      </c>
      <c r="S12" s="15">
        <v>17000</v>
      </c>
      <c r="T12" s="15">
        <v>17932</v>
      </c>
      <c r="U12" s="15">
        <v>17488</v>
      </c>
      <c r="V12" s="15">
        <v>17786</v>
      </c>
      <c r="W12" s="15"/>
      <c r="X12" s="1">
        <v>24867933</v>
      </c>
      <c r="Y12" s="3">
        <f>X12/1000</f>
        <v>24868</v>
      </c>
      <c r="AA12" s="3">
        <v>25999571</v>
      </c>
      <c r="AB12" s="3">
        <f>AA12/1000</f>
        <v>26000</v>
      </c>
      <c r="AD12" s="3">
        <v>25657928</v>
      </c>
      <c r="AE12" s="3">
        <f>AD12/1000</f>
        <v>25658</v>
      </c>
    </row>
    <row r="13" spans="1:31" ht="12.75">
      <c r="A13" s="1" t="s">
        <v>7</v>
      </c>
      <c r="B13" s="15">
        <v>238107</v>
      </c>
      <c r="C13" s="15">
        <v>260745</v>
      </c>
      <c r="D13" s="15">
        <v>266479</v>
      </c>
      <c r="E13" s="15">
        <v>269866</v>
      </c>
      <c r="F13" s="75">
        <v>274678</v>
      </c>
      <c r="G13" s="75">
        <v>288075</v>
      </c>
      <c r="H13" s="75">
        <v>316085</v>
      </c>
      <c r="I13" s="1">
        <v>342692</v>
      </c>
      <c r="J13" s="1">
        <v>367582</v>
      </c>
      <c r="K13" s="1">
        <v>383840</v>
      </c>
      <c r="L13" s="16">
        <f>(K13-J13)*100/J13</f>
        <v>4.4</v>
      </c>
      <c r="M13" s="17">
        <f>(K13-V13)*100/V13</f>
        <v>79</v>
      </c>
      <c r="N13" s="22">
        <v>117958</v>
      </c>
      <c r="O13" s="15">
        <v>131250</v>
      </c>
      <c r="P13" s="15">
        <v>143539</v>
      </c>
      <c r="Q13" s="15">
        <v>152942</v>
      </c>
      <c r="R13" s="15">
        <v>166332</v>
      </c>
      <c r="S13" s="15">
        <v>190950</v>
      </c>
      <c r="T13" s="15">
        <v>213363</v>
      </c>
      <c r="U13" s="15">
        <v>207212</v>
      </c>
      <c r="V13" s="15">
        <v>214493</v>
      </c>
      <c r="W13" s="15"/>
      <c r="X13" s="1">
        <v>342691879</v>
      </c>
      <c r="Y13" s="3">
        <f>X13/1000</f>
        <v>342692</v>
      </c>
      <c r="AA13" s="3">
        <v>367581500</v>
      </c>
      <c r="AB13" s="3">
        <f>AA13/1000</f>
        <v>367582</v>
      </c>
      <c r="AD13" s="3">
        <v>383840000</v>
      </c>
      <c r="AE13" s="3">
        <f>AD13/1000</f>
        <v>383840</v>
      </c>
    </row>
    <row r="14" spans="1:31" ht="12.75">
      <c r="A14" s="1" t="s">
        <v>8</v>
      </c>
      <c r="B14" s="15">
        <v>190191</v>
      </c>
      <c r="C14" s="15">
        <v>195554</v>
      </c>
      <c r="D14" s="15">
        <v>199202</v>
      </c>
      <c r="E14" s="15">
        <v>199202</v>
      </c>
      <c r="F14" s="75">
        <v>200553</v>
      </c>
      <c r="G14" s="75">
        <v>201565</v>
      </c>
      <c r="H14" s="75">
        <v>204065</v>
      </c>
      <c r="I14" s="1">
        <v>204428</v>
      </c>
      <c r="J14" s="1">
        <v>210260</v>
      </c>
      <c r="K14" s="1">
        <v>207400</v>
      </c>
      <c r="L14" s="16">
        <f>(K14-J14)*100/J14</f>
        <v>-1.4</v>
      </c>
      <c r="M14" s="17">
        <f>(K14-V14)*100/V14</f>
        <v>18.5</v>
      </c>
      <c r="N14" s="22">
        <v>117658</v>
      </c>
      <c r="O14" s="15">
        <v>121403</v>
      </c>
      <c r="P14" s="15">
        <v>126388</v>
      </c>
      <c r="Q14" s="15">
        <v>139147</v>
      </c>
      <c r="R14" s="15">
        <v>154096</v>
      </c>
      <c r="S14" s="15">
        <v>169472</v>
      </c>
      <c r="T14" s="15">
        <v>185703</v>
      </c>
      <c r="U14" s="15">
        <v>181176</v>
      </c>
      <c r="V14" s="15">
        <v>175009</v>
      </c>
      <c r="W14" s="15"/>
      <c r="X14" s="1">
        <v>204428258</v>
      </c>
      <c r="Y14" s="3">
        <f>X14/1000</f>
        <v>204428</v>
      </c>
      <c r="AA14" s="3">
        <v>210259915</v>
      </c>
      <c r="AB14" s="3">
        <f>AA14/1000</f>
        <v>210260</v>
      </c>
      <c r="AD14" s="3">
        <v>207400244</v>
      </c>
      <c r="AE14" s="3">
        <f>AD14/1000</f>
        <v>207400</v>
      </c>
    </row>
    <row r="15" spans="1:31" ht="12.75">
      <c r="A15" s="1" t="s">
        <v>9</v>
      </c>
      <c r="B15" s="15">
        <v>366443</v>
      </c>
      <c r="C15" s="15">
        <v>393346</v>
      </c>
      <c r="D15" s="15">
        <v>404783</v>
      </c>
      <c r="E15" s="15">
        <v>414233</v>
      </c>
      <c r="F15" s="75">
        <v>426130</v>
      </c>
      <c r="G15" s="75">
        <v>442282</v>
      </c>
      <c r="H15" s="75">
        <v>466217</v>
      </c>
      <c r="I15" s="1">
        <v>523250</v>
      </c>
      <c r="J15" s="1">
        <v>545984</v>
      </c>
      <c r="K15" s="1">
        <v>548229</v>
      </c>
      <c r="L15" s="16">
        <f>(K15-J15)*100/J15</f>
        <v>0.4</v>
      </c>
      <c r="M15" s="17">
        <f>(K15-V15)*100/V15</f>
        <v>57.8</v>
      </c>
      <c r="N15" s="22">
        <v>226172</v>
      </c>
      <c r="O15" s="15">
        <v>240570</v>
      </c>
      <c r="P15" s="15">
        <v>257817</v>
      </c>
      <c r="Q15" s="15">
        <v>268181</v>
      </c>
      <c r="R15" s="15">
        <v>301198</v>
      </c>
      <c r="S15" s="15">
        <v>329124</v>
      </c>
      <c r="T15" s="15">
        <v>342250</v>
      </c>
      <c r="U15" s="15">
        <v>346193</v>
      </c>
      <c r="V15" s="15">
        <v>347349</v>
      </c>
      <c r="W15" s="15"/>
      <c r="X15" s="1">
        <v>523250145</v>
      </c>
      <c r="Y15" s="3">
        <f>X15/1000</f>
        <v>523250</v>
      </c>
      <c r="AA15" s="3">
        <v>545983980</v>
      </c>
      <c r="AB15" s="3">
        <f>AA15/1000</f>
        <v>545984</v>
      </c>
      <c r="AD15" s="3">
        <v>548228835</v>
      </c>
      <c r="AE15" s="3">
        <f>AD15/1000</f>
        <v>548229</v>
      </c>
    </row>
    <row r="16" spans="1:31" ht="12.75">
      <c r="A16" s="1" t="s">
        <v>10</v>
      </c>
      <c r="B16" s="15">
        <v>39504</v>
      </c>
      <c r="C16" s="15">
        <v>42004</v>
      </c>
      <c r="D16" s="15">
        <v>45104</v>
      </c>
      <c r="E16" s="15">
        <v>47504</v>
      </c>
      <c r="F16" s="75">
        <v>50204</v>
      </c>
      <c r="G16" s="75">
        <v>54460</v>
      </c>
      <c r="H16" s="75">
        <v>58310</v>
      </c>
      <c r="I16" s="1">
        <v>62710</v>
      </c>
      <c r="J16" s="1">
        <v>68900</v>
      </c>
      <c r="K16" s="1">
        <v>73413</v>
      </c>
      <c r="L16" s="16">
        <f>(K16-J16)*100/J16</f>
        <v>6.6</v>
      </c>
      <c r="M16" s="17">
        <f>(K16-V16)*100/V16</f>
        <v>105</v>
      </c>
      <c r="N16" s="22">
        <v>17489</v>
      </c>
      <c r="O16" s="15">
        <v>18317</v>
      </c>
      <c r="P16" s="15">
        <v>18976</v>
      </c>
      <c r="Q16" s="15">
        <v>21271</v>
      </c>
      <c r="R16" s="15">
        <v>23750</v>
      </c>
      <c r="S16" s="15">
        <v>26671</v>
      </c>
      <c r="T16" s="15">
        <v>28671</v>
      </c>
      <c r="U16" s="15">
        <v>32834</v>
      </c>
      <c r="V16" s="15">
        <v>35803</v>
      </c>
      <c r="W16" s="15"/>
      <c r="X16" s="1">
        <v>62710115</v>
      </c>
      <c r="Y16" s="3">
        <f>X16/1000</f>
        <v>62710</v>
      </c>
      <c r="AA16" s="3">
        <v>68899949</v>
      </c>
      <c r="AB16" s="3">
        <f>AA16/1000</f>
        <v>68900</v>
      </c>
      <c r="AD16" s="3">
        <v>73412612</v>
      </c>
      <c r="AE16" s="3">
        <f>AD16/1000</f>
        <v>73413</v>
      </c>
    </row>
    <row r="17" spans="2:23" ht="12.75">
      <c r="B17" s="15"/>
      <c r="C17" s="15"/>
      <c r="D17" s="15"/>
      <c r="E17" s="15"/>
      <c r="F17" s="75"/>
      <c r="G17" s="75"/>
      <c r="H17" s="75"/>
      <c r="L17" s="16"/>
      <c r="M17" s="17"/>
      <c r="N17" s="22"/>
      <c r="P17" s="15"/>
      <c r="Q17" s="15"/>
      <c r="R17" s="15"/>
      <c r="S17" s="15"/>
      <c r="T17" s="15"/>
      <c r="U17" s="15"/>
      <c r="V17" s="15"/>
      <c r="W17" s="15"/>
    </row>
    <row r="18" spans="1:31" ht="12.75">
      <c r="A18" s="1" t="s">
        <v>11</v>
      </c>
      <c r="B18" s="15">
        <v>8912</v>
      </c>
      <c r="C18" s="15">
        <v>9582</v>
      </c>
      <c r="D18" s="15">
        <v>9753</v>
      </c>
      <c r="E18" s="15">
        <v>10049</v>
      </c>
      <c r="F18" s="75">
        <v>10500</v>
      </c>
      <c r="G18" s="75">
        <v>10698</v>
      </c>
      <c r="H18" s="75">
        <v>10798</v>
      </c>
      <c r="I18" s="1">
        <v>10798</v>
      </c>
      <c r="J18" s="1">
        <v>10677</v>
      </c>
      <c r="K18" s="1">
        <v>10923</v>
      </c>
      <c r="L18" s="16">
        <f>(K18-J18)*100/J18</f>
        <v>2.3</v>
      </c>
      <c r="M18" s="17">
        <f>(K18-V18)*100/V18</f>
        <v>42.6</v>
      </c>
      <c r="N18" s="22">
        <v>4343</v>
      </c>
      <c r="O18" s="15">
        <v>4742</v>
      </c>
      <c r="P18" s="15">
        <v>5175</v>
      </c>
      <c r="Q18" s="15">
        <v>5627</v>
      </c>
      <c r="R18" s="15">
        <v>6238</v>
      </c>
      <c r="S18" s="15">
        <v>6812</v>
      </c>
      <c r="T18" s="15">
        <v>7712</v>
      </c>
      <c r="U18" s="15">
        <v>7662</v>
      </c>
      <c r="V18" s="15">
        <v>7662</v>
      </c>
      <c r="W18" s="15"/>
      <c r="X18" s="1">
        <v>10797748</v>
      </c>
      <c r="Y18" s="3">
        <f>X18/1000</f>
        <v>10798</v>
      </c>
      <c r="AA18" s="3">
        <v>10676594</v>
      </c>
      <c r="AB18" s="3">
        <f>AA18/1000</f>
        <v>10677</v>
      </c>
      <c r="AD18" s="3">
        <v>10922859</v>
      </c>
      <c r="AE18" s="3">
        <f>AD18/1000</f>
        <v>10923</v>
      </c>
    </row>
    <row r="19" spans="1:31" ht="12.75">
      <c r="A19" s="1" t="s">
        <v>12</v>
      </c>
      <c r="B19" s="15">
        <v>64560</v>
      </c>
      <c r="C19" s="15">
        <v>73607</v>
      </c>
      <c r="D19" s="15">
        <v>75801</v>
      </c>
      <c r="E19" s="15">
        <v>78645</v>
      </c>
      <c r="F19" s="75">
        <v>82337</v>
      </c>
      <c r="G19" s="75">
        <v>89057</v>
      </c>
      <c r="H19" s="75">
        <v>93528</v>
      </c>
      <c r="I19" s="1">
        <v>99455</v>
      </c>
      <c r="J19" s="1">
        <v>107235</v>
      </c>
      <c r="K19" s="1">
        <v>112827</v>
      </c>
      <c r="L19" s="16">
        <f>(K19-J19)*100/J19</f>
        <v>5.2</v>
      </c>
      <c r="M19" s="17">
        <f>(K19-V19)*100/V19</f>
        <v>99.9</v>
      </c>
      <c r="N19" s="22">
        <v>28139</v>
      </c>
      <c r="O19" s="15">
        <v>29808</v>
      </c>
      <c r="P19" s="15">
        <v>32002</v>
      </c>
      <c r="Q19" s="15">
        <v>36803</v>
      </c>
      <c r="R19" s="15">
        <v>43253</v>
      </c>
      <c r="S19" s="15">
        <v>48234</v>
      </c>
      <c r="T19" s="15">
        <v>54206</v>
      </c>
      <c r="U19" s="15">
        <v>55326</v>
      </c>
      <c r="V19" s="15">
        <v>56454</v>
      </c>
      <c r="W19" s="15"/>
      <c r="X19" s="1">
        <v>99455133</v>
      </c>
      <c r="Y19" s="3">
        <f>X19/1000</f>
        <v>99455</v>
      </c>
      <c r="AA19" s="3">
        <v>107234647</v>
      </c>
      <c r="AB19" s="3">
        <f>AA19/1000</f>
        <v>107235</v>
      </c>
      <c r="AD19" s="3">
        <v>112826831</v>
      </c>
      <c r="AE19" s="3">
        <f>AD19/1000</f>
        <v>112827</v>
      </c>
    </row>
    <row r="20" spans="1:31" ht="12.75">
      <c r="A20" s="1" t="s">
        <v>13</v>
      </c>
      <c r="B20" s="15">
        <v>32165</v>
      </c>
      <c r="C20" s="15">
        <v>35039</v>
      </c>
      <c r="D20" s="15">
        <v>36057</v>
      </c>
      <c r="E20" s="15">
        <v>36945</v>
      </c>
      <c r="F20" s="75">
        <v>39107</v>
      </c>
      <c r="G20" s="75">
        <v>42407</v>
      </c>
      <c r="H20" s="75">
        <v>45407</v>
      </c>
      <c r="I20" s="1">
        <v>48407</v>
      </c>
      <c r="J20" s="1">
        <v>50884</v>
      </c>
      <c r="K20" s="1">
        <v>53984</v>
      </c>
      <c r="L20" s="16">
        <f>(K20-J20)*100/J20</f>
        <v>6.1</v>
      </c>
      <c r="M20" s="17">
        <f>(K20-V20)*100/V20</f>
        <v>100.2</v>
      </c>
      <c r="N20" s="22">
        <v>15416</v>
      </c>
      <c r="O20" s="15">
        <v>15902</v>
      </c>
      <c r="P20" s="15">
        <v>17194</v>
      </c>
      <c r="Q20" s="15">
        <v>18827</v>
      </c>
      <c r="R20" s="15">
        <v>21695</v>
      </c>
      <c r="S20" s="15">
        <v>24000</v>
      </c>
      <c r="T20" s="15">
        <v>27100</v>
      </c>
      <c r="U20" s="15">
        <v>28900</v>
      </c>
      <c r="V20" s="15">
        <v>26971</v>
      </c>
      <c r="W20" s="15"/>
      <c r="X20" s="1">
        <v>48407433</v>
      </c>
      <c r="Y20" s="3">
        <f>X20/1000</f>
        <v>48407</v>
      </c>
      <c r="AA20" s="3">
        <v>50884355</v>
      </c>
      <c r="AB20" s="3">
        <f>AA20/1000</f>
        <v>50884</v>
      </c>
      <c r="AD20" s="3">
        <v>53984355</v>
      </c>
      <c r="AE20" s="3">
        <f>AD20/1000</f>
        <v>53984</v>
      </c>
    </row>
    <row r="21" spans="1:31" ht="12.75">
      <c r="A21" s="1" t="s">
        <v>14</v>
      </c>
      <c r="B21" s="15">
        <v>54068</v>
      </c>
      <c r="C21" s="15">
        <v>59050</v>
      </c>
      <c r="D21" s="15">
        <v>59442</v>
      </c>
      <c r="E21" s="15">
        <v>62828</v>
      </c>
      <c r="F21" s="75">
        <v>65412</v>
      </c>
      <c r="G21" s="75">
        <v>69459</v>
      </c>
      <c r="H21" s="75">
        <v>76213</v>
      </c>
      <c r="I21" s="1">
        <v>80960</v>
      </c>
      <c r="J21" s="1">
        <v>85681</v>
      </c>
      <c r="K21" s="1">
        <v>90831</v>
      </c>
      <c r="L21" s="16">
        <f>(K21-J21)*100/J21</f>
        <v>6</v>
      </c>
      <c r="M21" s="17">
        <f>(K21-V21)*100/V21</f>
        <v>88.6</v>
      </c>
      <c r="N21" s="22">
        <v>22435</v>
      </c>
      <c r="O21" s="15">
        <v>24789</v>
      </c>
      <c r="P21" s="15">
        <v>27800</v>
      </c>
      <c r="Q21" s="15">
        <v>30243</v>
      </c>
      <c r="R21" s="15">
        <v>35314</v>
      </c>
      <c r="S21" s="15">
        <v>43163</v>
      </c>
      <c r="T21" s="15">
        <v>47580</v>
      </c>
      <c r="U21" s="15">
        <v>47393</v>
      </c>
      <c r="V21" s="15">
        <v>48162</v>
      </c>
      <c r="W21" s="15"/>
      <c r="X21" s="1">
        <v>80960100</v>
      </c>
      <c r="Y21" s="3">
        <f>X21/1000</f>
        <v>80960</v>
      </c>
      <c r="AA21" s="3">
        <v>85680500</v>
      </c>
      <c r="AB21" s="3">
        <f>AA21/1000</f>
        <v>85681</v>
      </c>
      <c r="AD21" s="3">
        <v>90830500</v>
      </c>
      <c r="AE21" s="3">
        <f>AD21/1000</f>
        <v>90831</v>
      </c>
    </row>
    <row r="22" spans="1:31" ht="12.75">
      <c r="A22" s="1" t="s">
        <v>15</v>
      </c>
      <c r="B22" s="15">
        <v>9832</v>
      </c>
      <c r="C22" s="15">
        <v>10671</v>
      </c>
      <c r="D22" s="15">
        <v>11322</v>
      </c>
      <c r="E22" s="15">
        <v>12322</v>
      </c>
      <c r="F22" s="75">
        <v>12866</v>
      </c>
      <c r="G22" s="75">
        <v>12866</v>
      </c>
      <c r="H22" s="75">
        <v>13766</v>
      </c>
      <c r="I22" s="1">
        <v>14352</v>
      </c>
      <c r="J22" s="1">
        <v>14358</v>
      </c>
      <c r="K22" s="1">
        <v>15070</v>
      </c>
      <c r="L22" s="16">
        <f>(K22-J22)*100/J22</f>
        <v>5</v>
      </c>
      <c r="M22" s="17">
        <f>(K22-V22)*100/V22</f>
        <v>78.8</v>
      </c>
      <c r="N22" s="22">
        <v>6592</v>
      </c>
      <c r="O22" s="15">
        <v>6742</v>
      </c>
      <c r="P22" s="15">
        <v>7100</v>
      </c>
      <c r="Q22" s="15">
        <v>7475</v>
      </c>
      <c r="R22" s="15">
        <v>7875</v>
      </c>
      <c r="S22" s="15">
        <v>8575</v>
      </c>
      <c r="T22" s="15">
        <v>9075</v>
      </c>
      <c r="U22" s="15">
        <v>8667</v>
      </c>
      <c r="V22" s="15">
        <v>8428</v>
      </c>
      <c r="W22" s="15"/>
      <c r="X22" s="1">
        <v>14352351</v>
      </c>
      <c r="Y22" s="3">
        <f>X22/1000</f>
        <v>14352</v>
      </c>
      <c r="AA22" s="3">
        <v>14358372</v>
      </c>
      <c r="AB22" s="3">
        <f>AA22/1000</f>
        <v>14358</v>
      </c>
      <c r="AD22" s="3">
        <v>15069791</v>
      </c>
      <c r="AE22" s="3">
        <f>AD22/1000</f>
        <v>15070</v>
      </c>
    </row>
    <row r="23" spans="2:23" ht="12.75">
      <c r="B23" s="15"/>
      <c r="C23" s="15"/>
      <c r="D23" s="15"/>
      <c r="E23" s="15"/>
      <c r="F23" s="75"/>
      <c r="G23" s="75"/>
      <c r="H23" s="75"/>
      <c r="L23" s="16"/>
      <c r="M23" s="17"/>
      <c r="N23" s="22"/>
      <c r="P23" s="15"/>
      <c r="Q23" s="15"/>
      <c r="R23" s="15"/>
      <c r="S23" s="15"/>
      <c r="T23" s="15"/>
      <c r="U23" s="15"/>
      <c r="V23" s="15"/>
      <c r="W23" s="15"/>
    </row>
    <row r="24" spans="1:31" ht="12.75">
      <c r="A24" s="1" t="s">
        <v>16</v>
      </c>
      <c r="B24" s="15">
        <v>84043</v>
      </c>
      <c r="C24" s="15">
        <v>93205</v>
      </c>
      <c r="D24" s="15">
        <v>96790</v>
      </c>
      <c r="E24" s="15">
        <v>100031</v>
      </c>
      <c r="F24" s="75">
        <v>107305</v>
      </c>
      <c r="G24" s="75">
        <v>113550</v>
      </c>
      <c r="H24" s="75">
        <v>123625</v>
      </c>
      <c r="I24" s="1">
        <v>137920</v>
      </c>
      <c r="J24" s="1">
        <v>149616</v>
      </c>
      <c r="K24" s="1">
        <v>157583</v>
      </c>
      <c r="L24" s="16">
        <f>(K24-J24)*100/J24</f>
        <v>5.3</v>
      </c>
      <c r="M24" s="17">
        <f>(K24-V24)*100/V24</f>
        <v>113.4</v>
      </c>
      <c r="N24" s="22">
        <v>36804</v>
      </c>
      <c r="O24" s="15">
        <v>39349</v>
      </c>
      <c r="P24" s="15">
        <v>43737</v>
      </c>
      <c r="Q24" s="15">
        <v>47617</v>
      </c>
      <c r="R24" s="15">
        <v>55293</v>
      </c>
      <c r="S24" s="15">
        <v>63871</v>
      </c>
      <c r="T24" s="15">
        <v>70925</v>
      </c>
      <c r="U24" s="15">
        <v>75148</v>
      </c>
      <c r="V24" s="15">
        <v>73860</v>
      </c>
      <c r="W24" s="15"/>
      <c r="X24" s="1">
        <v>137919649</v>
      </c>
      <c r="Y24" s="3">
        <f>X24/1000</f>
        <v>137920</v>
      </c>
      <c r="AA24" s="3">
        <v>149616400</v>
      </c>
      <c r="AB24" s="3">
        <f>AA24/1000</f>
        <v>149616</v>
      </c>
      <c r="AD24" s="3">
        <v>157583145</v>
      </c>
      <c r="AE24" s="3">
        <f>AD24/1000</f>
        <v>157583</v>
      </c>
    </row>
    <row r="25" spans="1:31" ht="12.75">
      <c r="A25" s="1" t="s">
        <v>17</v>
      </c>
      <c r="B25" s="15">
        <v>10432</v>
      </c>
      <c r="C25" s="15">
        <v>10649</v>
      </c>
      <c r="D25" s="15">
        <v>11382</v>
      </c>
      <c r="E25" s="15">
        <v>11830</v>
      </c>
      <c r="F25" s="75">
        <v>12068</v>
      </c>
      <c r="G25" s="75">
        <v>12772</v>
      </c>
      <c r="H25" s="75">
        <v>13537</v>
      </c>
      <c r="I25" s="1">
        <v>14413</v>
      </c>
      <c r="J25" s="1">
        <v>15118</v>
      </c>
      <c r="K25" s="1">
        <v>15680</v>
      </c>
      <c r="L25" s="16">
        <f>(K25-J25)*100/J25</f>
        <v>3.7</v>
      </c>
      <c r="M25" s="17">
        <f>(K25-V25)*100/V25</f>
        <v>78.3</v>
      </c>
      <c r="N25" s="22">
        <v>5223</v>
      </c>
      <c r="O25" s="15">
        <v>5744</v>
      </c>
      <c r="P25" s="15">
        <v>6152</v>
      </c>
      <c r="Q25" s="15">
        <v>6697</v>
      </c>
      <c r="R25" s="15">
        <v>7479</v>
      </c>
      <c r="S25" s="15">
        <v>8086</v>
      </c>
      <c r="T25" s="15">
        <v>9050</v>
      </c>
      <c r="U25" s="15">
        <v>8829</v>
      </c>
      <c r="V25" s="15">
        <v>8796</v>
      </c>
      <c r="W25" s="15"/>
      <c r="X25" s="1">
        <v>14413213</v>
      </c>
      <c r="Y25" s="3">
        <f>X25/1000</f>
        <v>14413</v>
      </c>
      <c r="AA25" s="3">
        <v>15118404</v>
      </c>
      <c r="AB25" s="3">
        <f>AA25/1000</f>
        <v>15118</v>
      </c>
      <c r="AD25" s="3">
        <v>15679901</v>
      </c>
      <c r="AE25" s="3">
        <f>AD25/1000</f>
        <v>15680</v>
      </c>
    </row>
    <row r="26" spans="1:31" ht="12.75">
      <c r="A26" s="1" t="s">
        <v>18</v>
      </c>
      <c r="B26" s="15">
        <v>87500</v>
      </c>
      <c r="C26" s="15">
        <v>94418</v>
      </c>
      <c r="D26" s="15">
        <v>101054</v>
      </c>
      <c r="E26" s="15">
        <v>105082</v>
      </c>
      <c r="F26" s="75">
        <v>109844</v>
      </c>
      <c r="G26" s="75">
        <v>113800</v>
      </c>
      <c r="H26" s="75">
        <v>119220</v>
      </c>
      <c r="I26" s="1">
        <v>128102</v>
      </c>
      <c r="J26" s="1">
        <v>138335</v>
      </c>
      <c r="K26" s="1">
        <v>146051</v>
      </c>
      <c r="L26" s="16">
        <f>(K26-J26)*100/J26</f>
        <v>5.6</v>
      </c>
      <c r="M26" s="17">
        <f>(K26-V26)*100/V26</f>
        <v>93.8</v>
      </c>
      <c r="N26" s="22">
        <v>39424</v>
      </c>
      <c r="O26" s="15">
        <v>41395</v>
      </c>
      <c r="P26" s="15">
        <v>44095</v>
      </c>
      <c r="Q26" s="15">
        <v>48781</v>
      </c>
      <c r="R26" s="15">
        <v>53982</v>
      </c>
      <c r="S26" s="15">
        <v>61348</v>
      </c>
      <c r="T26" s="15">
        <v>69881</v>
      </c>
      <c r="U26" s="15">
        <v>72176</v>
      </c>
      <c r="V26" s="15">
        <v>75363</v>
      </c>
      <c r="W26" s="15"/>
      <c r="X26" s="1">
        <v>128102196</v>
      </c>
      <c r="Y26" s="3">
        <f>X26/1000</f>
        <v>128102</v>
      </c>
      <c r="AA26" s="3">
        <v>138335279</v>
      </c>
      <c r="AB26" s="3">
        <f>AA26/1000</f>
        <v>138335</v>
      </c>
      <c r="AD26" s="3">
        <v>146051098</v>
      </c>
      <c r="AE26" s="3">
        <f>AD26/1000</f>
        <v>146051</v>
      </c>
    </row>
    <row r="27" spans="1:31" ht="12.75">
      <c r="A27" s="1" t="s">
        <v>19</v>
      </c>
      <c r="B27" s="15">
        <v>151842</v>
      </c>
      <c r="C27" s="15">
        <v>162340</v>
      </c>
      <c r="D27" s="15">
        <v>170840</v>
      </c>
      <c r="E27" s="15">
        <v>177425</v>
      </c>
      <c r="F27" s="75">
        <v>184605</v>
      </c>
      <c r="G27" s="75">
        <v>199129</v>
      </c>
      <c r="H27" s="75">
        <v>220800</v>
      </c>
      <c r="I27" s="1">
        <v>248277</v>
      </c>
      <c r="J27" s="1">
        <v>274540</v>
      </c>
      <c r="K27" s="1">
        <v>292401</v>
      </c>
      <c r="L27" s="16">
        <f>(K27-J27)*100/J27</f>
        <v>6.5</v>
      </c>
      <c r="M27" s="17">
        <f>(K27-V27)*100/V27</f>
        <v>112.6</v>
      </c>
      <c r="N27" s="22">
        <v>61338</v>
      </c>
      <c r="O27" s="15">
        <v>69432</v>
      </c>
      <c r="P27" s="15">
        <v>78539</v>
      </c>
      <c r="Q27" s="15">
        <v>87763</v>
      </c>
      <c r="R27" s="15">
        <v>101938</v>
      </c>
      <c r="S27" s="15">
        <v>120731</v>
      </c>
      <c r="T27" s="15">
        <v>138467</v>
      </c>
      <c r="U27" s="15">
        <v>133648</v>
      </c>
      <c r="V27" s="15">
        <v>137530</v>
      </c>
      <c r="W27" s="15"/>
      <c r="X27" s="1">
        <v>248277270</v>
      </c>
      <c r="Y27" s="3">
        <f>X27/1000</f>
        <v>248277</v>
      </c>
      <c r="AA27" s="3">
        <v>274540340</v>
      </c>
      <c r="AB27" s="3">
        <f>AA27/1000</f>
        <v>274540</v>
      </c>
      <c r="AD27" s="3">
        <v>292400940</v>
      </c>
      <c r="AE27" s="3">
        <f>AD27/1000</f>
        <v>292401</v>
      </c>
    </row>
    <row r="28" spans="1:31" ht="12.75">
      <c r="A28" s="1" t="s">
        <v>20</v>
      </c>
      <c r="B28" s="15">
        <v>9033</v>
      </c>
      <c r="C28" s="15">
        <v>9874</v>
      </c>
      <c r="D28" s="15">
        <v>10110</v>
      </c>
      <c r="E28" s="15">
        <v>10368</v>
      </c>
      <c r="F28" s="75">
        <v>10790</v>
      </c>
      <c r="G28" s="75">
        <v>11090</v>
      </c>
      <c r="H28" s="75">
        <v>11537</v>
      </c>
      <c r="I28" s="1">
        <v>12492</v>
      </c>
      <c r="J28" s="1">
        <v>13484</v>
      </c>
      <c r="K28" s="1">
        <v>13437</v>
      </c>
      <c r="L28" s="16">
        <f>(K28-J28)*100/J28</f>
        <v>-0.3</v>
      </c>
      <c r="M28" s="17">
        <f>(K28-V28)*100/V28</f>
        <v>78.2</v>
      </c>
      <c r="N28" s="22">
        <v>3995</v>
      </c>
      <c r="O28" s="15">
        <v>4356</v>
      </c>
      <c r="P28" s="15">
        <v>4956</v>
      </c>
      <c r="Q28" s="15">
        <v>5211</v>
      </c>
      <c r="R28" s="15">
        <v>6611</v>
      </c>
      <c r="S28" s="15">
        <v>7126</v>
      </c>
      <c r="T28" s="15">
        <v>7397</v>
      </c>
      <c r="U28" s="15">
        <v>7139</v>
      </c>
      <c r="V28" s="15">
        <v>7542</v>
      </c>
      <c r="W28" s="15"/>
      <c r="X28" s="1">
        <v>12491694</v>
      </c>
      <c r="Y28" s="3">
        <f>X28/1000</f>
        <v>12492</v>
      </c>
      <c r="AA28" s="3">
        <v>13484252</v>
      </c>
      <c r="AB28" s="3">
        <f>AA28/1000</f>
        <v>13484</v>
      </c>
      <c r="AD28" s="3">
        <v>13437085</v>
      </c>
      <c r="AE28" s="3">
        <f>AD28/1000</f>
        <v>13437</v>
      </c>
    </row>
    <row r="29" spans="2:23" ht="12.75">
      <c r="B29" s="15"/>
      <c r="C29" s="15"/>
      <c r="D29" s="15"/>
      <c r="E29" s="15"/>
      <c r="F29" s="75"/>
      <c r="G29" s="75"/>
      <c r="H29" s="75"/>
      <c r="L29" s="16"/>
      <c r="M29" s="17"/>
      <c r="N29" s="22"/>
      <c r="O29" s="15"/>
      <c r="P29" s="15"/>
      <c r="Q29" s="15"/>
      <c r="R29" s="15"/>
      <c r="S29" s="15"/>
      <c r="T29" s="15"/>
      <c r="U29" s="15"/>
      <c r="V29" s="15"/>
      <c r="W29" s="15"/>
    </row>
    <row r="30" spans="1:31" ht="12.75">
      <c r="A30" s="1" t="s">
        <v>21</v>
      </c>
      <c r="B30" s="15">
        <v>666176</v>
      </c>
      <c r="C30" s="15">
        <v>694727</v>
      </c>
      <c r="D30" s="15">
        <v>718687</v>
      </c>
      <c r="E30" s="15">
        <v>740909</v>
      </c>
      <c r="F30" s="75">
        <v>775813</v>
      </c>
      <c r="G30" s="75">
        <v>821457</v>
      </c>
      <c r="H30" s="75">
        <v>872189</v>
      </c>
      <c r="I30" s="1">
        <v>959722</v>
      </c>
      <c r="J30" s="1">
        <v>1030003</v>
      </c>
      <c r="K30" s="1">
        <v>1065185</v>
      </c>
      <c r="L30" s="16">
        <f>(K30-J30)*100/J30</f>
        <v>3.4</v>
      </c>
      <c r="M30" s="17">
        <f>(K30-V30)*100/V30</f>
        <v>71.1</v>
      </c>
      <c r="N30" s="22">
        <v>330035</v>
      </c>
      <c r="O30" s="15">
        <v>361632</v>
      </c>
      <c r="P30" s="15">
        <v>398053</v>
      </c>
      <c r="Q30" s="15">
        <v>434583</v>
      </c>
      <c r="R30" s="15">
        <v>488064</v>
      </c>
      <c r="S30" s="15">
        <v>545378</v>
      </c>
      <c r="T30" s="15">
        <v>601408</v>
      </c>
      <c r="U30" s="15">
        <v>603605</v>
      </c>
      <c r="V30" s="15">
        <v>622469</v>
      </c>
      <c r="W30" s="15"/>
      <c r="X30" s="1">
        <v>959722321</v>
      </c>
      <c r="Y30" s="3">
        <f>X30/1000</f>
        <v>959722</v>
      </c>
      <c r="AA30" s="3">
        <v>1030002553</v>
      </c>
      <c r="AB30" s="3">
        <f>AA30/1000</f>
        <v>1030003</v>
      </c>
      <c r="AD30" s="3">
        <v>1065185268</v>
      </c>
      <c r="AE30" s="3">
        <f>AD30/1000</f>
        <v>1065185</v>
      </c>
    </row>
    <row r="31" spans="1:31" ht="12.75">
      <c r="A31" s="1" t="s">
        <v>22</v>
      </c>
      <c r="B31" s="15">
        <v>349164</v>
      </c>
      <c r="C31" s="15">
        <v>376988</v>
      </c>
      <c r="D31" s="15">
        <v>385470</v>
      </c>
      <c r="E31" s="15">
        <v>398605</v>
      </c>
      <c r="F31" s="75">
        <v>408086</v>
      </c>
      <c r="G31" s="75">
        <v>422402</v>
      </c>
      <c r="H31" s="75">
        <v>437615</v>
      </c>
      <c r="I31" s="1">
        <v>453301</v>
      </c>
      <c r="J31" s="1">
        <v>468356</v>
      </c>
      <c r="K31" s="1">
        <v>500379</v>
      </c>
      <c r="L31" s="16">
        <f>(K31-J31)*100/J31</f>
        <v>6.8</v>
      </c>
      <c r="M31" s="17">
        <f>(K31-V31)*100/V31</f>
        <v>58.5</v>
      </c>
      <c r="N31" s="22">
        <v>191107</v>
      </c>
      <c r="O31" s="15">
        <v>209385</v>
      </c>
      <c r="P31" s="15">
        <v>227674</v>
      </c>
      <c r="Q31" s="15">
        <v>253843</v>
      </c>
      <c r="R31" s="15">
        <v>265954</v>
      </c>
      <c r="S31" s="15">
        <v>294038</v>
      </c>
      <c r="T31" s="15">
        <v>319301</v>
      </c>
      <c r="U31" s="15">
        <v>307939</v>
      </c>
      <c r="V31" s="15">
        <v>315662</v>
      </c>
      <c r="W31" s="15"/>
      <c r="X31" s="1">
        <v>453301306</v>
      </c>
      <c r="Y31" s="3">
        <f>X31/1000</f>
        <v>453301</v>
      </c>
      <c r="AA31" s="3">
        <v>468355887</v>
      </c>
      <c r="AB31" s="3">
        <f>AA31/1000</f>
        <v>468356</v>
      </c>
      <c r="AD31" s="3">
        <v>500378852</v>
      </c>
      <c r="AE31" s="3">
        <f>AD31/1000</f>
        <v>500379</v>
      </c>
    </row>
    <row r="32" spans="1:31" ht="12.75">
      <c r="A32" s="1" t="s">
        <v>23</v>
      </c>
      <c r="B32" s="15">
        <v>18530</v>
      </c>
      <c r="C32" s="15">
        <v>20192</v>
      </c>
      <c r="D32" s="15">
        <v>20730</v>
      </c>
      <c r="E32" s="15">
        <v>21929</v>
      </c>
      <c r="F32" s="75">
        <v>22607</v>
      </c>
      <c r="G32" s="75">
        <v>25707</v>
      </c>
      <c r="H32" s="75">
        <v>27058</v>
      </c>
      <c r="I32" s="1">
        <v>29258</v>
      </c>
      <c r="J32" s="1">
        <v>30978</v>
      </c>
      <c r="K32" s="1">
        <v>32757</v>
      </c>
      <c r="L32" s="16">
        <f>(K32-J32)*100/J32</f>
        <v>5.7</v>
      </c>
      <c r="M32" s="17">
        <f>(K32-V32)*100/V32</f>
        <v>93.7</v>
      </c>
      <c r="N32" s="22">
        <v>7597</v>
      </c>
      <c r="O32" s="15">
        <v>8874</v>
      </c>
      <c r="P32" s="15">
        <v>10206</v>
      </c>
      <c r="Q32" s="15">
        <v>10812</v>
      </c>
      <c r="R32" s="15">
        <v>11500</v>
      </c>
      <c r="S32" s="15">
        <v>13150</v>
      </c>
      <c r="T32" s="15">
        <v>15600</v>
      </c>
      <c r="U32" s="15">
        <v>16845</v>
      </c>
      <c r="V32" s="15">
        <v>16912</v>
      </c>
      <c r="W32" s="15"/>
      <c r="X32" s="1">
        <v>29257534</v>
      </c>
      <c r="Y32" s="3">
        <f>X32/1000</f>
        <v>29258</v>
      </c>
      <c r="AA32" s="3">
        <v>30978413</v>
      </c>
      <c r="AB32" s="3">
        <f>AA32/1000</f>
        <v>30978</v>
      </c>
      <c r="AD32" s="3">
        <v>32757413</v>
      </c>
      <c r="AE32" s="3">
        <f>AD32/1000</f>
        <v>32757</v>
      </c>
    </row>
    <row r="33" spans="1:31" ht="12.75">
      <c r="A33" s="1" t="s">
        <v>24</v>
      </c>
      <c r="B33" s="15">
        <v>32329</v>
      </c>
      <c r="C33" s="15">
        <v>36252</v>
      </c>
      <c r="D33" s="15">
        <v>36256</v>
      </c>
      <c r="E33" s="15">
        <v>38631</v>
      </c>
      <c r="F33" s="75">
        <v>40060</v>
      </c>
      <c r="G33" s="75">
        <v>42888</v>
      </c>
      <c r="H33" s="75">
        <v>46460</v>
      </c>
      <c r="I33" s="1">
        <v>49691</v>
      </c>
      <c r="J33" s="1">
        <v>52520</v>
      </c>
      <c r="K33" s="1">
        <v>54535</v>
      </c>
      <c r="L33" s="16">
        <f>(K33-J33)*100/J33</f>
        <v>3.8</v>
      </c>
      <c r="M33" s="17">
        <f>(K33-V33)*100/V33</f>
        <v>84.3</v>
      </c>
      <c r="N33" s="22">
        <v>15066</v>
      </c>
      <c r="O33" s="15">
        <v>15808</v>
      </c>
      <c r="P33" s="15">
        <v>17774</v>
      </c>
      <c r="Q33" s="15">
        <v>20036</v>
      </c>
      <c r="R33" s="15">
        <v>22026</v>
      </c>
      <c r="S33" s="15">
        <v>23676</v>
      </c>
      <c r="T33" s="15">
        <v>26829</v>
      </c>
      <c r="U33" s="15">
        <v>30075</v>
      </c>
      <c r="V33" s="15">
        <v>29595</v>
      </c>
      <c r="W33" s="15"/>
      <c r="X33" s="1">
        <v>49690740</v>
      </c>
      <c r="Y33" s="3">
        <f>X33/1000</f>
        <v>49691</v>
      </c>
      <c r="AA33" s="3">
        <v>52520215</v>
      </c>
      <c r="AB33" s="3">
        <f>AA33/1000</f>
        <v>52520</v>
      </c>
      <c r="AD33" s="3">
        <v>54534715</v>
      </c>
      <c r="AE33" s="3">
        <f>AD33/1000</f>
        <v>54535</v>
      </c>
    </row>
    <row r="34" spans="1:31" ht="12.75">
      <c r="A34" s="1" t="s">
        <v>25</v>
      </c>
      <c r="B34" s="15">
        <v>5539</v>
      </c>
      <c r="C34" s="15">
        <v>6267</v>
      </c>
      <c r="D34" s="15">
        <v>6580</v>
      </c>
      <c r="E34" s="15">
        <v>6449</v>
      </c>
      <c r="F34" s="75">
        <v>7094</v>
      </c>
      <c r="G34" s="75">
        <v>7619</v>
      </c>
      <c r="H34" s="75">
        <v>8119</v>
      </c>
      <c r="I34" s="1">
        <v>8850</v>
      </c>
      <c r="J34" s="1">
        <v>8692</v>
      </c>
      <c r="K34" s="1">
        <v>8844</v>
      </c>
      <c r="L34" s="16">
        <f>(K34-J34)*100/J34</f>
        <v>1.7</v>
      </c>
      <c r="M34" s="17">
        <f>(K34-V34)*100/V34</f>
        <v>103.8</v>
      </c>
      <c r="N34" s="22">
        <v>2737</v>
      </c>
      <c r="O34" s="15">
        <v>3007</v>
      </c>
      <c r="P34" s="15">
        <v>3278</v>
      </c>
      <c r="Q34" s="15">
        <v>3380</v>
      </c>
      <c r="R34" s="15">
        <v>3910</v>
      </c>
      <c r="S34" s="15">
        <v>4414</v>
      </c>
      <c r="T34" s="15">
        <v>4773</v>
      </c>
      <c r="U34" s="15">
        <v>4443</v>
      </c>
      <c r="V34" s="15">
        <v>4339</v>
      </c>
      <c r="W34" s="15"/>
      <c r="X34" s="1">
        <v>8849988</v>
      </c>
      <c r="Y34" s="3">
        <f>X34/1000</f>
        <v>8850</v>
      </c>
      <c r="AA34" s="3">
        <v>8691732</v>
      </c>
      <c r="AB34" s="3">
        <f>AA34/1000</f>
        <v>8692</v>
      </c>
      <c r="AD34" s="3">
        <v>8843759</v>
      </c>
      <c r="AE34" s="3">
        <f>AD34/1000</f>
        <v>8844</v>
      </c>
    </row>
    <row r="35" spans="2:23" ht="12.75">
      <c r="B35" s="15"/>
      <c r="C35" s="15"/>
      <c r="D35" s="15"/>
      <c r="E35" s="15"/>
      <c r="F35" s="75"/>
      <c r="G35" s="75"/>
      <c r="H35" s="75"/>
      <c r="L35" s="16"/>
      <c r="M35" s="17"/>
      <c r="O35" s="15"/>
      <c r="P35" s="15"/>
      <c r="R35" s="15"/>
      <c r="S35" s="15"/>
      <c r="T35" s="15"/>
      <c r="U35" s="15"/>
      <c r="V35" s="15"/>
      <c r="W35" s="15"/>
    </row>
    <row r="36" spans="1:31" ht="12.75">
      <c r="A36" s="1" t="s">
        <v>26</v>
      </c>
      <c r="B36" s="15">
        <v>16807</v>
      </c>
      <c r="C36" s="15">
        <v>18550</v>
      </c>
      <c r="D36" s="15">
        <v>17675</v>
      </c>
      <c r="E36" s="15">
        <v>18578</v>
      </c>
      <c r="F36" s="75">
        <v>19162</v>
      </c>
      <c r="G36" s="75">
        <v>19949</v>
      </c>
      <c r="H36" s="75">
        <v>20946</v>
      </c>
      <c r="I36" s="1">
        <v>22370</v>
      </c>
      <c r="J36" s="1">
        <v>24072</v>
      </c>
      <c r="K36" s="1">
        <v>25804</v>
      </c>
      <c r="L36" s="16">
        <f>(K36-J36)*100/J36</f>
        <v>7.2</v>
      </c>
      <c r="M36" s="17">
        <f>(K36-V36)*100/V36</f>
        <v>85</v>
      </c>
      <c r="N36" s="22">
        <v>7893</v>
      </c>
      <c r="O36" s="15">
        <v>8311</v>
      </c>
      <c r="P36" s="15">
        <v>8689</v>
      </c>
      <c r="Q36" s="15">
        <v>10679</v>
      </c>
      <c r="R36" s="15">
        <v>11877</v>
      </c>
      <c r="S36" s="15">
        <v>13741</v>
      </c>
      <c r="T36" s="15">
        <v>14397</v>
      </c>
      <c r="U36" s="15">
        <v>13580</v>
      </c>
      <c r="V36" s="15">
        <v>13947</v>
      </c>
      <c r="W36" s="15"/>
      <c r="X36" s="1">
        <v>22369792</v>
      </c>
      <c r="Y36" s="3">
        <f>X36/1000</f>
        <v>22370</v>
      </c>
      <c r="AA36" s="3">
        <v>24071992</v>
      </c>
      <c r="AB36" s="3">
        <f>AA36/1000</f>
        <v>24072</v>
      </c>
      <c r="AD36" s="3">
        <v>25804352</v>
      </c>
      <c r="AE36" s="3">
        <f>AD36/1000</f>
        <v>25804</v>
      </c>
    </row>
    <row r="37" spans="1:31" ht="12.75">
      <c r="A37" s="1" t="s">
        <v>27</v>
      </c>
      <c r="B37" s="15">
        <v>43223</v>
      </c>
      <c r="C37" s="15">
        <v>45898</v>
      </c>
      <c r="D37" s="15">
        <v>47037</v>
      </c>
      <c r="E37" s="15">
        <v>48233</v>
      </c>
      <c r="F37" s="75">
        <v>51661</v>
      </c>
      <c r="G37" s="75">
        <v>55841</v>
      </c>
      <c r="H37" s="75">
        <v>60440</v>
      </c>
      <c r="I37" s="1">
        <v>64576</v>
      </c>
      <c r="J37" s="1">
        <v>69564</v>
      </c>
      <c r="K37" s="1">
        <v>72071</v>
      </c>
      <c r="L37" s="16">
        <f>(K37-J37)*100/J37</f>
        <v>3.6</v>
      </c>
      <c r="M37" s="17">
        <f>(K37-V37)*100/V37</f>
        <v>86</v>
      </c>
      <c r="N37" s="22">
        <v>27008</v>
      </c>
      <c r="O37" s="15">
        <v>28416</v>
      </c>
      <c r="P37" s="15">
        <v>30616</v>
      </c>
      <c r="Q37" s="15">
        <v>32715</v>
      </c>
      <c r="R37" s="15">
        <v>34986</v>
      </c>
      <c r="S37" s="15">
        <v>37730</v>
      </c>
      <c r="T37" s="15">
        <v>40501</v>
      </c>
      <c r="U37" s="15">
        <v>41061</v>
      </c>
      <c r="V37" s="15">
        <v>38751</v>
      </c>
      <c r="W37" s="15"/>
      <c r="X37" s="1">
        <v>64576254</v>
      </c>
      <c r="Y37" s="3">
        <f>X37/1000</f>
        <v>64576</v>
      </c>
      <c r="AA37" s="3">
        <v>69563895</v>
      </c>
      <c r="AB37" s="3">
        <f>AA37/1000</f>
        <v>69564</v>
      </c>
      <c r="AD37" s="3">
        <v>72070834</v>
      </c>
      <c r="AE37" s="3">
        <f>AD37/1000</f>
        <v>72071</v>
      </c>
    </row>
    <row r="38" spans="1:31" ht="12.75">
      <c r="A38" s="1" t="s">
        <v>28</v>
      </c>
      <c r="B38" s="15">
        <v>27313</v>
      </c>
      <c r="C38" s="15">
        <v>29526</v>
      </c>
      <c r="D38" s="15">
        <v>28153</v>
      </c>
      <c r="E38" s="15">
        <v>30343</v>
      </c>
      <c r="F38" s="75">
        <v>31788</v>
      </c>
      <c r="G38" s="75">
        <v>35426</v>
      </c>
      <c r="H38" s="75">
        <v>38144</v>
      </c>
      <c r="I38" s="1">
        <v>42844</v>
      </c>
      <c r="J38" s="1">
        <v>43744</v>
      </c>
      <c r="K38" s="1">
        <v>44665</v>
      </c>
      <c r="L38" s="16">
        <f>(K38-J38)*100/J38</f>
        <v>2.1</v>
      </c>
      <c r="M38" s="17">
        <f>(K38-V38)*100/V38</f>
        <v>78.3</v>
      </c>
      <c r="N38" s="22">
        <v>14583</v>
      </c>
      <c r="O38" s="15">
        <v>16325</v>
      </c>
      <c r="P38" s="15">
        <v>17277</v>
      </c>
      <c r="Q38" s="15">
        <v>18115</v>
      </c>
      <c r="R38" s="15">
        <v>20214</v>
      </c>
      <c r="S38" s="15">
        <v>23660</v>
      </c>
      <c r="T38" s="15">
        <v>26121</v>
      </c>
      <c r="U38" s="15">
        <v>23499</v>
      </c>
      <c r="V38" s="15">
        <v>25052</v>
      </c>
      <c r="W38" s="15"/>
      <c r="X38" s="1">
        <v>42843788</v>
      </c>
      <c r="Y38" s="3">
        <f>X38/1000</f>
        <v>42844</v>
      </c>
      <c r="AA38" s="3">
        <v>43743788</v>
      </c>
      <c r="AB38" s="3">
        <f>AA38/1000</f>
        <v>43744</v>
      </c>
      <c r="AD38" s="3">
        <v>44665088</v>
      </c>
      <c r="AE38" s="3">
        <f>AD38/1000</f>
        <v>44665</v>
      </c>
    </row>
    <row r="39" spans="1:31" ht="12.75">
      <c r="A39" s="1" t="s">
        <v>29</v>
      </c>
      <c r="B39" s="15">
        <v>28708</v>
      </c>
      <c r="C39" s="15">
        <v>30222</v>
      </c>
      <c r="D39" s="15">
        <v>31142</v>
      </c>
      <c r="E39" s="15">
        <v>32438</v>
      </c>
      <c r="F39" s="76">
        <v>35395</v>
      </c>
      <c r="G39" s="75">
        <v>36078</v>
      </c>
      <c r="H39" s="75">
        <v>37548</v>
      </c>
      <c r="I39" s="1">
        <v>40808</v>
      </c>
      <c r="J39" s="1">
        <v>44537</v>
      </c>
      <c r="K39" s="1">
        <v>47480</v>
      </c>
      <c r="L39" s="16">
        <f>(K39-J39)*100/J39</f>
        <v>6.6</v>
      </c>
      <c r="M39" s="17">
        <f>(K39-V39)*100/V39</f>
        <v>79.3</v>
      </c>
      <c r="N39" s="22">
        <v>12433</v>
      </c>
      <c r="O39" s="15">
        <v>14235</v>
      </c>
      <c r="P39" s="15">
        <v>17180</v>
      </c>
      <c r="Q39" s="15">
        <v>18720</v>
      </c>
      <c r="R39" s="15">
        <v>19824</v>
      </c>
      <c r="S39" s="15">
        <v>22042</v>
      </c>
      <c r="T39" s="15">
        <v>24371</v>
      </c>
      <c r="U39" s="15">
        <v>25873</v>
      </c>
      <c r="V39" s="15">
        <v>26487</v>
      </c>
      <c r="W39" s="15"/>
      <c r="X39" s="1">
        <v>40808342</v>
      </c>
      <c r="Y39" s="3">
        <f>X39/1000</f>
        <v>40808</v>
      </c>
      <c r="AA39" s="3">
        <v>44536521</v>
      </c>
      <c r="AB39" s="3">
        <f>AA39/1000</f>
        <v>44537</v>
      </c>
      <c r="AD39" s="3">
        <v>47479742</v>
      </c>
      <c r="AE39" s="3">
        <f>AD39/1000</f>
        <v>47480</v>
      </c>
    </row>
    <row r="40" spans="1:22" ht="12.75">
      <c r="A40" s="19"/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P40" s="19"/>
      <c r="Q40" s="19"/>
      <c r="V40" s="19"/>
    </row>
    <row r="41" ht="12.75">
      <c r="C41" s="15"/>
    </row>
    <row r="42" spans="2:17" ht="12.75">
      <c r="B42" s="15"/>
      <c r="C42" s="15"/>
      <c r="P42" s="15"/>
      <c r="Q42" s="15"/>
    </row>
    <row r="43" spans="2:17" ht="12.75">
      <c r="B43" s="15"/>
      <c r="C43" s="15"/>
      <c r="P43" s="15"/>
      <c r="Q43" s="15"/>
    </row>
    <row r="44" spans="2:17" ht="12.75">
      <c r="B44" s="15"/>
      <c r="C44" s="15"/>
      <c r="P44" s="15"/>
      <c r="Q44" s="15"/>
    </row>
    <row r="45" spans="2:17" ht="12.75">
      <c r="B45" s="15"/>
      <c r="C45" s="15"/>
      <c r="P45" s="15"/>
      <c r="Q45" s="15"/>
    </row>
    <row r="46" spans="2:17" ht="12.75">
      <c r="B46" s="15"/>
      <c r="C46" s="15"/>
      <c r="P46" s="15"/>
      <c r="Q46" s="15"/>
    </row>
    <row r="47" spans="2:3" ht="12.75">
      <c r="B47" s="15"/>
      <c r="C47" s="15"/>
    </row>
    <row r="48" spans="2:3" ht="12.75">
      <c r="B48" s="15"/>
      <c r="C48" s="15"/>
    </row>
    <row r="49" spans="2:3" ht="12.75">
      <c r="B49" s="15"/>
      <c r="C49" s="15"/>
    </row>
    <row r="50" spans="2:3" ht="12.75">
      <c r="B50" s="15"/>
      <c r="C50" s="15"/>
    </row>
    <row r="51" spans="2:3" ht="12.75">
      <c r="B51" s="15"/>
      <c r="C51" s="15"/>
    </row>
    <row r="52" ht="12.75">
      <c r="C52" s="15"/>
    </row>
    <row r="53" ht="12.75">
      <c r="C53" s="15"/>
    </row>
  </sheetData>
  <mergeCells count="3">
    <mergeCell ref="A4:M4"/>
    <mergeCell ref="A3:M3"/>
    <mergeCell ref="A1:M1"/>
  </mergeCells>
  <printOptions/>
  <pageMargins left="0.4" right="0.41" top="1" bottom="1" header="0.5" footer="0.5"/>
  <pageSetup fitToHeight="1" fitToWidth="1" orientation="landscape" scale="80" r:id="rId1"/>
  <headerFooter alignWithMargins="0">
    <oddFooter>&amp;L&amp;"Lucida Sans,Italic"&amp;10MSDE-DBS  11 / 2004&amp;C- 4 -&amp;R&amp;"Lucida Sans,Italic"&amp;10Selected Financial Data - Part 4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workbookViewId="0" topLeftCell="E1">
      <selection activeCell="G7" sqref="G7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3" width="6.625" style="1" customWidth="1"/>
    <col min="14" max="14" width="8.625" style="1" bestFit="1" customWidth="1"/>
    <col min="15" max="19" width="10.125" style="1" customWidth="1"/>
    <col min="20" max="21" width="10.125" style="3" customWidth="1"/>
    <col min="22" max="22" width="10.125" style="1" customWidth="1"/>
    <col min="23" max="23" width="7.875" style="3" customWidth="1"/>
    <col min="24" max="24" width="13.125" style="3" bestFit="1" customWidth="1"/>
    <col min="25" max="25" width="10.00390625" style="3" customWidth="1"/>
    <col min="26" max="26" width="3.625" style="3" customWidth="1"/>
    <col min="27" max="27" width="13.125" style="3" bestFit="1" customWidth="1"/>
    <col min="28" max="28" width="10.00390625" style="3" customWidth="1"/>
    <col min="29" max="29" width="3.375" style="3" customWidth="1"/>
    <col min="30" max="16384" width="10.00390625" style="3" customWidth="1"/>
  </cols>
  <sheetData>
    <row r="1" spans="1:22" ht="15.75" customHeight="1">
      <c r="A1" s="128" t="s">
        <v>117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"/>
      <c r="P1" s="2"/>
      <c r="Q1" s="2"/>
      <c r="R1" s="2"/>
      <c r="V1" s="128"/>
    </row>
    <row r="2" spans="1:22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2"/>
      <c r="P2" s="2"/>
      <c r="Q2" s="2"/>
      <c r="R2" s="2"/>
      <c r="V2" s="128"/>
    </row>
    <row r="3" spans="1:22" ht="12.75">
      <c r="A3" s="128" t="s">
        <v>50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0"/>
      <c r="P3" s="2"/>
      <c r="Q3" s="2"/>
      <c r="R3" s="2"/>
      <c r="V3" s="128"/>
    </row>
    <row r="4" spans="1:22" ht="12.75">
      <c r="A4" s="128" t="s">
        <v>196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0"/>
      <c r="P4" s="2"/>
      <c r="Q4" s="2"/>
      <c r="R4" s="2"/>
      <c r="V4" s="128"/>
    </row>
    <row r="5" spans="1:22" ht="13.5" thickBot="1">
      <c r="A5" s="23"/>
      <c r="B5" s="23"/>
      <c r="C5" s="23"/>
      <c r="D5" s="23"/>
      <c r="E5" s="23"/>
      <c r="F5" s="23"/>
      <c r="G5" s="23"/>
      <c r="N5" s="23"/>
      <c r="P5" s="23"/>
      <c r="Q5" s="23"/>
      <c r="R5" s="23"/>
      <c r="S5" s="23"/>
      <c r="V5" s="23"/>
    </row>
    <row r="6" spans="1:22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R6" s="5"/>
      <c r="S6" s="3"/>
      <c r="T6" s="5"/>
      <c r="U6" s="5"/>
      <c r="V6" s="5"/>
    </row>
    <row r="7" spans="12:21" ht="12.75">
      <c r="L7" s="6" t="s">
        <v>34</v>
      </c>
      <c r="M7" s="6"/>
      <c r="S7" s="3"/>
      <c r="T7" s="1"/>
      <c r="U7" s="1"/>
    </row>
    <row r="8" spans="1:22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7" t="s">
        <v>106</v>
      </c>
      <c r="M8" s="27" t="s">
        <v>107</v>
      </c>
      <c r="O8" s="7"/>
      <c r="P8" s="7"/>
      <c r="Q8" s="7"/>
      <c r="R8" s="7"/>
      <c r="S8" s="3"/>
      <c r="T8" s="7"/>
      <c r="U8" s="7"/>
      <c r="V8" s="7"/>
    </row>
    <row r="9" spans="1:28" ht="13.5" thickBot="1">
      <c r="A9" s="8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9" t="s">
        <v>105</v>
      </c>
      <c r="M9" s="9" t="s">
        <v>105</v>
      </c>
      <c r="N9" s="10" t="s">
        <v>48</v>
      </c>
      <c r="O9" s="9" t="s">
        <v>36</v>
      </c>
      <c r="P9" s="9" t="s">
        <v>31</v>
      </c>
      <c r="Q9" s="9" t="s">
        <v>81</v>
      </c>
      <c r="R9" s="9" t="s">
        <v>32</v>
      </c>
      <c r="S9" s="9" t="s">
        <v>51</v>
      </c>
      <c r="T9" s="9" t="s">
        <v>85</v>
      </c>
      <c r="U9" s="8" t="s">
        <v>89</v>
      </c>
      <c r="V9" s="8" t="s">
        <v>88</v>
      </c>
      <c r="X9" s="9" t="s">
        <v>130</v>
      </c>
      <c r="Y9" s="9" t="s">
        <v>130</v>
      </c>
      <c r="AA9" s="9" t="s">
        <v>187</v>
      </c>
      <c r="AB9" s="9" t="s">
        <v>187</v>
      </c>
    </row>
    <row r="10" spans="1:31" ht="13.5" thickTop="1">
      <c r="A10" s="7" t="s">
        <v>5</v>
      </c>
      <c r="B10" s="11">
        <v>258385</v>
      </c>
      <c r="C10" s="24">
        <v>269938</v>
      </c>
      <c r="D10" s="24">
        <v>271776</v>
      </c>
      <c r="E10" s="24">
        <v>303882</v>
      </c>
      <c r="F10" s="24">
        <v>328358</v>
      </c>
      <c r="G10" s="24">
        <v>362568</v>
      </c>
      <c r="H10" s="24">
        <v>397904</v>
      </c>
      <c r="I10" s="24">
        <v>479697</v>
      </c>
      <c r="J10" s="24">
        <v>529948</v>
      </c>
      <c r="K10" s="24">
        <f>SUM(K12:K39)</f>
        <v>571041</v>
      </c>
      <c r="L10" s="12">
        <f>(K10-J10)/J10</f>
        <v>0.078</v>
      </c>
      <c r="M10" s="12">
        <f>(K10-V10)/V10</f>
        <v>1.266</v>
      </c>
      <c r="N10" s="14">
        <f aca="true" t="shared" si="0" ref="N10:S10">SUM(N12:N39)</f>
        <v>138994</v>
      </c>
      <c r="O10" s="11">
        <f t="shared" si="0"/>
        <v>147408</v>
      </c>
      <c r="P10" s="11">
        <f t="shared" si="0"/>
        <v>153125</v>
      </c>
      <c r="Q10" s="11">
        <f t="shared" si="0"/>
        <v>162056</v>
      </c>
      <c r="R10" s="11">
        <f t="shared" si="0"/>
        <v>177746</v>
      </c>
      <c r="S10" s="11">
        <f t="shared" si="0"/>
        <v>187242</v>
      </c>
      <c r="T10" s="11">
        <f>SUM(T12:T39)</f>
        <v>204219</v>
      </c>
      <c r="U10" s="11">
        <f>SUM(U12:U39)</f>
        <v>230061</v>
      </c>
      <c r="V10" s="11">
        <f>SUM(V12:V39)</f>
        <v>252013</v>
      </c>
      <c r="X10" s="32">
        <f>SUM(X12:X39)</f>
        <v>479696621</v>
      </c>
      <c r="Y10" s="32">
        <f>SUM(Y12:Y39)</f>
        <v>479697</v>
      </c>
      <c r="AA10" s="147">
        <v>529946907</v>
      </c>
      <c r="AB10" s="32">
        <f>SUM(AB12:AB39)</f>
        <v>529948</v>
      </c>
      <c r="AD10" s="32">
        <f>SUM(AD12:AD39)</f>
        <v>571042257</v>
      </c>
      <c r="AE10" s="32">
        <f>SUM(AE12:AE39)</f>
        <v>571041</v>
      </c>
    </row>
    <row r="11" spans="3:27" ht="12.75">
      <c r="C11" s="15"/>
      <c r="D11" s="15"/>
      <c r="E11" s="15"/>
      <c r="F11" s="15"/>
      <c r="G11" s="15"/>
      <c r="H11" s="15"/>
      <c r="I11" s="15"/>
      <c r="J11" s="15"/>
      <c r="K11" s="15"/>
      <c r="M11" s="15"/>
      <c r="O11" s="15"/>
      <c r="R11" s="15"/>
      <c r="S11" s="15"/>
      <c r="T11" s="1"/>
      <c r="U11" s="1"/>
      <c r="AA11" s="134"/>
    </row>
    <row r="12" spans="1:31" ht="12.75">
      <c r="A12" s="1" t="s">
        <v>6</v>
      </c>
      <c r="B12" s="15">
        <v>5660</v>
      </c>
      <c r="C12" s="15">
        <v>5867</v>
      </c>
      <c r="D12" s="15">
        <v>6228</v>
      </c>
      <c r="E12" s="15">
        <v>6769</v>
      </c>
      <c r="F12" s="15">
        <v>6681</v>
      </c>
      <c r="G12" s="15">
        <v>8135</v>
      </c>
      <c r="H12" s="15">
        <v>10008</v>
      </c>
      <c r="I12" s="15">
        <v>9702</v>
      </c>
      <c r="J12" s="15">
        <v>10787</v>
      </c>
      <c r="K12" s="15">
        <v>10844</v>
      </c>
      <c r="L12" s="16">
        <f>(K12-J12)*100/J12</f>
        <v>0.5</v>
      </c>
      <c r="M12" s="17">
        <f>(K12-V12)*100/V12</f>
        <v>110.9</v>
      </c>
      <c r="N12" s="15">
        <v>2867</v>
      </c>
      <c r="O12" s="15">
        <v>3078</v>
      </c>
      <c r="P12" s="15">
        <v>3082</v>
      </c>
      <c r="Q12" s="15">
        <v>3417</v>
      </c>
      <c r="R12" s="15">
        <v>3637</v>
      </c>
      <c r="S12" s="15">
        <v>3709</v>
      </c>
      <c r="T12" s="15">
        <v>3989</v>
      </c>
      <c r="U12" s="15">
        <v>4572</v>
      </c>
      <c r="V12" s="15">
        <f>5141765/1000</f>
        <v>5142</v>
      </c>
      <c r="X12" s="100">
        <v>9701581.53</v>
      </c>
      <c r="Y12" s="3">
        <f>X12/1000</f>
        <v>9702</v>
      </c>
      <c r="AA12" s="133">
        <v>10786918</v>
      </c>
      <c r="AB12" s="3">
        <f>AA12/1000</f>
        <v>10787</v>
      </c>
      <c r="AD12" s="3">
        <v>10844497</v>
      </c>
      <c r="AE12" s="3">
        <f>AD12/1000</f>
        <v>10844</v>
      </c>
    </row>
    <row r="13" spans="1:31" ht="12.75">
      <c r="A13" s="1" t="s">
        <v>7</v>
      </c>
      <c r="B13" s="15">
        <v>16818</v>
      </c>
      <c r="C13" s="15">
        <v>16930</v>
      </c>
      <c r="D13" s="15">
        <v>17941</v>
      </c>
      <c r="E13" s="15">
        <v>15365</v>
      </c>
      <c r="F13" s="15">
        <v>18958</v>
      </c>
      <c r="G13" s="15">
        <v>23140</v>
      </c>
      <c r="H13" s="15">
        <v>22160</v>
      </c>
      <c r="I13" s="15">
        <v>29263</v>
      </c>
      <c r="J13" s="15">
        <v>32619</v>
      </c>
      <c r="K13" s="15">
        <v>36241</v>
      </c>
      <c r="L13" s="16">
        <f>(K13-J13)*100/J13</f>
        <v>11.1</v>
      </c>
      <c r="M13" s="17">
        <f>(K13-V13)*100/V13</f>
        <v>109.8</v>
      </c>
      <c r="N13" s="15">
        <v>10022</v>
      </c>
      <c r="O13" s="15">
        <v>10413</v>
      </c>
      <c r="P13" s="15">
        <v>12924</v>
      </c>
      <c r="Q13" s="15">
        <v>10820</v>
      </c>
      <c r="R13" s="15">
        <v>13425</v>
      </c>
      <c r="S13" s="15">
        <v>14249</v>
      </c>
      <c r="T13" s="15">
        <v>14066</v>
      </c>
      <c r="U13" s="15">
        <v>15669</v>
      </c>
      <c r="V13" s="15">
        <f>17273210/1000</f>
        <v>17273</v>
      </c>
      <c r="X13" s="100">
        <v>29262682.75</v>
      </c>
      <c r="Y13" s="3">
        <f>X13/1000</f>
        <v>29263</v>
      </c>
      <c r="AA13" s="133">
        <v>32619037</v>
      </c>
      <c r="AB13" s="3">
        <f>AA13/1000</f>
        <v>32619</v>
      </c>
      <c r="AD13" s="3">
        <v>36240602</v>
      </c>
      <c r="AE13" s="3">
        <f>AD13/1000</f>
        <v>36241</v>
      </c>
    </row>
    <row r="14" spans="1:31" ht="12.75">
      <c r="A14" s="1" t="s">
        <v>8</v>
      </c>
      <c r="B14" s="15">
        <v>75897</v>
      </c>
      <c r="C14" s="15">
        <v>78577</v>
      </c>
      <c r="D14" s="15">
        <v>79756</v>
      </c>
      <c r="E14" s="15">
        <v>99987</v>
      </c>
      <c r="F14" s="15">
        <v>98507</v>
      </c>
      <c r="G14" s="15">
        <v>107912</v>
      </c>
      <c r="H14" s="15">
        <v>107464</v>
      </c>
      <c r="I14" s="15">
        <v>148228</v>
      </c>
      <c r="J14" s="15">
        <v>150340</v>
      </c>
      <c r="K14" s="15">
        <v>142798</v>
      </c>
      <c r="L14" s="16">
        <f>(K14-J14)*100/J14</f>
        <v>-5</v>
      </c>
      <c r="M14" s="17">
        <f>(K14-V14)*100/V14</f>
        <v>70.9</v>
      </c>
      <c r="N14" s="15">
        <v>45795</v>
      </c>
      <c r="O14" s="15">
        <v>48609</v>
      </c>
      <c r="P14" s="15">
        <v>49575</v>
      </c>
      <c r="Q14" s="15">
        <v>51918</v>
      </c>
      <c r="R14" s="15">
        <v>55495</v>
      </c>
      <c r="S14" s="15">
        <v>61106</v>
      </c>
      <c r="T14" s="15">
        <v>68401</v>
      </c>
      <c r="U14" s="15">
        <v>77236</v>
      </c>
      <c r="V14" s="15">
        <f>83543443/1000</f>
        <v>83543</v>
      </c>
      <c r="X14" s="100">
        <v>148228409.92</v>
      </c>
      <c r="Y14" s="3">
        <f>X14/1000</f>
        <v>148228</v>
      </c>
      <c r="AA14" s="133">
        <v>150340122</v>
      </c>
      <c r="AB14" s="3">
        <f>AA14/1000</f>
        <v>150340</v>
      </c>
      <c r="AD14" s="3">
        <v>142797908</v>
      </c>
      <c r="AE14" s="3">
        <f>AD14/1000</f>
        <v>142798</v>
      </c>
    </row>
    <row r="15" spans="1:31" ht="12.75">
      <c r="A15" s="1" t="s">
        <v>9</v>
      </c>
      <c r="B15" s="15">
        <v>25374</v>
      </c>
      <c r="C15" s="15">
        <v>27499</v>
      </c>
      <c r="D15" s="15">
        <v>26910</v>
      </c>
      <c r="E15" s="15">
        <v>34839</v>
      </c>
      <c r="F15" s="15">
        <v>37629</v>
      </c>
      <c r="G15" s="15">
        <v>37275</v>
      </c>
      <c r="H15" s="15">
        <v>42527</v>
      </c>
      <c r="I15" s="15">
        <v>46767</v>
      </c>
      <c r="J15" s="15">
        <v>51438</v>
      </c>
      <c r="K15" s="15">
        <v>61460</v>
      </c>
      <c r="L15" s="16">
        <f>(K15-J15)*100/J15</f>
        <v>19.5</v>
      </c>
      <c r="M15" s="17">
        <f>(K15-V15)*100/V15</f>
        <v>259.3</v>
      </c>
      <c r="N15" s="15">
        <v>10271</v>
      </c>
      <c r="O15" s="15">
        <v>10596</v>
      </c>
      <c r="P15" s="15">
        <v>10861</v>
      </c>
      <c r="Q15" s="15">
        <v>11208</v>
      </c>
      <c r="R15" s="15">
        <v>12554</v>
      </c>
      <c r="S15" s="15">
        <v>13570</v>
      </c>
      <c r="T15" s="15">
        <v>14633</v>
      </c>
      <c r="U15" s="15">
        <v>15802</v>
      </c>
      <c r="V15" s="15">
        <f>17104138/1000</f>
        <v>17104</v>
      </c>
      <c r="X15" s="100">
        <v>46767234.05</v>
      </c>
      <c r="Y15" s="3">
        <f>X15/1000</f>
        <v>46767</v>
      </c>
      <c r="AA15" s="133">
        <v>51437727</v>
      </c>
      <c r="AB15" s="3">
        <f>AA15/1000</f>
        <v>51438</v>
      </c>
      <c r="AD15" s="3">
        <v>61459955</v>
      </c>
      <c r="AE15" s="3">
        <f>AD15/1000</f>
        <v>61460</v>
      </c>
    </row>
    <row r="16" spans="1:31" ht="12.75">
      <c r="A16" s="1" t="s">
        <v>10</v>
      </c>
      <c r="B16" s="15">
        <v>2770</v>
      </c>
      <c r="C16" s="15">
        <v>2791</v>
      </c>
      <c r="D16" s="15">
        <v>2835</v>
      </c>
      <c r="E16" s="15">
        <v>3145</v>
      </c>
      <c r="F16" s="15">
        <v>3644</v>
      </c>
      <c r="G16" s="15">
        <v>4413</v>
      </c>
      <c r="H16" s="15">
        <v>5110</v>
      </c>
      <c r="I16" s="15">
        <v>6178</v>
      </c>
      <c r="J16" s="15">
        <v>7001</v>
      </c>
      <c r="K16" s="15">
        <v>7545</v>
      </c>
      <c r="L16" s="16">
        <f>(K16-J16)*100/J16</f>
        <v>7.8</v>
      </c>
      <c r="M16" s="17">
        <f>(K16-V16)*100/V16</f>
        <v>179.2</v>
      </c>
      <c r="N16" s="15">
        <v>1578</v>
      </c>
      <c r="O16" s="15">
        <v>1737</v>
      </c>
      <c r="P16" s="15">
        <v>1619</v>
      </c>
      <c r="Q16" s="15">
        <v>1632</v>
      </c>
      <c r="R16" s="15">
        <v>1861</v>
      </c>
      <c r="S16" s="15">
        <v>1918</v>
      </c>
      <c r="T16" s="15">
        <v>2355</v>
      </c>
      <c r="U16" s="15">
        <v>2330</v>
      </c>
      <c r="V16" s="15">
        <f>2701527/1000</f>
        <v>2702</v>
      </c>
      <c r="X16" s="100">
        <v>6178363.54</v>
      </c>
      <c r="Y16" s="3">
        <f>X16/1000</f>
        <v>6178</v>
      </c>
      <c r="AA16" s="133">
        <v>7000997</v>
      </c>
      <c r="AB16" s="3">
        <f>AA16/1000</f>
        <v>7001</v>
      </c>
      <c r="AD16" s="3">
        <v>7545469</v>
      </c>
      <c r="AE16" s="3">
        <f>AD16/1000</f>
        <v>7545</v>
      </c>
    </row>
    <row r="17" spans="2:27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7"/>
      <c r="N17" s="15"/>
      <c r="O17" s="15"/>
      <c r="P17" s="15"/>
      <c r="Q17" s="15"/>
      <c r="R17" s="15"/>
      <c r="S17" s="15"/>
      <c r="T17" s="15"/>
      <c r="U17" s="15"/>
      <c r="V17" s="15"/>
      <c r="X17" s="32"/>
      <c r="AA17" s="133"/>
    </row>
    <row r="18" spans="1:31" ht="12.75">
      <c r="A18" s="1" t="s">
        <v>11</v>
      </c>
      <c r="B18" s="15">
        <v>2119</v>
      </c>
      <c r="C18" s="15">
        <v>2198</v>
      </c>
      <c r="D18" s="15">
        <v>2503</v>
      </c>
      <c r="E18" s="15">
        <v>2455</v>
      </c>
      <c r="F18" s="15">
        <v>2437</v>
      </c>
      <c r="G18" s="15">
        <v>3092</v>
      </c>
      <c r="H18" s="15">
        <v>3248</v>
      </c>
      <c r="I18" s="15">
        <v>3549</v>
      </c>
      <c r="J18" s="15">
        <v>4620</v>
      </c>
      <c r="K18" s="15">
        <v>4723</v>
      </c>
      <c r="L18" s="16">
        <f>(K18-J18)*100/J18</f>
        <v>2.2</v>
      </c>
      <c r="M18" s="17">
        <f>(K18-V18)*100/V18</f>
        <v>149.9</v>
      </c>
      <c r="N18" s="15">
        <v>1157</v>
      </c>
      <c r="O18" s="15">
        <v>1134</v>
      </c>
      <c r="P18" s="15">
        <v>1180</v>
      </c>
      <c r="Q18" s="15">
        <v>1274</v>
      </c>
      <c r="R18" s="15">
        <v>1469</v>
      </c>
      <c r="S18" s="15">
        <v>1497</v>
      </c>
      <c r="T18" s="15">
        <v>1587</v>
      </c>
      <c r="U18" s="15">
        <v>1666</v>
      </c>
      <c r="V18" s="15">
        <f>1889535/1000</f>
        <v>1890</v>
      </c>
      <c r="X18" s="100">
        <v>3548623.45</v>
      </c>
      <c r="Y18" s="3">
        <f>X18/1000</f>
        <v>3549</v>
      </c>
      <c r="AA18" s="133">
        <v>4619511.04</v>
      </c>
      <c r="AB18" s="3">
        <f>AA18/1000</f>
        <v>4620</v>
      </c>
      <c r="AD18" s="3">
        <v>4723428.42</v>
      </c>
      <c r="AE18" s="3">
        <f>AD18/1000</f>
        <v>4723</v>
      </c>
    </row>
    <row r="19" spans="1:31" ht="12.75">
      <c r="A19" s="1" t="s">
        <v>12</v>
      </c>
      <c r="B19" s="15">
        <v>4525</v>
      </c>
      <c r="C19" s="15">
        <v>4786</v>
      </c>
      <c r="D19" s="15">
        <v>4526</v>
      </c>
      <c r="E19" s="15">
        <v>4633</v>
      </c>
      <c r="F19" s="15">
        <v>4990</v>
      </c>
      <c r="G19" s="15">
        <v>6397</v>
      </c>
      <c r="H19" s="15">
        <v>6924</v>
      </c>
      <c r="I19" s="15">
        <v>8639</v>
      </c>
      <c r="J19" s="15">
        <v>9611</v>
      </c>
      <c r="K19" s="15">
        <v>11984</v>
      </c>
      <c r="L19" s="16">
        <f>(K19-J19)*100/J19</f>
        <v>24.7</v>
      </c>
      <c r="M19" s="17">
        <f>(K19-V19)*100/V19</f>
        <v>178.1</v>
      </c>
      <c r="N19" s="15">
        <v>2234</v>
      </c>
      <c r="O19" s="15">
        <v>2423</v>
      </c>
      <c r="P19" s="15">
        <v>2461</v>
      </c>
      <c r="Q19" s="15">
        <v>2486</v>
      </c>
      <c r="R19" s="15">
        <v>2628</v>
      </c>
      <c r="S19" s="15">
        <v>2922</v>
      </c>
      <c r="T19" s="15">
        <v>3230</v>
      </c>
      <c r="U19" s="15">
        <v>3768</v>
      </c>
      <c r="V19" s="15">
        <f>4308882/1000</f>
        <v>4309</v>
      </c>
      <c r="X19" s="100">
        <v>8638568.32</v>
      </c>
      <c r="Y19" s="3">
        <f>X19/1000</f>
        <v>8639</v>
      </c>
      <c r="AA19" s="133">
        <v>9611031</v>
      </c>
      <c r="AB19" s="3">
        <f>AA19/1000</f>
        <v>9611</v>
      </c>
      <c r="AD19" s="3">
        <v>11983586</v>
      </c>
      <c r="AE19" s="3">
        <f>AD19/1000</f>
        <v>11984</v>
      </c>
    </row>
    <row r="20" spans="1:31" ht="12.75">
      <c r="A20" s="1" t="s">
        <v>13</v>
      </c>
      <c r="B20" s="15">
        <v>3502</v>
      </c>
      <c r="C20" s="15">
        <v>3774</v>
      </c>
      <c r="D20" s="15">
        <v>3672</v>
      </c>
      <c r="E20" s="15">
        <v>3914</v>
      </c>
      <c r="F20" s="15">
        <v>4527</v>
      </c>
      <c r="G20" s="15">
        <v>5495</v>
      </c>
      <c r="H20" s="15">
        <v>5975</v>
      </c>
      <c r="I20" s="15">
        <v>7167</v>
      </c>
      <c r="J20" s="15">
        <v>8469</v>
      </c>
      <c r="K20" s="15">
        <v>9014</v>
      </c>
      <c r="L20" s="16">
        <f>(K20-J20)*100/J20</f>
        <v>6.4</v>
      </c>
      <c r="M20" s="17">
        <f>(K20-V20)*100/V20</f>
        <v>197.5</v>
      </c>
      <c r="N20" s="15">
        <v>1843</v>
      </c>
      <c r="O20" s="15">
        <v>2009</v>
      </c>
      <c r="P20" s="15">
        <v>2080</v>
      </c>
      <c r="Q20" s="15">
        <v>2141</v>
      </c>
      <c r="R20" s="15">
        <v>2143</v>
      </c>
      <c r="S20" s="15">
        <v>2404</v>
      </c>
      <c r="T20" s="15">
        <v>2441</v>
      </c>
      <c r="U20" s="15">
        <v>2714</v>
      </c>
      <c r="V20" s="15">
        <f>3030411/1000</f>
        <v>3030</v>
      </c>
      <c r="X20" s="100">
        <v>7167279.97</v>
      </c>
      <c r="Y20" s="3">
        <f>X20/1000</f>
        <v>7167</v>
      </c>
      <c r="AA20" s="133">
        <v>8468708</v>
      </c>
      <c r="AB20" s="3">
        <f>AA20/1000</f>
        <v>8469</v>
      </c>
      <c r="AD20" s="3">
        <v>9014282</v>
      </c>
      <c r="AE20" s="3">
        <f>AD20/1000</f>
        <v>9014</v>
      </c>
    </row>
    <row r="21" spans="1:31" ht="12.75">
      <c r="A21" s="1" t="s">
        <v>14</v>
      </c>
      <c r="B21" s="15">
        <v>5468</v>
      </c>
      <c r="C21" s="15">
        <v>5570</v>
      </c>
      <c r="D21" s="15">
        <v>5085</v>
      </c>
      <c r="E21" s="15">
        <v>4982</v>
      </c>
      <c r="F21" s="15">
        <v>5929</v>
      </c>
      <c r="G21" s="15">
        <v>7204</v>
      </c>
      <c r="H21" s="15">
        <v>8237</v>
      </c>
      <c r="I21" s="15">
        <v>9045</v>
      </c>
      <c r="J21" s="15">
        <v>10022</v>
      </c>
      <c r="K21" s="15">
        <v>12243</v>
      </c>
      <c r="L21" s="16">
        <f>(K21-J21)*100/J21</f>
        <v>22.2</v>
      </c>
      <c r="M21" s="17">
        <f>(K21-V21)*100/V21</f>
        <v>137.2</v>
      </c>
      <c r="N21" s="15">
        <v>3077</v>
      </c>
      <c r="O21" s="15">
        <v>3389</v>
      </c>
      <c r="P21" s="15">
        <v>3387</v>
      </c>
      <c r="Q21" s="15">
        <v>3378</v>
      </c>
      <c r="R21" s="15">
        <v>3452</v>
      </c>
      <c r="S21" s="15">
        <v>4055</v>
      </c>
      <c r="T21" s="15">
        <v>3792</v>
      </c>
      <c r="U21" s="15">
        <v>4697</v>
      </c>
      <c r="V21" s="15">
        <f>5160627/1000</f>
        <v>5161</v>
      </c>
      <c r="X21" s="100">
        <v>9045458.01</v>
      </c>
      <c r="Y21" s="3">
        <f>X21/1000</f>
        <v>9045</v>
      </c>
      <c r="AA21" s="133">
        <v>10021550</v>
      </c>
      <c r="AB21" s="3">
        <f>AA21/1000</f>
        <v>10022</v>
      </c>
      <c r="AD21" s="3">
        <v>12243450</v>
      </c>
      <c r="AE21" s="3">
        <f>AD21/1000</f>
        <v>12243</v>
      </c>
    </row>
    <row r="22" spans="1:31" ht="12.75">
      <c r="A22" s="1" t="s">
        <v>15</v>
      </c>
      <c r="B22" s="15">
        <v>3078</v>
      </c>
      <c r="C22" s="15">
        <v>2968</v>
      </c>
      <c r="D22" s="15">
        <v>2977</v>
      </c>
      <c r="E22" s="15">
        <v>3325</v>
      </c>
      <c r="F22" s="15">
        <v>3445</v>
      </c>
      <c r="G22" s="15">
        <v>3624</v>
      </c>
      <c r="H22" s="15">
        <v>4898</v>
      </c>
      <c r="I22" s="15">
        <v>5291</v>
      </c>
      <c r="J22" s="15">
        <v>5086</v>
      </c>
      <c r="K22" s="15">
        <v>5616</v>
      </c>
      <c r="L22" s="16">
        <f>(K22-J22)*100/J22</f>
        <v>10.4</v>
      </c>
      <c r="M22" s="17">
        <f>(K22-V22)*100/V22</f>
        <v>73.3</v>
      </c>
      <c r="N22" s="15">
        <v>1672</v>
      </c>
      <c r="O22" s="15">
        <v>1929</v>
      </c>
      <c r="P22" s="15">
        <v>1857</v>
      </c>
      <c r="Q22" s="15">
        <v>1998</v>
      </c>
      <c r="R22" s="15">
        <v>2331</v>
      </c>
      <c r="S22" s="15">
        <v>2610</v>
      </c>
      <c r="T22" s="15">
        <v>2865</v>
      </c>
      <c r="U22" s="15">
        <v>3145</v>
      </c>
      <c r="V22" s="15">
        <f>3241113/1000</f>
        <v>3241</v>
      </c>
      <c r="X22" s="100">
        <v>5291435.5</v>
      </c>
      <c r="Y22" s="3">
        <f>X22/1000</f>
        <v>5291</v>
      </c>
      <c r="AA22" s="133">
        <v>5086031.85</v>
      </c>
      <c r="AB22" s="3">
        <f>AA22/1000</f>
        <v>5086</v>
      </c>
      <c r="AD22" s="3">
        <v>5616463</v>
      </c>
      <c r="AE22" s="3">
        <f>AD22/1000</f>
        <v>5616</v>
      </c>
    </row>
    <row r="23" spans="2:27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7"/>
      <c r="N23" s="15"/>
      <c r="O23" s="15"/>
      <c r="P23" s="15"/>
      <c r="Q23" s="15"/>
      <c r="R23" s="15"/>
      <c r="S23" s="15"/>
      <c r="T23" s="15"/>
      <c r="U23" s="15"/>
      <c r="V23" s="15"/>
      <c r="X23" s="32"/>
      <c r="AA23" s="133"/>
    </row>
    <row r="24" spans="1:31" ht="12.75">
      <c r="A24" s="1" t="s">
        <v>16</v>
      </c>
      <c r="B24" s="15">
        <v>5726</v>
      </c>
      <c r="C24" s="15">
        <v>6265</v>
      </c>
      <c r="D24" s="15">
        <v>6355</v>
      </c>
      <c r="E24" s="15">
        <v>5971</v>
      </c>
      <c r="F24" s="15">
        <v>7285</v>
      </c>
      <c r="G24" s="15">
        <v>8922</v>
      </c>
      <c r="H24" s="15">
        <v>9939</v>
      </c>
      <c r="I24" s="15">
        <v>10691</v>
      </c>
      <c r="J24" s="15">
        <v>13395</v>
      </c>
      <c r="K24" s="15">
        <v>14906</v>
      </c>
      <c r="L24" s="16">
        <f>(K24-J24)*100/J24</f>
        <v>11.3</v>
      </c>
      <c r="M24" s="17">
        <f>(K24-V24)*100/V24</f>
        <v>169.7</v>
      </c>
      <c r="N24" s="15">
        <v>3150</v>
      </c>
      <c r="O24" s="15">
        <v>3346</v>
      </c>
      <c r="P24" s="15">
        <v>3382</v>
      </c>
      <c r="Q24" s="15">
        <v>3761</v>
      </c>
      <c r="R24" s="15">
        <v>4075</v>
      </c>
      <c r="S24" s="15">
        <v>4007</v>
      </c>
      <c r="T24" s="15">
        <v>4593</v>
      </c>
      <c r="U24" s="15">
        <v>5002</v>
      </c>
      <c r="V24" s="15">
        <f>5526644/1000</f>
        <v>5527</v>
      </c>
      <c r="X24" s="100">
        <v>10690803.43</v>
      </c>
      <c r="Y24" s="3">
        <f>X24/1000</f>
        <v>10691</v>
      </c>
      <c r="AA24" s="133">
        <v>13394817</v>
      </c>
      <c r="AB24" s="3">
        <f>AA24/1000</f>
        <v>13395</v>
      </c>
      <c r="AD24" s="3">
        <v>14905849</v>
      </c>
      <c r="AE24" s="3">
        <f>AD24/1000</f>
        <v>14906</v>
      </c>
    </row>
    <row r="25" spans="1:31" ht="12.75">
      <c r="A25" s="1" t="s">
        <v>17</v>
      </c>
      <c r="B25" s="15">
        <v>2565</v>
      </c>
      <c r="C25" s="15">
        <v>2750</v>
      </c>
      <c r="D25" s="15">
        <v>2750</v>
      </c>
      <c r="E25" s="15">
        <v>3035</v>
      </c>
      <c r="F25" s="15">
        <v>3226</v>
      </c>
      <c r="G25" s="15">
        <v>3768</v>
      </c>
      <c r="H25" s="15">
        <v>3998</v>
      </c>
      <c r="I25" s="15">
        <v>4597</v>
      </c>
      <c r="J25" s="15">
        <v>5006</v>
      </c>
      <c r="K25" s="15">
        <v>4798</v>
      </c>
      <c r="L25" s="16">
        <f>(K25-J25)*100/J25</f>
        <v>-4.2</v>
      </c>
      <c r="M25" s="17">
        <f>(K25-V25)*100/V25</f>
        <v>83.9</v>
      </c>
      <c r="N25" s="15">
        <v>1605</v>
      </c>
      <c r="O25" s="15">
        <v>1885</v>
      </c>
      <c r="P25" s="15">
        <v>1680</v>
      </c>
      <c r="Q25" s="15">
        <v>1864</v>
      </c>
      <c r="R25" s="15">
        <v>2024</v>
      </c>
      <c r="S25" s="15">
        <v>2066</v>
      </c>
      <c r="T25" s="15">
        <v>2771</v>
      </c>
      <c r="U25" s="15">
        <v>2290</v>
      </c>
      <c r="V25" s="15">
        <f>2608540/1000</f>
        <v>2609</v>
      </c>
      <c r="X25" s="100">
        <v>4596795.36</v>
      </c>
      <c r="Y25" s="3">
        <f>X25/1000</f>
        <v>4597</v>
      </c>
      <c r="AA25" s="133">
        <v>5005541.56</v>
      </c>
      <c r="AB25" s="3">
        <f>AA25/1000</f>
        <v>5006</v>
      </c>
      <c r="AD25" s="3">
        <v>4798107.44</v>
      </c>
      <c r="AE25" s="3">
        <f>AD25/1000</f>
        <v>4798</v>
      </c>
    </row>
    <row r="26" spans="1:31" ht="12.75">
      <c r="A26" s="1" t="s">
        <v>18</v>
      </c>
      <c r="B26" s="15">
        <v>8620</v>
      </c>
      <c r="C26" s="15">
        <v>8297</v>
      </c>
      <c r="D26" s="15">
        <v>7892</v>
      </c>
      <c r="E26" s="15">
        <v>8890</v>
      </c>
      <c r="F26" s="15">
        <v>8683</v>
      </c>
      <c r="G26" s="15">
        <v>10459</v>
      </c>
      <c r="H26" s="15">
        <v>11452</v>
      </c>
      <c r="I26" s="15">
        <v>14522</v>
      </c>
      <c r="J26" s="15">
        <v>17580</v>
      </c>
      <c r="K26" s="15">
        <v>18815</v>
      </c>
      <c r="L26" s="16">
        <f>(K26-J26)*100/J26</f>
        <v>7</v>
      </c>
      <c r="M26" s="17">
        <f>(K26-V26)*100/V26</f>
        <v>125.1</v>
      </c>
      <c r="N26" s="15">
        <v>4877</v>
      </c>
      <c r="O26" s="15">
        <v>5228</v>
      </c>
      <c r="P26" s="15">
        <v>5578</v>
      </c>
      <c r="Q26" s="15">
        <v>6032</v>
      </c>
      <c r="R26" s="15">
        <v>6854</v>
      </c>
      <c r="S26" s="15">
        <v>7267</v>
      </c>
      <c r="T26" s="15">
        <v>7207</v>
      </c>
      <c r="U26" s="15">
        <v>7680</v>
      </c>
      <c r="V26" s="15">
        <f>8356638/1000</f>
        <v>8357</v>
      </c>
      <c r="X26" s="100">
        <v>14521833.67</v>
      </c>
      <c r="Y26" s="3">
        <f>X26/1000</f>
        <v>14522</v>
      </c>
      <c r="AA26" s="133">
        <v>17580365</v>
      </c>
      <c r="AB26" s="3">
        <f>AA26/1000</f>
        <v>17580</v>
      </c>
      <c r="AD26" s="3">
        <v>18815235</v>
      </c>
      <c r="AE26" s="3">
        <f>AD26/1000</f>
        <v>18815</v>
      </c>
    </row>
    <row r="27" spans="1:31" ht="12.75">
      <c r="A27" s="1" t="s">
        <v>19</v>
      </c>
      <c r="B27" s="15">
        <v>4566</v>
      </c>
      <c r="C27" s="15">
        <v>4694</v>
      </c>
      <c r="D27" s="15">
        <v>4650</v>
      </c>
      <c r="E27" s="15">
        <v>5407</v>
      </c>
      <c r="F27" s="15">
        <v>7342</v>
      </c>
      <c r="G27" s="15">
        <v>7309</v>
      </c>
      <c r="H27" s="15">
        <v>9140</v>
      </c>
      <c r="I27" s="15">
        <v>10152</v>
      </c>
      <c r="J27" s="15">
        <v>11280</v>
      </c>
      <c r="K27" s="15">
        <v>14474</v>
      </c>
      <c r="L27" s="16">
        <f>(K27-J27)*100/J27</f>
        <v>28.3</v>
      </c>
      <c r="M27" s="17">
        <f>(K27-V27)*100/V27</f>
        <v>253.7</v>
      </c>
      <c r="N27" s="15">
        <v>2507</v>
      </c>
      <c r="O27" s="15">
        <v>2733</v>
      </c>
      <c r="P27" s="15">
        <v>2763</v>
      </c>
      <c r="Q27" s="15">
        <v>2744</v>
      </c>
      <c r="R27" s="15">
        <v>2918</v>
      </c>
      <c r="S27" s="15">
        <v>3260</v>
      </c>
      <c r="T27" s="15">
        <v>3385</v>
      </c>
      <c r="U27" s="15">
        <v>4075</v>
      </c>
      <c r="V27" s="15">
        <f>4092302/1000</f>
        <v>4092</v>
      </c>
      <c r="X27" s="100">
        <v>10151898.94</v>
      </c>
      <c r="Y27" s="3">
        <f>X27/1000</f>
        <v>10152</v>
      </c>
      <c r="AA27" s="133">
        <v>11279746</v>
      </c>
      <c r="AB27" s="3">
        <f>AA27/1000</f>
        <v>11280</v>
      </c>
      <c r="AD27" s="3">
        <v>14473857</v>
      </c>
      <c r="AE27" s="3">
        <f>AD27/1000</f>
        <v>14474</v>
      </c>
    </row>
    <row r="28" spans="1:31" ht="12.75">
      <c r="A28" s="1" t="s">
        <v>20</v>
      </c>
      <c r="B28" s="15">
        <v>1116</v>
      </c>
      <c r="C28" s="15">
        <v>1202</v>
      </c>
      <c r="D28" s="15">
        <v>1394</v>
      </c>
      <c r="E28" s="15">
        <v>1346</v>
      </c>
      <c r="F28" s="15">
        <v>1809</v>
      </c>
      <c r="G28" s="15">
        <v>2242</v>
      </c>
      <c r="H28" s="15">
        <v>2339</v>
      </c>
      <c r="I28" s="15">
        <v>2721</v>
      </c>
      <c r="J28" s="15">
        <v>3290</v>
      </c>
      <c r="K28" s="15">
        <v>3141</v>
      </c>
      <c r="L28" s="16">
        <f>(K28-J28)*100/J28</f>
        <v>-4.5</v>
      </c>
      <c r="M28" s="17">
        <f>(K28-V28)*100/V28</f>
        <v>193.8</v>
      </c>
      <c r="N28" s="15">
        <v>622</v>
      </c>
      <c r="O28" s="15">
        <v>635</v>
      </c>
      <c r="P28" s="15">
        <v>625</v>
      </c>
      <c r="Q28" s="15">
        <v>694</v>
      </c>
      <c r="R28" s="15">
        <v>736</v>
      </c>
      <c r="S28" s="15">
        <v>893</v>
      </c>
      <c r="T28" s="15">
        <v>965</v>
      </c>
      <c r="U28" s="15">
        <v>944</v>
      </c>
      <c r="V28" s="15">
        <f>1069453/1000</f>
        <v>1069</v>
      </c>
      <c r="X28" s="100">
        <v>2720608.44</v>
      </c>
      <c r="Y28" s="3">
        <f>X28/1000</f>
        <v>2721</v>
      </c>
      <c r="AA28" s="133">
        <v>3290197.51</v>
      </c>
      <c r="AB28" s="3">
        <f>AA28/1000</f>
        <v>3290</v>
      </c>
      <c r="AD28" s="3">
        <v>3140879.15</v>
      </c>
      <c r="AE28" s="3">
        <f>AD28/1000</f>
        <v>3141</v>
      </c>
    </row>
    <row r="29" spans="2:27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7"/>
      <c r="N29" s="15"/>
      <c r="O29" s="15"/>
      <c r="P29" s="15"/>
      <c r="Q29" s="15"/>
      <c r="R29" s="15"/>
      <c r="S29" s="15"/>
      <c r="T29" s="15"/>
      <c r="U29" s="15"/>
      <c r="V29" s="15"/>
      <c r="X29" s="32"/>
      <c r="AA29" s="133"/>
    </row>
    <row r="30" spans="1:31" ht="12.75">
      <c r="A30" s="1" t="s">
        <v>21</v>
      </c>
      <c r="B30" s="15">
        <v>26023</v>
      </c>
      <c r="C30" s="15">
        <v>29313</v>
      </c>
      <c r="D30" s="15">
        <v>29559</v>
      </c>
      <c r="E30" s="15">
        <v>30528</v>
      </c>
      <c r="F30" s="15">
        <v>34007</v>
      </c>
      <c r="G30" s="15">
        <v>36902</v>
      </c>
      <c r="H30" s="15">
        <v>44300</v>
      </c>
      <c r="I30" s="15">
        <v>48939</v>
      </c>
      <c r="J30" s="15">
        <v>55404</v>
      </c>
      <c r="K30" s="15">
        <v>68993</v>
      </c>
      <c r="L30" s="16">
        <f>(K30-J30)*100/J30</f>
        <v>24.5</v>
      </c>
      <c r="M30" s="17">
        <f>(K30-V30)*100/V30</f>
        <v>183.5</v>
      </c>
      <c r="N30" s="15">
        <v>11648</v>
      </c>
      <c r="O30" s="15">
        <v>12238</v>
      </c>
      <c r="P30" s="15">
        <v>12657</v>
      </c>
      <c r="Q30" s="15">
        <v>13854</v>
      </c>
      <c r="R30" s="15">
        <v>15287</v>
      </c>
      <c r="S30" s="15">
        <v>16399</v>
      </c>
      <c r="T30" s="15">
        <v>17883</v>
      </c>
      <c r="U30" s="15">
        <v>21701</v>
      </c>
      <c r="V30" s="15">
        <f>24332744/1000</f>
        <v>24333</v>
      </c>
      <c r="X30" s="100">
        <v>48938846.97</v>
      </c>
      <c r="Y30" s="3">
        <f>X30/1000</f>
        <v>48939</v>
      </c>
      <c r="AA30" s="133">
        <v>55403842</v>
      </c>
      <c r="AB30" s="3">
        <f>AA30/1000</f>
        <v>55404</v>
      </c>
      <c r="AD30" s="3">
        <v>68992786</v>
      </c>
      <c r="AE30" s="3">
        <f>AD30/1000</f>
        <v>68993</v>
      </c>
    </row>
    <row r="31" spans="1:31" ht="12.75">
      <c r="A31" s="1" t="s">
        <v>22</v>
      </c>
      <c r="B31" s="15">
        <v>39823</v>
      </c>
      <c r="C31" s="15">
        <v>40610</v>
      </c>
      <c r="D31" s="15">
        <v>41359</v>
      </c>
      <c r="E31" s="15">
        <v>42276</v>
      </c>
      <c r="F31" s="15">
        <v>49353</v>
      </c>
      <c r="G31" s="15">
        <v>51654</v>
      </c>
      <c r="H31" s="15">
        <v>61040</v>
      </c>
      <c r="I31" s="15">
        <v>70195</v>
      </c>
      <c r="J31" s="15">
        <v>83055</v>
      </c>
      <c r="K31" s="15">
        <v>87536</v>
      </c>
      <c r="L31" s="16">
        <f>(K31-J31)*100/J31</f>
        <v>5.4</v>
      </c>
      <c r="M31" s="17">
        <f>(K31-V31)*100/V31</f>
        <v>129.4</v>
      </c>
      <c r="N31" s="15">
        <v>18674</v>
      </c>
      <c r="O31" s="15">
        <v>19927</v>
      </c>
      <c r="P31" s="15">
        <v>21398</v>
      </c>
      <c r="Q31" s="15">
        <v>25414</v>
      </c>
      <c r="R31" s="15">
        <v>28463</v>
      </c>
      <c r="S31" s="15">
        <v>25831</v>
      </c>
      <c r="T31" s="15">
        <v>29004</v>
      </c>
      <c r="U31" s="15">
        <v>31986</v>
      </c>
      <c r="V31" s="15">
        <f>38162085/1000</f>
        <v>38162</v>
      </c>
      <c r="X31" s="100">
        <v>70194991.77</v>
      </c>
      <c r="Y31" s="3">
        <f>X31/1000</f>
        <v>70195</v>
      </c>
      <c r="AA31" s="133">
        <v>83055271</v>
      </c>
      <c r="AB31" s="3">
        <f>AA31/1000</f>
        <v>83055</v>
      </c>
      <c r="AD31" s="3">
        <v>87535581</v>
      </c>
      <c r="AE31" s="3">
        <f>AD31/1000</f>
        <v>87536</v>
      </c>
    </row>
    <row r="32" spans="1:31" ht="12.75">
      <c r="A32" s="1" t="s">
        <v>23</v>
      </c>
      <c r="B32" s="15">
        <v>1808</v>
      </c>
      <c r="C32" s="15">
        <v>1798</v>
      </c>
      <c r="D32" s="15">
        <v>1687</v>
      </c>
      <c r="E32" s="15">
        <v>1972</v>
      </c>
      <c r="F32" s="15">
        <v>2261</v>
      </c>
      <c r="G32" s="15">
        <v>2490</v>
      </c>
      <c r="H32" s="15">
        <v>2698</v>
      </c>
      <c r="I32" s="15">
        <v>3443</v>
      </c>
      <c r="J32" s="15">
        <v>4280</v>
      </c>
      <c r="K32" s="15">
        <v>4607</v>
      </c>
      <c r="L32" s="16">
        <f>(K32-J32)*100/J32</f>
        <v>7.6</v>
      </c>
      <c r="M32" s="17">
        <f>(K32-V32)*100/V32</f>
        <v>164.2</v>
      </c>
      <c r="N32" s="15">
        <v>1253</v>
      </c>
      <c r="O32" s="15">
        <v>1412</v>
      </c>
      <c r="P32" s="15">
        <v>1393</v>
      </c>
      <c r="Q32" s="15">
        <v>1465</v>
      </c>
      <c r="R32" s="15">
        <v>1591</v>
      </c>
      <c r="S32" s="15">
        <v>1624</v>
      </c>
      <c r="T32" s="15">
        <v>1724</v>
      </c>
      <c r="U32" s="15">
        <v>2018</v>
      </c>
      <c r="V32" s="15">
        <f>1744062/1000</f>
        <v>1744</v>
      </c>
      <c r="X32" s="100">
        <v>3443457.22</v>
      </c>
      <c r="Y32" s="3">
        <f>X32/1000</f>
        <v>3443</v>
      </c>
      <c r="AA32" s="133">
        <v>4279865.55</v>
      </c>
      <c r="AB32" s="3">
        <f>AA32/1000</f>
        <v>4280</v>
      </c>
      <c r="AD32" s="3">
        <v>4607058.5</v>
      </c>
      <c r="AE32" s="3">
        <f>AD32/1000</f>
        <v>4607</v>
      </c>
    </row>
    <row r="33" spans="1:31" ht="12.75">
      <c r="A33" s="1" t="s">
        <v>24</v>
      </c>
      <c r="B33" s="15">
        <v>5264</v>
      </c>
      <c r="C33" s="15">
        <v>5623</v>
      </c>
      <c r="D33" s="15">
        <v>5315</v>
      </c>
      <c r="E33" s="15">
        <v>5597</v>
      </c>
      <c r="F33" s="15">
        <v>5662</v>
      </c>
      <c r="G33" s="15">
        <v>6128</v>
      </c>
      <c r="H33" s="15">
        <v>7820</v>
      </c>
      <c r="I33" s="15">
        <v>9269</v>
      </c>
      <c r="J33" s="15">
        <v>11272</v>
      </c>
      <c r="K33" s="15">
        <v>12053</v>
      </c>
      <c r="L33" s="16">
        <f>(K33-J33)*100/J33</f>
        <v>6.9</v>
      </c>
      <c r="M33" s="17">
        <f>(K33-V33)*100/V33</f>
        <v>128.6</v>
      </c>
      <c r="N33" s="15">
        <v>3379</v>
      </c>
      <c r="O33" s="15">
        <v>3837</v>
      </c>
      <c r="P33" s="15">
        <v>3886</v>
      </c>
      <c r="Q33" s="15">
        <v>4107</v>
      </c>
      <c r="R33" s="15">
        <v>4041</v>
      </c>
      <c r="S33" s="15">
        <v>4172</v>
      </c>
      <c r="T33" s="15">
        <v>4371</v>
      </c>
      <c r="U33" s="15">
        <v>6033</v>
      </c>
      <c r="V33" s="15">
        <f>5272740/1000</f>
        <v>5273</v>
      </c>
      <c r="X33" s="100">
        <v>9269128.35</v>
      </c>
      <c r="Y33" s="3">
        <f>X33/1000</f>
        <v>9269</v>
      </c>
      <c r="AA33" s="133">
        <v>11271973</v>
      </c>
      <c r="AB33" s="3">
        <f>AA33/1000</f>
        <v>11272</v>
      </c>
      <c r="AD33" s="3">
        <v>12052986</v>
      </c>
      <c r="AE33" s="3">
        <f>AD33/1000</f>
        <v>12053</v>
      </c>
    </row>
    <row r="34" spans="1:31" ht="12.75">
      <c r="A34" s="1" t="s">
        <v>25</v>
      </c>
      <c r="B34" s="15">
        <v>2364</v>
      </c>
      <c r="C34" s="15">
        <v>2575</v>
      </c>
      <c r="D34" s="15">
        <v>2473</v>
      </c>
      <c r="E34" s="15">
        <v>2697</v>
      </c>
      <c r="F34" s="15">
        <v>3062</v>
      </c>
      <c r="G34" s="15">
        <v>3255</v>
      </c>
      <c r="H34" s="15">
        <v>3488</v>
      </c>
      <c r="I34" s="15">
        <v>3796</v>
      </c>
      <c r="J34" s="15">
        <v>4611</v>
      </c>
      <c r="K34" s="15">
        <v>3989</v>
      </c>
      <c r="L34" s="16">
        <f>(K34-J34)*100/J34</f>
        <v>-13.5</v>
      </c>
      <c r="M34" s="17">
        <f>(K34-V34)*100/V34</f>
        <v>62.6</v>
      </c>
      <c r="N34" s="15">
        <v>1608</v>
      </c>
      <c r="O34" s="15">
        <v>1615</v>
      </c>
      <c r="P34" s="15">
        <v>1432</v>
      </c>
      <c r="Q34" s="15">
        <v>1763</v>
      </c>
      <c r="R34" s="15">
        <v>2205</v>
      </c>
      <c r="S34" s="15">
        <v>2002</v>
      </c>
      <c r="T34" s="15">
        <v>2233</v>
      </c>
      <c r="U34" s="15">
        <v>2305</v>
      </c>
      <c r="V34" s="15">
        <f>2453963/1000</f>
        <v>2454</v>
      </c>
      <c r="X34" s="100">
        <v>3796042.4</v>
      </c>
      <c r="Y34" s="3">
        <f>X34/1000</f>
        <v>3796</v>
      </c>
      <c r="AA34" s="133">
        <v>4610949.21</v>
      </c>
      <c r="AB34" s="3">
        <f>AA34/1000</f>
        <v>4611</v>
      </c>
      <c r="AD34" s="3">
        <v>3988880.69</v>
      </c>
      <c r="AE34" s="3">
        <f>AD34/1000</f>
        <v>3989</v>
      </c>
    </row>
    <row r="35" spans="2:27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7"/>
      <c r="N35" s="15"/>
      <c r="O35" s="15"/>
      <c r="P35" s="15"/>
      <c r="Q35" s="15"/>
      <c r="R35" s="15"/>
      <c r="S35" s="15"/>
      <c r="T35" s="15"/>
      <c r="U35" s="15"/>
      <c r="V35" s="15"/>
      <c r="X35" s="32"/>
      <c r="AA35" s="133"/>
    </row>
    <row r="36" spans="1:31" ht="12.75">
      <c r="A36" s="1" t="s">
        <v>26</v>
      </c>
      <c r="B36" s="15">
        <v>1392</v>
      </c>
      <c r="C36" s="15">
        <v>1295</v>
      </c>
      <c r="D36" s="15">
        <v>1391</v>
      </c>
      <c r="E36" s="15">
        <v>1450</v>
      </c>
      <c r="F36" s="15">
        <v>1675</v>
      </c>
      <c r="G36" s="15">
        <v>2181</v>
      </c>
      <c r="H36" s="15">
        <v>2518</v>
      </c>
      <c r="I36" s="15">
        <v>3121</v>
      </c>
      <c r="J36" s="15">
        <v>3433</v>
      </c>
      <c r="K36" s="15">
        <v>4135</v>
      </c>
      <c r="L36" s="16">
        <f>(K36-J36)*100/J36</f>
        <v>20.4</v>
      </c>
      <c r="M36" s="17">
        <f>(K36-V36)*100/V36</f>
        <v>180.9</v>
      </c>
      <c r="N36" s="15">
        <v>911</v>
      </c>
      <c r="O36" s="15">
        <v>919</v>
      </c>
      <c r="P36" s="15">
        <v>770</v>
      </c>
      <c r="Q36" s="15">
        <v>828</v>
      </c>
      <c r="R36" s="15">
        <v>933</v>
      </c>
      <c r="S36" s="15">
        <v>1399</v>
      </c>
      <c r="T36" s="15">
        <v>1283</v>
      </c>
      <c r="U36" s="15">
        <v>1285</v>
      </c>
      <c r="V36" s="15">
        <f>1472053/1000</f>
        <v>1472</v>
      </c>
      <c r="X36" s="100">
        <v>3121132.02</v>
      </c>
      <c r="Y36" s="3">
        <f>X36/1000</f>
        <v>3121</v>
      </c>
      <c r="AA36" s="133">
        <v>3433428.16</v>
      </c>
      <c r="AB36" s="3">
        <f>AA36/1000</f>
        <v>3433</v>
      </c>
      <c r="AD36" s="3">
        <v>4134635.44</v>
      </c>
      <c r="AE36" s="3">
        <f>AD36/1000</f>
        <v>4135</v>
      </c>
    </row>
    <row r="37" spans="1:31" ht="12.75">
      <c r="A37" s="1" t="s">
        <v>27</v>
      </c>
      <c r="B37" s="15">
        <v>7261</v>
      </c>
      <c r="C37" s="15">
        <v>7633</v>
      </c>
      <c r="D37" s="15">
        <v>7206</v>
      </c>
      <c r="E37" s="15">
        <v>6995</v>
      </c>
      <c r="F37" s="15">
        <v>7222</v>
      </c>
      <c r="G37" s="15">
        <v>8684</v>
      </c>
      <c r="H37" s="15">
        <v>9776</v>
      </c>
      <c r="I37" s="15">
        <v>10092</v>
      </c>
      <c r="J37" s="15">
        <v>11026</v>
      </c>
      <c r="K37" s="15">
        <v>12325</v>
      </c>
      <c r="L37" s="16">
        <f>(K37-J37)*100/J37</f>
        <v>11.8</v>
      </c>
      <c r="M37" s="17">
        <f>(K37-V37)*100/V37</f>
        <v>84.7</v>
      </c>
      <c r="N37" s="15">
        <v>4598</v>
      </c>
      <c r="O37" s="15">
        <v>4515</v>
      </c>
      <c r="P37" s="15">
        <v>4625</v>
      </c>
      <c r="Q37" s="15">
        <v>5045</v>
      </c>
      <c r="R37" s="15">
        <v>5106</v>
      </c>
      <c r="S37" s="15">
        <v>5237</v>
      </c>
      <c r="T37" s="15">
        <v>5515</v>
      </c>
      <c r="U37" s="15">
        <v>6641</v>
      </c>
      <c r="V37" s="15">
        <f>6673421/1000</f>
        <v>6673</v>
      </c>
      <c r="X37" s="100">
        <v>10092108.57</v>
      </c>
      <c r="Y37" s="3">
        <f>X37/1000</f>
        <v>10092</v>
      </c>
      <c r="AA37" s="133">
        <v>11026455</v>
      </c>
      <c r="AB37" s="3">
        <f>AA37/1000</f>
        <v>11026</v>
      </c>
      <c r="AD37" s="3">
        <v>12324931</v>
      </c>
      <c r="AE37" s="3">
        <f>AD37/1000</f>
        <v>12325</v>
      </c>
    </row>
    <row r="38" spans="1:31" ht="12.75">
      <c r="A38" s="1" t="s">
        <v>28</v>
      </c>
      <c r="B38" s="15">
        <v>4213</v>
      </c>
      <c r="C38" s="15">
        <v>4479</v>
      </c>
      <c r="D38" s="15">
        <v>4720</v>
      </c>
      <c r="E38" s="15">
        <v>5375</v>
      </c>
      <c r="F38" s="15">
        <v>6382</v>
      </c>
      <c r="G38" s="15">
        <v>7733</v>
      </c>
      <c r="H38" s="15">
        <v>8579</v>
      </c>
      <c r="I38" s="15">
        <v>9419</v>
      </c>
      <c r="J38" s="15">
        <v>10270</v>
      </c>
      <c r="K38" s="15">
        <v>11796</v>
      </c>
      <c r="L38" s="16">
        <f>(K38-J38)*100/J38</f>
        <v>14.9</v>
      </c>
      <c r="M38" s="17">
        <f>(K38-V38)*100/V38</f>
        <v>159</v>
      </c>
      <c r="N38" s="15">
        <v>2263</v>
      </c>
      <c r="O38" s="15">
        <v>2319</v>
      </c>
      <c r="P38" s="15">
        <v>2328</v>
      </c>
      <c r="Q38" s="15">
        <v>2519</v>
      </c>
      <c r="R38" s="15">
        <v>2670</v>
      </c>
      <c r="S38" s="15">
        <v>2985</v>
      </c>
      <c r="T38" s="15">
        <v>3668</v>
      </c>
      <c r="U38" s="15">
        <v>4203</v>
      </c>
      <c r="V38" s="15">
        <f>4554038/1000</f>
        <v>4554</v>
      </c>
      <c r="X38" s="100">
        <v>9418669.05</v>
      </c>
      <c r="Y38" s="3">
        <f>X38/1000</f>
        <v>9419</v>
      </c>
      <c r="AA38" s="133">
        <v>10270028</v>
      </c>
      <c r="AB38" s="3">
        <f>AA38/1000</f>
        <v>10270</v>
      </c>
      <c r="AD38" s="3">
        <v>11796343</v>
      </c>
      <c r="AE38" s="3">
        <f>AD38/1000</f>
        <v>11796</v>
      </c>
    </row>
    <row r="39" spans="1:31" ht="12.75">
      <c r="A39" s="18" t="s">
        <v>29</v>
      </c>
      <c r="B39" s="25">
        <v>2433</v>
      </c>
      <c r="C39" s="15">
        <v>2444</v>
      </c>
      <c r="D39" s="15">
        <v>2592</v>
      </c>
      <c r="E39" s="15">
        <v>2929</v>
      </c>
      <c r="F39" s="15">
        <v>3642</v>
      </c>
      <c r="G39" s="15">
        <v>4154</v>
      </c>
      <c r="H39" s="15">
        <v>4266</v>
      </c>
      <c r="I39" s="15">
        <v>4911</v>
      </c>
      <c r="J39" s="15">
        <v>6053</v>
      </c>
      <c r="K39" s="15">
        <v>7005</v>
      </c>
      <c r="L39" s="16">
        <f>(K39-J39)*100/J39</f>
        <v>15.7</v>
      </c>
      <c r="M39" s="17">
        <f>(K39-V39)*100/V39</f>
        <v>204.7</v>
      </c>
      <c r="N39" s="25">
        <v>1383</v>
      </c>
      <c r="O39" s="25">
        <v>1482</v>
      </c>
      <c r="P39" s="25">
        <v>1582</v>
      </c>
      <c r="Q39" s="25">
        <v>1694</v>
      </c>
      <c r="R39" s="25">
        <v>1848</v>
      </c>
      <c r="S39" s="25">
        <v>2060</v>
      </c>
      <c r="T39" s="25">
        <v>2258</v>
      </c>
      <c r="U39" s="25">
        <v>2299</v>
      </c>
      <c r="V39" s="25">
        <v>2299</v>
      </c>
      <c r="X39" s="101">
        <v>4910668.03</v>
      </c>
      <c r="Y39" s="3">
        <f>X39/1000</f>
        <v>4911</v>
      </c>
      <c r="AA39" s="135">
        <v>6052795</v>
      </c>
      <c r="AB39" s="3">
        <f>AA39/1000</f>
        <v>6053</v>
      </c>
      <c r="AD39" s="3">
        <v>7005487</v>
      </c>
      <c r="AE39" s="3">
        <f>AD39/1000</f>
        <v>7005</v>
      </c>
    </row>
    <row r="40" spans="1:22" ht="12.75">
      <c r="A40" s="1" t="s">
        <v>53</v>
      </c>
      <c r="B40" s="20"/>
      <c r="C40" s="20"/>
      <c r="D40" s="20"/>
      <c r="E40" s="20"/>
      <c r="F40" s="20"/>
      <c r="G40" s="20"/>
      <c r="H40" s="19"/>
      <c r="I40" s="19"/>
      <c r="J40" s="19"/>
      <c r="K40" s="19"/>
      <c r="L40" s="19"/>
      <c r="M40" s="19"/>
      <c r="N40" s="26"/>
      <c r="P40" s="20"/>
      <c r="Q40" s="20"/>
      <c r="R40" s="20"/>
      <c r="V40" s="20"/>
    </row>
    <row r="41" spans="2:22" ht="12.75">
      <c r="B41" s="15"/>
      <c r="C41" s="15"/>
      <c r="D41" s="15"/>
      <c r="E41" s="15"/>
      <c r="F41" s="15"/>
      <c r="G41" s="15"/>
      <c r="N41" s="16"/>
      <c r="P41" s="15"/>
      <c r="Q41" s="15"/>
      <c r="R41" s="15"/>
      <c r="V41" s="15"/>
    </row>
    <row r="42" spans="1:22" ht="12.75">
      <c r="A42" s="3"/>
      <c r="B42" s="15"/>
      <c r="C42" s="15"/>
      <c r="D42" s="15"/>
      <c r="E42" s="15"/>
      <c r="F42" s="15"/>
      <c r="G42" s="15"/>
      <c r="N42" s="16"/>
      <c r="P42" s="15"/>
      <c r="Q42" s="15"/>
      <c r="R42" s="15"/>
      <c r="V42" s="15"/>
    </row>
    <row r="43" spans="2:22" ht="12.75">
      <c r="B43" s="15"/>
      <c r="C43" s="15"/>
      <c r="D43" s="15"/>
      <c r="E43" s="15"/>
      <c r="F43" s="15"/>
      <c r="G43" s="15"/>
      <c r="N43" s="16"/>
      <c r="P43" s="15"/>
      <c r="Q43" s="15"/>
      <c r="R43" s="15"/>
      <c r="V43" s="15"/>
    </row>
    <row r="44" spans="2:22" ht="12.75">
      <c r="B44" s="15"/>
      <c r="C44" s="15"/>
      <c r="D44" s="15"/>
      <c r="E44" s="15"/>
      <c r="F44" s="15"/>
      <c r="G44" s="15"/>
      <c r="N44" s="16"/>
      <c r="P44" s="15"/>
      <c r="Q44" s="15"/>
      <c r="R44" s="15"/>
      <c r="V44" s="15"/>
    </row>
    <row r="45" spans="2:22" ht="12.75">
      <c r="B45" s="15"/>
      <c r="C45" s="15"/>
      <c r="D45" s="15"/>
      <c r="E45" s="15"/>
      <c r="F45" s="15"/>
      <c r="G45" s="15"/>
      <c r="N45" s="16"/>
      <c r="P45" s="15"/>
      <c r="Q45" s="15"/>
      <c r="R45" s="15"/>
      <c r="V45" s="15"/>
    </row>
    <row r="46" spans="3:14" ht="12.75">
      <c r="C46" s="15"/>
      <c r="D46" s="15"/>
      <c r="E46" s="15"/>
      <c r="F46" s="15"/>
      <c r="G46" s="15"/>
      <c r="N46" s="16"/>
    </row>
    <row r="47" spans="3:14" ht="12.75">
      <c r="C47" s="15"/>
      <c r="D47" s="15"/>
      <c r="E47" s="15"/>
      <c r="F47" s="15"/>
      <c r="G47" s="15"/>
      <c r="N47" s="16"/>
    </row>
    <row r="48" spans="3:14" ht="12.75">
      <c r="C48" s="15"/>
      <c r="D48" s="15"/>
      <c r="E48" s="15"/>
      <c r="F48" s="15"/>
      <c r="G48" s="15"/>
      <c r="N48" s="16"/>
    </row>
    <row r="49" spans="3:14" ht="12.75">
      <c r="C49" s="15"/>
      <c r="D49" s="15"/>
      <c r="E49" s="15"/>
      <c r="F49" s="15"/>
      <c r="G49" s="15"/>
      <c r="N49" s="16"/>
    </row>
    <row r="50" spans="3:14" ht="12.75">
      <c r="C50" s="15"/>
      <c r="D50" s="15"/>
      <c r="E50" s="15"/>
      <c r="F50" s="15"/>
      <c r="G50" s="15"/>
      <c r="N50" s="16"/>
    </row>
    <row r="51" spans="3:14" ht="12.75">
      <c r="C51" s="15"/>
      <c r="D51" s="15"/>
      <c r="E51" s="15"/>
      <c r="F51" s="15"/>
      <c r="G51" s="15"/>
      <c r="N51" s="16"/>
    </row>
    <row r="52" spans="3:14" ht="12.75">
      <c r="C52" s="15"/>
      <c r="D52" s="15"/>
      <c r="E52" s="15"/>
      <c r="F52" s="15"/>
      <c r="G52" s="15"/>
      <c r="N52" s="16"/>
    </row>
    <row r="53" ht="12.75">
      <c r="N53" s="17"/>
    </row>
    <row r="54" ht="12.75">
      <c r="N54" s="17"/>
    </row>
    <row r="55" ht="12.75">
      <c r="N55" s="17"/>
    </row>
    <row r="56" ht="12.75">
      <c r="N56" s="17"/>
    </row>
    <row r="57" ht="12.75">
      <c r="N57" s="17"/>
    </row>
    <row r="58" ht="12.75">
      <c r="N58" s="17"/>
    </row>
  </sheetData>
  <printOptions/>
  <pageMargins left="0.54" right="0.45" top="1" bottom="0.87" header="0.5" footer="0.5"/>
  <pageSetup fitToHeight="1" fitToWidth="1" orientation="landscape" scale="78" r:id="rId1"/>
  <headerFooter alignWithMargins="0">
    <oddFooter>&amp;L&amp;"Lucida Sans,Italic"&amp;10MSDE-DBS  11 / 2004&amp;C- 5 -&amp;R&amp;"Lucida Sans,Italic"&amp;10Selected Financial Data - Part 4</oddFooter>
  </headerFooter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workbookViewId="0" topLeftCell="A1">
      <selection activeCell="C8" sqref="C8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3" width="6.625" style="1" customWidth="1"/>
    <col min="14" max="20" width="10.125" style="1" customWidth="1"/>
    <col min="21" max="21" width="12.50390625" style="3" bestFit="1" customWidth="1"/>
    <col min="22" max="22" width="10.125" style="1" customWidth="1"/>
    <col min="23" max="23" width="4.375" style="3" customWidth="1"/>
    <col min="24" max="24" width="12.50390625" style="3" bestFit="1" customWidth="1"/>
    <col min="25" max="25" width="12.875" style="3" customWidth="1"/>
    <col min="26" max="26" width="3.125" style="3" customWidth="1"/>
    <col min="27" max="28" width="12.875" style="3" customWidth="1"/>
    <col min="29" max="29" width="5.625" style="3" customWidth="1"/>
    <col min="30" max="16384" width="12.875" style="3" customWidth="1"/>
  </cols>
  <sheetData>
    <row r="1" spans="1:22" s="141" customFormat="1" ht="15.75" customHeight="1">
      <c r="A1" s="205" t="s">
        <v>116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06"/>
      <c r="O1" s="2"/>
      <c r="P1" s="2"/>
      <c r="Q1" s="2"/>
      <c r="R1" s="106"/>
      <c r="S1" s="106"/>
      <c r="T1" s="106"/>
      <c r="V1" s="10"/>
    </row>
    <row r="2" spans="1:22" s="141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06"/>
      <c r="O2" s="2"/>
      <c r="P2" s="2"/>
      <c r="Q2" s="2"/>
      <c r="R2" s="106"/>
      <c r="S2" s="106"/>
      <c r="T2" s="106"/>
      <c r="V2" s="2"/>
    </row>
    <row r="3" spans="1:22" s="141" customFormat="1" ht="12.75">
      <c r="A3" s="205" t="s">
        <v>54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106"/>
      <c r="O3" s="2"/>
      <c r="P3" s="2"/>
      <c r="Q3" s="2"/>
      <c r="R3" s="106"/>
      <c r="S3" s="106"/>
      <c r="T3" s="106"/>
      <c r="V3" s="10"/>
    </row>
    <row r="4" spans="1:22" s="141" customFormat="1" ht="12.75">
      <c r="A4" s="205" t="s">
        <v>196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106"/>
      <c r="O4" s="2"/>
      <c r="P4" s="2"/>
      <c r="Q4" s="2"/>
      <c r="R4" s="106"/>
      <c r="S4" s="106"/>
      <c r="T4" s="106"/>
      <c r="V4" s="10"/>
    </row>
    <row r="5" ht="13.5" thickBot="1"/>
    <row r="6" spans="1:23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5"/>
      <c r="U6" s="5"/>
      <c r="V6" s="5"/>
      <c r="W6" s="7"/>
    </row>
    <row r="7" spans="12:23" ht="12.75">
      <c r="L7" s="6" t="s">
        <v>34</v>
      </c>
      <c r="M7" s="6"/>
      <c r="U7" s="1"/>
      <c r="W7" s="1"/>
    </row>
    <row r="8" spans="6:23" ht="12.75">
      <c r="F8" s="7"/>
      <c r="G8" s="7"/>
      <c r="H8" s="7"/>
      <c r="I8" s="7"/>
      <c r="J8" s="7"/>
      <c r="K8" s="7"/>
      <c r="L8" s="27" t="s">
        <v>106</v>
      </c>
      <c r="M8" s="27" t="s">
        <v>107</v>
      </c>
      <c r="U8" s="1"/>
      <c r="W8" s="1"/>
    </row>
    <row r="9" spans="1:23" ht="13.5" thickBot="1">
      <c r="A9" s="8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9" t="s">
        <v>105</v>
      </c>
      <c r="M9" s="9" t="s">
        <v>105</v>
      </c>
      <c r="N9" s="10" t="s">
        <v>2</v>
      </c>
      <c r="O9" s="9" t="s">
        <v>36</v>
      </c>
      <c r="P9" s="9" t="s">
        <v>71</v>
      </c>
      <c r="Q9" s="9" t="s">
        <v>72</v>
      </c>
      <c r="R9" s="9" t="s">
        <v>73</v>
      </c>
      <c r="S9" s="9" t="s">
        <v>74</v>
      </c>
      <c r="T9" s="9" t="s">
        <v>75</v>
      </c>
      <c r="U9" s="8" t="s">
        <v>83</v>
      </c>
      <c r="V9" s="8" t="s">
        <v>84</v>
      </c>
      <c r="W9" s="7"/>
    </row>
    <row r="10" spans="1:30" ht="13.5" thickTop="1">
      <c r="A10" s="7" t="s">
        <v>5</v>
      </c>
      <c r="B10" s="11">
        <f aca="true" t="shared" si="0" ref="B10:I10">SUM(B12:B39)</f>
        <v>5279159</v>
      </c>
      <c r="C10" s="13">
        <f t="shared" si="0"/>
        <v>5547321</v>
      </c>
      <c r="D10" s="13">
        <f t="shared" si="0"/>
        <v>5738451</v>
      </c>
      <c r="E10" s="13">
        <f t="shared" si="0"/>
        <v>6121487</v>
      </c>
      <c r="F10" s="13">
        <f t="shared" si="0"/>
        <v>6416894</v>
      </c>
      <c r="G10" s="13">
        <f t="shared" si="0"/>
        <v>6762380</v>
      </c>
      <c r="H10" s="13">
        <f t="shared" si="0"/>
        <v>7264200</v>
      </c>
      <c r="I10" s="13">
        <f t="shared" si="0"/>
        <v>7837675</v>
      </c>
      <c r="J10" s="13">
        <f>SUM(J12:J39)</f>
        <v>8400373</v>
      </c>
      <c r="K10" s="13">
        <f>SUM(K12:K39)</f>
        <v>8611075</v>
      </c>
      <c r="L10" s="12">
        <f>(K10-J10)/J10</f>
        <v>0.025</v>
      </c>
      <c r="M10" s="12">
        <f>(K10-V10)/V10</f>
        <v>0.697</v>
      </c>
      <c r="N10" s="14">
        <v>2652857</v>
      </c>
      <c r="O10" s="11">
        <v>2879791</v>
      </c>
      <c r="P10" s="11">
        <v>3125899</v>
      </c>
      <c r="Q10" s="11">
        <v>3471375</v>
      </c>
      <c r="R10" s="11">
        <f>SUM(R12:R39)</f>
        <v>3811804</v>
      </c>
      <c r="S10" s="11">
        <f>SUM(S12:S39)</f>
        <v>4272192</v>
      </c>
      <c r="T10" s="11">
        <f>SUM(T12:T39)</f>
        <v>4588943</v>
      </c>
      <c r="U10" s="11">
        <f>SUM(U12:U39)</f>
        <v>4666881</v>
      </c>
      <c r="V10" s="11">
        <f>SUM(V12:V39)</f>
        <v>5073319</v>
      </c>
      <c r="W10" s="11"/>
      <c r="X10" s="11">
        <f>SUM(X12:X39)</f>
        <v>7837675131</v>
      </c>
      <c r="Y10" s="11">
        <f>SUM(Y12:Y39)</f>
        <v>7837675</v>
      </c>
      <c r="AA10" s="11">
        <f>SUM(AA12:AA39)</f>
        <v>8400371689</v>
      </c>
      <c r="AB10" s="11">
        <f>SUM(AB12:AB39)</f>
        <v>8400373</v>
      </c>
      <c r="AD10" s="11">
        <f>SUM(AD12:AD39)</f>
        <v>8611076595</v>
      </c>
    </row>
    <row r="11" spans="2:23" ht="12.75">
      <c r="B11" s="99"/>
      <c r="C11" s="99"/>
      <c r="D11" s="99"/>
      <c r="E11" s="99"/>
      <c r="F11" s="99"/>
      <c r="G11" s="99"/>
      <c r="H11" s="99"/>
      <c r="I11" s="15"/>
      <c r="J11" s="15"/>
      <c r="K11" s="15"/>
      <c r="M11" s="15"/>
      <c r="P11" s="15"/>
      <c r="U11" s="1"/>
      <c r="V11" s="99"/>
      <c r="W11" s="1"/>
    </row>
    <row r="12" spans="1:31" ht="12.75">
      <c r="A12" s="1" t="s">
        <v>6</v>
      </c>
      <c r="B12" s="15">
        <v>66569</v>
      </c>
      <c r="C12" s="15">
        <v>69015</v>
      </c>
      <c r="D12" s="15">
        <v>74490</v>
      </c>
      <c r="E12" s="15">
        <v>77377</v>
      </c>
      <c r="F12" s="15">
        <v>77932</v>
      </c>
      <c r="G12" s="15">
        <v>84129</v>
      </c>
      <c r="H12" s="15">
        <v>87910</v>
      </c>
      <c r="I12" s="15">
        <v>83612</v>
      </c>
      <c r="J12" s="15">
        <v>88498</v>
      </c>
      <c r="K12" s="15">
        <v>92659</v>
      </c>
      <c r="L12" s="16">
        <f>(K12-J12)*100/J12</f>
        <v>4.7</v>
      </c>
      <c r="M12" s="17">
        <f>(K12-V12)*100/V12</f>
        <v>51</v>
      </c>
      <c r="N12" s="15">
        <v>39947</v>
      </c>
      <c r="O12" s="15">
        <v>44482</v>
      </c>
      <c r="P12" s="15">
        <v>44210</v>
      </c>
      <c r="Q12" s="15">
        <v>46611</v>
      </c>
      <c r="R12" s="15">
        <v>50341</v>
      </c>
      <c r="S12" s="15">
        <v>52581</v>
      </c>
      <c r="T12" s="15">
        <v>55879</v>
      </c>
      <c r="U12" s="15">
        <v>68200</v>
      </c>
      <c r="V12" s="15">
        <f>61349939/1000</f>
        <v>61350</v>
      </c>
      <c r="W12" s="15"/>
      <c r="X12" s="3">
        <v>83612137</v>
      </c>
      <c r="Y12" s="3">
        <f>X12/1000</f>
        <v>83612</v>
      </c>
      <c r="AA12" s="3">
        <v>88497640</v>
      </c>
      <c r="AB12" s="3">
        <f>AA12/1000</f>
        <v>88498</v>
      </c>
      <c r="AD12" s="3">
        <v>92659169</v>
      </c>
      <c r="AE12" s="3">
        <f>AD12/1000</f>
        <v>92659</v>
      </c>
    </row>
    <row r="13" spans="1:31" ht="12.75">
      <c r="A13" s="1" t="s">
        <v>7</v>
      </c>
      <c r="B13" s="15">
        <v>449722</v>
      </c>
      <c r="C13" s="15">
        <v>487550</v>
      </c>
      <c r="D13" s="15">
        <v>495770</v>
      </c>
      <c r="E13" s="15">
        <v>528511</v>
      </c>
      <c r="F13" s="15">
        <v>541341</v>
      </c>
      <c r="G13" s="15">
        <v>552841</v>
      </c>
      <c r="H13" s="15">
        <v>602766</v>
      </c>
      <c r="I13" s="15">
        <v>679587</v>
      </c>
      <c r="J13" s="15">
        <v>702504</v>
      </c>
      <c r="K13" s="15">
        <v>697026</v>
      </c>
      <c r="L13" s="16">
        <f>(K13-J13)*100/J13</f>
        <v>-0.8</v>
      </c>
      <c r="M13" s="17">
        <f>(K13-V13)*100/V13</f>
        <v>62</v>
      </c>
      <c r="N13" s="15">
        <v>240771</v>
      </c>
      <c r="O13" s="15">
        <v>255201</v>
      </c>
      <c r="P13" s="15">
        <v>280444</v>
      </c>
      <c r="Q13" s="15">
        <v>314069</v>
      </c>
      <c r="R13" s="15">
        <v>347406</v>
      </c>
      <c r="S13" s="15">
        <v>369668</v>
      </c>
      <c r="T13" s="15">
        <v>401420</v>
      </c>
      <c r="U13" s="15">
        <v>402470</v>
      </c>
      <c r="V13" s="15">
        <f>430188126/1000</f>
        <v>430188</v>
      </c>
      <c r="W13" s="15"/>
      <c r="X13" s="3">
        <v>679586781</v>
      </c>
      <c r="Y13" s="3">
        <f aca="true" t="shared" si="1" ref="Y13:Y39">X13/1000</f>
        <v>679587</v>
      </c>
      <c r="AA13" s="3">
        <v>702504147</v>
      </c>
      <c r="AB13" s="3">
        <f aca="true" t="shared" si="2" ref="AB13:AB39">AA13/1000</f>
        <v>702504</v>
      </c>
      <c r="AD13" s="3">
        <v>697025670</v>
      </c>
      <c r="AE13" s="3">
        <f>AD13/1000</f>
        <v>697026</v>
      </c>
    </row>
    <row r="14" spans="1:31" ht="12.75">
      <c r="A14" s="1" t="s">
        <v>8</v>
      </c>
      <c r="B14" s="15">
        <v>680866</v>
      </c>
      <c r="C14" s="15">
        <v>696617</v>
      </c>
      <c r="D14" s="15">
        <v>720627</v>
      </c>
      <c r="E14" s="15">
        <v>766520</v>
      </c>
      <c r="F14" s="15">
        <v>834709</v>
      </c>
      <c r="G14" s="15">
        <v>859391</v>
      </c>
      <c r="H14" s="15">
        <v>914471</v>
      </c>
      <c r="I14" s="15">
        <v>979019</v>
      </c>
      <c r="J14" s="15">
        <v>1016083</v>
      </c>
      <c r="K14" s="15">
        <v>1062589</v>
      </c>
      <c r="L14" s="16">
        <f>(K14-J14)*100/J14</f>
        <v>4.6</v>
      </c>
      <c r="M14" s="17">
        <f>(K14-V14)*100/V14</f>
        <v>62.8</v>
      </c>
      <c r="N14" s="15">
        <v>387361</v>
      </c>
      <c r="O14" s="15">
        <v>414827</v>
      </c>
      <c r="P14" s="15">
        <v>435488</v>
      </c>
      <c r="Q14" s="15">
        <v>458529</v>
      </c>
      <c r="R14" s="15">
        <v>510962</v>
      </c>
      <c r="S14" s="15">
        <v>553922</v>
      </c>
      <c r="T14" s="15">
        <v>593452</v>
      </c>
      <c r="U14" s="15">
        <v>614636</v>
      </c>
      <c r="V14" s="15">
        <f>652603813/1000</f>
        <v>652604</v>
      </c>
      <c r="W14" s="15"/>
      <c r="X14" s="3">
        <v>979019191</v>
      </c>
      <c r="Y14" s="3">
        <f t="shared" si="1"/>
        <v>979019</v>
      </c>
      <c r="AA14" s="3">
        <v>1016082531</v>
      </c>
      <c r="AB14" s="3">
        <f t="shared" si="2"/>
        <v>1016083</v>
      </c>
      <c r="AD14" s="3">
        <v>1062589377</v>
      </c>
      <c r="AE14" s="3">
        <f>AD14/1000</f>
        <v>1062589</v>
      </c>
    </row>
    <row r="15" spans="1:31" ht="12.75">
      <c r="A15" s="1" t="s">
        <v>9</v>
      </c>
      <c r="B15" s="15">
        <v>635208</v>
      </c>
      <c r="C15" s="15">
        <v>693762</v>
      </c>
      <c r="D15" s="15">
        <v>701708</v>
      </c>
      <c r="E15" s="15">
        <v>755038</v>
      </c>
      <c r="F15" s="15">
        <v>814182</v>
      </c>
      <c r="G15" s="15">
        <v>842137</v>
      </c>
      <c r="H15" s="15">
        <v>887067</v>
      </c>
      <c r="I15" s="15">
        <v>1007333</v>
      </c>
      <c r="J15" s="15">
        <v>1107094</v>
      </c>
      <c r="K15" s="15">
        <v>981919</v>
      </c>
      <c r="L15" s="16">
        <f>(K15-J15)*100/J15</f>
        <v>-11.3</v>
      </c>
      <c r="M15" s="17">
        <f>(K15-V15)*100/V15</f>
        <v>61.8</v>
      </c>
      <c r="N15" s="15">
        <v>364778</v>
      </c>
      <c r="O15" s="15">
        <v>390774</v>
      </c>
      <c r="P15" s="15">
        <v>413653</v>
      </c>
      <c r="Q15" s="15">
        <v>437691</v>
      </c>
      <c r="R15" s="15">
        <v>486218</v>
      </c>
      <c r="S15" s="15">
        <v>536742</v>
      </c>
      <c r="T15" s="15">
        <v>557131</v>
      </c>
      <c r="U15" s="15">
        <v>583666</v>
      </c>
      <c r="V15" s="15">
        <f>607021644/1000</f>
        <v>607022</v>
      </c>
      <c r="W15" s="15"/>
      <c r="X15" s="3">
        <v>1007333051</v>
      </c>
      <c r="Y15" s="3">
        <f t="shared" si="1"/>
        <v>1007333</v>
      </c>
      <c r="AA15" s="3">
        <v>1107094426</v>
      </c>
      <c r="AB15" s="3">
        <f t="shared" si="2"/>
        <v>1107094</v>
      </c>
      <c r="AD15" s="3">
        <v>981918653</v>
      </c>
      <c r="AE15" s="3">
        <f>AD15/1000</f>
        <v>981919</v>
      </c>
    </row>
    <row r="16" spans="1:31" ht="12.75">
      <c r="A16" s="1" t="s">
        <v>10</v>
      </c>
      <c r="B16" s="15">
        <v>91485</v>
      </c>
      <c r="C16" s="15">
        <v>83181</v>
      </c>
      <c r="D16" s="15">
        <v>94248</v>
      </c>
      <c r="E16" s="15">
        <v>99389</v>
      </c>
      <c r="F16" s="15">
        <v>96406</v>
      </c>
      <c r="G16" s="15">
        <v>119213</v>
      </c>
      <c r="H16" s="15">
        <v>124208</v>
      </c>
      <c r="I16" s="15">
        <v>122464</v>
      </c>
      <c r="J16" s="15">
        <v>133731</v>
      </c>
      <c r="K16" s="15">
        <v>181447</v>
      </c>
      <c r="L16" s="16">
        <f>(K16-J16)*100/J16</f>
        <v>35.7</v>
      </c>
      <c r="M16" s="17">
        <f>(K16-V16)*100/V16</f>
        <v>160</v>
      </c>
      <c r="N16" s="15">
        <v>29819</v>
      </c>
      <c r="O16" s="15">
        <v>35914</v>
      </c>
      <c r="P16" s="15">
        <v>35146</v>
      </c>
      <c r="Q16" s="15">
        <v>43777</v>
      </c>
      <c r="R16" s="15">
        <v>48350</v>
      </c>
      <c r="S16" s="15">
        <v>54245</v>
      </c>
      <c r="T16" s="15">
        <v>69943</v>
      </c>
      <c r="U16" s="15">
        <v>67644</v>
      </c>
      <c r="V16" s="15">
        <f>69798782/1000</f>
        <v>69799</v>
      </c>
      <c r="W16" s="15"/>
      <c r="X16" s="3">
        <v>122464449</v>
      </c>
      <c r="Y16" s="3">
        <f t="shared" si="1"/>
        <v>122464</v>
      </c>
      <c r="AA16" s="3">
        <v>133731454</v>
      </c>
      <c r="AB16" s="3">
        <f t="shared" si="2"/>
        <v>133731</v>
      </c>
      <c r="AD16" s="3">
        <v>181446657</v>
      </c>
      <c r="AE16" s="3">
        <f>AD16/1000</f>
        <v>181447</v>
      </c>
    </row>
    <row r="17" spans="2:23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7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31" ht="12.75">
      <c r="A18" s="1" t="s">
        <v>11</v>
      </c>
      <c r="B18" s="15">
        <v>28267</v>
      </c>
      <c r="C18" s="15">
        <v>31246</v>
      </c>
      <c r="D18" s="15">
        <v>32641</v>
      </c>
      <c r="E18" s="15">
        <v>34303</v>
      </c>
      <c r="F18" s="15">
        <v>36615</v>
      </c>
      <c r="G18" s="15">
        <v>40663</v>
      </c>
      <c r="H18" s="15">
        <v>41160</v>
      </c>
      <c r="I18" s="15">
        <v>45441</v>
      </c>
      <c r="J18" s="15">
        <v>48226</v>
      </c>
      <c r="K18" s="15">
        <v>47127</v>
      </c>
      <c r="L18" s="16">
        <f>(K18-J18)*100/J18</f>
        <v>-2.3</v>
      </c>
      <c r="M18" s="17">
        <f>(K18-V18)*100/V18</f>
        <v>75</v>
      </c>
      <c r="N18" s="15">
        <v>13828</v>
      </c>
      <c r="O18" s="15">
        <v>14869</v>
      </c>
      <c r="P18" s="15">
        <v>16543</v>
      </c>
      <c r="Q18" s="15">
        <v>18599</v>
      </c>
      <c r="R18" s="15">
        <v>21267</v>
      </c>
      <c r="S18" s="15">
        <v>22287</v>
      </c>
      <c r="T18" s="15">
        <v>24090</v>
      </c>
      <c r="U18" s="15">
        <v>25206</v>
      </c>
      <c r="V18" s="15">
        <f>26929578/1000</f>
        <v>26930</v>
      </c>
      <c r="W18" s="15"/>
      <c r="X18" s="3">
        <v>45440709</v>
      </c>
      <c r="Y18" s="3">
        <f t="shared" si="1"/>
        <v>45441</v>
      </c>
      <c r="AA18" s="3">
        <v>48226020</v>
      </c>
      <c r="AB18" s="3">
        <f t="shared" si="2"/>
        <v>48226</v>
      </c>
      <c r="AD18" s="3">
        <v>47127427</v>
      </c>
      <c r="AE18" s="3">
        <f>AD18/1000</f>
        <v>47127</v>
      </c>
    </row>
    <row r="19" spans="1:31" ht="12.75">
      <c r="A19" s="1" t="s">
        <v>12</v>
      </c>
      <c r="B19" s="15">
        <v>145259</v>
      </c>
      <c r="C19" s="15">
        <v>163157</v>
      </c>
      <c r="D19" s="15">
        <v>165152</v>
      </c>
      <c r="E19" s="15">
        <v>182880</v>
      </c>
      <c r="F19" s="15">
        <v>192782</v>
      </c>
      <c r="G19" s="15">
        <v>203761</v>
      </c>
      <c r="H19" s="15">
        <v>222617</v>
      </c>
      <c r="I19" s="15">
        <v>235922</v>
      </c>
      <c r="J19" s="15">
        <v>225348</v>
      </c>
      <c r="K19" s="15">
        <v>238511</v>
      </c>
      <c r="L19" s="16">
        <f>(K19-J19)*100/J19</f>
        <v>5.8</v>
      </c>
      <c r="M19" s="17">
        <f>(K19-V19)*100/V19</f>
        <v>75</v>
      </c>
      <c r="N19" s="15">
        <v>64832</v>
      </c>
      <c r="O19" s="15">
        <v>68750</v>
      </c>
      <c r="P19" s="15">
        <v>76226</v>
      </c>
      <c r="Q19" s="15">
        <v>86421</v>
      </c>
      <c r="R19" s="15">
        <v>96860</v>
      </c>
      <c r="S19" s="15">
        <v>107577</v>
      </c>
      <c r="T19" s="15">
        <v>125662</v>
      </c>
      <c r="U19" s="15">
        <v>135579</v>
      </c>
      <c r="V19" s="15">
        <f>136266614/1000</f>
        <v>136267</v>
      </c>
      <c r="W19" s="15"/>
      <c r="X19" s="3">
        <v>235921972</v>
      </c>
      <c r="Y19" s="3">
        <f t="shared" si="1"/>
        <v>235922</v>
      </c>
      <c r="AA19" s="3">
        <v>225347743</v>
      </c>
      <c r="AB19" s="3">
        <f t="shared" si="2"/>
        <v>225348</v>
      </c>
      <c r="AD19" s="3">
        <v>238511102</v>
      </c>
      <c r="AE19" s="3">
        <f>AD19/1000</f>
        <v>238511</v>
      </c>
    </row>
    <row r="20" spans="1:31" ht="12.75">
      <c r="A20" s="1" t="s">
        <v>13</v>
      </c>
      <c r="B20" s="15">
        <v>80029</v>
      </c>
      <c r="C20" s="15">
        <v>91219</v>
      </c>
      <c r="D20" s="15">
        <v>97374</v>
      </c>
      <c r="E20" s="15">
        <v>99974</v>
      </c>
      <c r="F20" s="15">
        <v>104385</v>
      </c>
      <c r="G20" s="15">
        <v>122282</v>
      </c>
      <c r="H20" s="15">
        <v>118925</v>
      </c>
      <c r="I20" s="15">
        <v>129914</v>
      </c>
      <c r="J20" s="15">
        <v>131766</v>
      </c>
      <c r="K20" s="15">
        <v>138489</v>
      </c>
      <c r="L20" s="16">
        <f>(K20-J20)*100/J20</f>
        <v>5.1</v>
      </c>
      <c r="M20" s="17">
        <f>(K20-V20)*100/V20</f>
        <v>90.7</v>
      </c>
      <c r="N20" s="15">
        <v>38536</v>
      </c>
      <c r="O20" s="15">
        <v>41722</v>
      </c>
      <c r="P20" s="15">
        <v>44919</v>
      </c>
      <c r="Q20" s="15">
        <v>49123</v>
      </c>
      <c r="R20" s="15">
        <v>54923</v>
      </c>
      <c r="S20" s="15">
        <v>69490</v>
      </c>
      <c r="T20" s="15">
        <v>78817</v>
      </c>
      <c r="U20" s="15">
        <v>75114</v>
      </c>
      <c r="V20" s="15">
        <f>72614769/1000</f>
        <v>72615</v>
      </c>
      <c r="W20" s="15"/>
      <c r="X20" s="3">
        <v>129913700</v>
      </c>
      <c r="Y20" s="3">
        <f t="shared" si="1"/>
        <v>129914</v>
      </c>
      <c r="AA20" s="3">
        <v>131765686</v>
      </c>
      <c r="AB20" s="3">
        <f t="shared" si="2"/>
        <v>131766</v>
      </c>
      <c r="AD20" s="3">
        <v>138489272</v>
      </c>
      <c r="AE20" s="3">
        <f>AD20/1000</f>
        <v>138489</v>
      </c>
    </row>
    <row r="21" spans="1:31" ht="12.75">
      <c r="A21" s="1" t="s">
        <v>14</v>
      </c>
      <c r="B21" s="15">
        <v>127331</v>
      </c>
      <c r="C21" s="15">
        <v>144735</v>
      </c>
      <c r="D21" s="15">
        <v>139496</v>
      </c>
      <c r="E21" s="15">
        <v>151268</v>
      </c>
      <c r="F21" s="15">
        <v>154376</v>
      </c>
      <c r="G21" s="15">
        <v>162922</v>
      </c>
      <c r="H21" s="15">
        <v>174773</v>
      </c>
      <c r="I21" s="15">
        <v>193026</v>
      </c>
      <c r="J21" s="15">
        <v>190735</v>
      </c>
      <c r="K21" s="15">
        <v>224631</v>
      </c>
      <c r="L21" s="16">
        <f>(K21-J21)*100/J21</f>
        <v>17.8</v>
      </c>
      <c r="M21" s="17">
        <f>(K21-V21)*100/V21</f>
        <v>93</v>
      </c>
      <c r="N21" s="15">
        <v>57780</v>
      </c>
      <c r="O21" s="15">
        <v>61950</v>
      </c>
      <c r="P21" s="15">
        <v>73169</v>
      </c>
      <c r="Q21" s="15">
        <v>79400</v>
      </c>
      <c r="R21" s="15">
        <v>90388</v>
      </c>
      <c r="S21" s="15">
        <v>98807</v>
      </c>
      <c r="T21" s="15">
        <v>111774</v>
      </c>
      <c r="U21" s="15">
        <v>129491</v>
      </c>
      <c r="V21" s="15">
        <f>116368157/1000</f>
        <v>116368</v>
      </c>
      <c r="W21" s="15"/>
      <c r="X21" s="3">
        <v>193026278</v>
      </c>
      <c r="Y21" s="3">
        <f t="shared" si="1"/>
        <v>193026</v>
      </c>
      <c r="AA21" s="3">
        <v>190735199</v>
      </c>
      <c r="AB21" s="3">
        <f t="shared" si="2"/>
        <v>190735</v>
      </c>
      <c r="AD21" s="3">
        <v>224631049</v>
      </c>
      <c r="AE21" s="3">
        <f>AD21/1000</f>
        <v>224631</v>
      </c>
    </row>
    <row r="22" spans="1:31" ht="12.75">
      <c r="A22" s="1" t="s">
        <v>15</v>
      </c>
      <c r="B22" s="15">
        <v>29909</v>
      </c>
      <c r="C22" s="15">
        <v>32010</v>
      </c>
      <c r="D22" s="15">
        <v>33622</v>
      </c>
      <c r="E22" s="15">
        <v>39220</v>
      </c>
      <c r="F22" s="15">
        <v>38249</v>
      </c>
      <c r="G22" s="15">
        <v>37334</v>
      </c>
      <c r="H22" s="15">
        <v>39858</v>
      </c>
      <c r="I22" s="15">
        <v>43245</v>
      </c>
      <c r="J22" s="15">
        <v>44401</v>
      </c>
      <c r="K22" s="15">
        <v>51112</v>
      </c>
      <c r="L22" s="16">
        <f>(K22-J22)*100/J22</f>
        <v>15.1</v>
      </c>
      <c r="M22" s="17">
        <f>(K22-V22)*100/V22</f>
        <v>84.9</v>
      </c>
      <c r="N22" s="15">
        <v>18775</v>
      </c>
      <c r="O22" s="15">
        <v>19142</v>
      </c>
      <c r="P22" s="15">
        <v>19905</v>
      </c>
      <c r="Q22" s="15">
        <v>21627</v>
      </c>
      <c r="R22" s="15">
        <v>23616</v>
      </c>
      <c r="S22" s="15">
        <v>25813</v>
      </c>
      <c r="T22" s="15">
        <v>27149</v>
      </c>
      <c r="U22" s="15">
        <v>27058</v>
      </c>
      <c r="V22" s="15">
        <f>27640157/1000</f>
        <v>27640</v>
      </c>
      <c r="W22" s="15"/>
      <c r="X22" s="3">
        <v>43244842</v>
      </c>
      <c r="Y22" s="3">
        <f t="shared" si="1"/>
        <v>43245</v>
      </c>
      <c r="AA22" s="3">
        <v>44401024</v>
      </c>
      <c r="AB22" s="3">
        <f t="shared" si="2"/>
        <v>44401</v>
      </c>
      <c r="AD22" s="3">
        <v>51112170</v>
      </c>
      <c r="AE22" s="3">
        <f>AD22/1000</f>
        <v>51112</v>
      </c>
    </row>
    <row r="23" spans="2:23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7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31" ht="12.75">
      <c r="A24" s="1" t="s">
        <v>16</v>
      </c>
      <c r="B24" s="15">
        <v>182278</v>
      </c>
      <c r="C24" s="15">
        <v>220537</v>
      </c>
      <c r="D24" s="15">
        <v>218587</v>
      </c>
      <c r="E24" s="15">
        <v>219254</v>
      </c>
      <c r="F24" s="15">
        <v>240691</v>
      </c>
      <c r="G24" s="15">
        <v>252220</v>
      </c>
      <c r="H24" s="15">
        <v>290723</v>
      </c>
      <c r="I24" s="15">
        <v>338378</v>
      </c>
      <c r="J24" s="15">
        <v>359465</v>
      </c>
      <c r="K24" s="15">
        <v>350497</v>
      </c>
      <c r="L24" s="16">
        <f>(K24-J24)*100/J24</f>
        <v>-2.5</v>
      </c>
      <c r="M24" s="17">
        <f>(K24-V24)*100/V24</f>
        <v>102.1</v>
      </c>
      <c r="N24" s="15">
        <v>86150</v>
      </c>
      <c r="O24" s="15">
        <v>91678</v>
      </c>
      <c r="P24" s="15">
        <v>97977</v>
      </c>
      <c r="Q24" s="15">
        <v>112541</v>
      </c>
      <c r="R24" s="15">
        <v>125361</v>
      </c>
      <c r="S24" s="15">
        <v>148929</v>
      </c>
      <c r="T24" s="15">
        <v>161159</v>
      </c>
      <c r="U24" s="15">
        <v>165576</v>
      </c>
      <c r="V24" s="15">
        <f>173442674/1000</f>
        <v>173443</v>
      </c>
      <c r="W24" s="15"/>
      <c r="X24" s="3">
        <v>338377780</v>
      </c>
      <c r="Y24" s="3">
        <f t="shared" si="1"/>
        <v>338378</v>
      </c>
      <c r="AA24" s="3">
        <v>359464606</v>
      </c>
      <c r="AB24" s="3">
        <f t="shared" si="2"/>
        <v>359465</v>
      </c>
      <c r="AD24" s="3">
        <v>350496739</v>
      </c>
      <c r="AE24" s="3">
        <f>AD24/1000</f>
        <v>350497</v>
      </c>
    </row>
    <row r="25" spans="1:31" ht="12.75">
      <c r="A25" s="1" t="s">
        <v>17</v>
      </c>
      <c r="B25" s="15">
        <v>30212</v>
      </c>
      <c r="C25" s="15">
        <v>31674</v>
      </c>
      <c r="D25" s="15">
        <v>32945</v>
      </c>
      <c r="E25" s="15">
        <v>34181</v>
      </c>
      <c r="F25" s="15">
        <v>35463</v>
      </c>
      <c r="G25" s="15">
        <v>37240</v>
      </c>
      <c r="H25" s="15">
        <v>38426</v>
      </c>
      <c r="I25" s="15">
        <v>40972</v>
      </c>
      <c r="J25" s="15">
        <v>41720</v>
      </c>
      <c r="K25" s="15">
        <v>44336</v>
      </c>
      <c r="L25" s="16">
        <f>(K25-J25)*100/J25</f>
        <v>6.3</v>
      </c>
      <c r="M25" s="17">
        <f>(K25-V25)*100/V25</f>
        <v>55.5</v>
      </c>
      <c r="N25" s="15">
        <v>16848</v>
      </c>
      <c r="O25" s="15">
        <v>21350</v>
      </c>
      <c r="P25" s="15">
        <v>22084</v>
      </c>
      <c r="Q25" s="15">
        <v>21373</v>
      </c>
      <c r="R25" s="15">
        <v>23169</v>
      </c>
      <c r="S25" s="15">
        <v>25651</v>
      </c>
      <c r="T25" s="15">
        <v>34256</v>
      </c>
      <c r="U25" s="15">
        <v>28253</v>
      </c>
      <c r="V25" s="15">
        <f>28510910/1000</f>
        <v>28511</v>
      </c>
      <c r="W25" s="15"/>
      <c r="X25" s="3">
        <v>40972486</v>
      </c>
      <c r="Y25" s="3">
        <f t="shared" si="1"/>
        <v>40972</v>
      </c>
      <c r="AA25" s="3">
        <v>41719661</v>
      </c>
      <c r="AB25" s="3">
        <f t="shared" si="2"/>
        <v>41720</v>
      </c>
      <c r="AD25" s="3">
        <v>44336148</v>
      </c>
      <c r="AE25" s="3">
        <f>AD25/1000</f>
        <v>44336</v>
      </c>
    </row>
    <row r="26" spans="1:31" ht="12.75">
      <c r="A26" s="1" t="s">
        <v>18</v>
      </c>
      <c r="B26" s="15">
        <v>206446</v>
      </c>
      <c r="C26" s="15">
        <v>218888</v>
      </c>
      <c r="D26" s="15">
        <v>230455</v>
      </c>
      <c r="E26" s="15">
        <v>245819</v>
      </c>
      <c r="F26" s="15">
        <v>255607</v>
      </c>
      <c r="G26" s="15">
        <v>264957</v>
      </c>
      <c r="H26" s="15">
        <v>281629</v>
      </c>
      <c r="I26" s="15">
        <v>299817</v>
      </c>
      <c r="J26" s="15">
        <v>319097</v>
      </c>
      <c r="K26" s="15">
        <v>342783</v>
      </c>
      <c r="L26" s="16">
        <f>(K26-J26)*100/J26</f>
        <v>7.4</v>
      </c>
      <c r="M26" s="17">
        <f>(K26-V26)*100/V26</f>
        <v>80</v>
      </c>
      <c r="N26" s="15">
        <v>90384</v>
      </c>
      <c r="O26" s="15">
        <v>98640</v>
      </c>
      <c r="P26" s="15">
        <v>108161</v>
      </c>
      <c r="Q26" s="15">
        <v>117074</v>
      </c>
      <c r="R26" s="15">
        <v>129310</v>
      </c>
      <c r="S26" s="15">
        <v>146332</v>
      </c>
      <c r="T26" s="15">
        <v>163371</v>
      </c>
      <c r="U26" s="15">
        <v>171092</v>
      </c>
      <c r="V26" s="15">
        <f>190435504/1000</f>
        <v>190436</v>
      </c>
      <c r="W26" s="15"/>
      <c r="X26" s="3">
        <v>299816598</v>
      </c>
      <c r="Y26" s="3">
        <f t="shared" si="1"/>
        <v>299817</v>
      </c>
      <c r="AA26" s="3">
        <v>319096855</v>
      </c>
      <c r="AB26" s="3">
        <f t="shared" si="2"/>
        <v>319097</v>
      </c>
      <c r="AD26" s="3">
        <v>342783293</v>
      </c>
      <c r="AE26" s="3">
        <f>AD26/1000</f>
        <v>342783</v>
      </c>
    </row>
    <row r="27" spans="1:31" ht="12.75">
      <c r="A27" s="1" t="s">
        <v>19</v>
      </c>
      <c r="B27" s="15">
        <v>275142</v>
      </c>
      <c r="C27" s="15">
        <v>296185</v>
      </c>
      <c r="D27" s="15">
        <v>324292</v>
      </c>
      <c r="E27" s="15">
        <v>330228</v>
      </c>
      <c r="F27" s="15">
        <v>328174</v>
      </c>
      <c r="G27" s="15">
        <v>351613</v>
      </c>
      <c r="H27" s="15">
        <v>383699</v>
      </c>
      <c r="I27" s="15">
        <v>434396</v>
      </c>
      <c r="J27" s="15">
        <v>483102</v>
      </c>
      <c r="K27" s="15">
        <v>512538</v>
      </c>
      <c r="L27" s="16">
        <f>(K27-J27)*100/J27</f>
        <v>6.1</v>
      </c>
      <c r="M27" s="17">
        <f>(K27-V27)*100/V27</f>
        <v>102.7</v>
      </c>
      <c r="N27" s="15">
        <v>104868</v>
      </c>
      <c r="O27" s="15">
        <v>122907</v>
      </c>
      <c r="P27" s="15">
        <v>140188</v>
      </c>
      <c r="Q27" s="15">
        <v>156347</v>
      </c>
      <c r="R27" s="15">
        <v>181399</v>
      </c>
      <c r="S27" s="15">
        <v>206180</v>
      </c>
      <c r="T27" s="15">
        <v>236698</v>
      </c>
      <c r="U27" s="15">
        <v>240813</v>
      </c>
      <c r="V27" s="15">
        <f>252892130/1000</f>
        <v>252892</v>
      </c>
      <c r="W27" s="15"/>
      <c r="X27" s="3">
        <v>434395821</v>
      </c>
      <c r="Y27" s="3">
        <f t="shared" si="1"/>
        <v>434396</v>
      </c>
      <c r="AA27" s="3">
        <v>483101821</v>
      </c>
      <c r="AB27" s="3">
        <f t="shared" si="2"/>
        <v>483102</v>
      </c>
      <c r="AD27" s="3">
        <v>512538486</v>
      </c>
      <c r="AE27" s="3">
        <f>AD27/1000</f>
        <v>512538</v>
      </c>
    </row>
    <row r="28" spans="1:31" ht="12.75">
      <c r="A28" s="1" t="s">
        <v>20</v>
      </c>
      <c r="B28" s="15">
        <v>18958</v>
      </c>
      <c r="C28" s="15">
        <v>19559</v>
      </c>
      <c r="D28" s="15">
        <v>20359</v>
      </c>
      <c r="E28" s="15">
        <v>20672</v>
      </c>
      <c r="F28" s="15">
        <v>23544</v>
      </c>
      <c r="G28" s="15">
        <v>22938</v>
      </c>
      <c r="H28" s="15">
        <v>23761</v>
      </c>
      <c r="I28" s="15">
        <v>25456</v>
      </c>
      <c r="J28" s="15">
        <v>27932</v>
      </c>
      <c r="K28" s="15">
        <v>27945</v>
      </c>
      <c r="L28" s="16">
        <f>(K28-J28)*100/J28</f>
        <v>0</v>
      </c>
      <c r="M28" s="17">
        <f>(K28-V28)*100/V28</f>
        <v>69.8</v>
      </c>
      <c r="N28" s="15">
        <v>8860</v>
      </c>
      <c r="O28" s="15">
        <v>9950</v>
      </c>
      <c r="P28" s="15">
        <v>10603</v>
      </c>
      <c r="Q28" s="15">
        <v>11388</v>
      </c>
      <c r="R28" s="15">
        <v>13108</v>
      </c>
      <c r="S28" s="15">
        <v>14566</v>
      </c>
      <c r="T28" s="15">
        <v>15449</v>
      </c>
      <c r="U28" s="15">
        <v>16213</v>
      </c>
      <c r="V28" s="15">
        <f>16456918/1000</f>
        <v>16457</v>
      </c>
      <c r="W28" s="15"/>
      <c r="X28" s="3">
        <v>25456174</v>
      </c>
      <c r="Y28" s="3">
        <f t="shared" si="1"/>
        <v>25456</v>
      </c>
      <c r="AA28" s="3">
        <v>27932071</v>
      </c>
      <c r="AB28" s="3">
        <f t="shared" si="2"/>
        <v>27932</v>
      </c>
      <c r="AD28" s="3">
        <v>27945110</v>
      </c>
      <c r="AE28" s="3">
        <f>AD28/1000</f>
        <v>27945</v>
      </c>
    </row>
    <row r="29" spans="2:23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7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31" ht="12.75">
      <c r="A30" s="1" t="s">
        <v>21</v>
      </c>
      <c r="B30" s="15">
        <v>1067738</v>
      </c>
      <c r="C30" s="15">
        <v>1015499</v>
      </c>
      <c r="D30" s="15">
        <v>1102242</v>
      </c>
      <c r="E30" s="15">
        <v>1179936</v>
      </c>
      <c r="F30" s="15">
        <v>1183321</v>
      </c>
      <c r="G30" s="15">
        <v>1237973</v>
      </c>
      <c r="H30" s="15">
        <v>1378930</v>
      </c>
      <c r="I30" s="15">
        <v>1428000</v>
      </c>
      <c r="J30" s="15">
        <v>1576992</v>
      </c>
      <c r="K30" s="15">
        <v>1646230</v>
      </c>
      <c r="L30" s="16">
        <f>(K30-J30)*100/J30</f>
        <v>4.4</v>
      </c>
      <c r="M30" s="17">
        <f>(K30-V30)*100/V30</f>
        <v>47.7</v>
      </c>
      <c r="N30" s="15">
        <v>492113</v>
      </c>
      <c r="O30" s="15">
        <v>534596</v>
      </c>
      <c r="P30" s="15">
        <v>600543</v>
      </c>
      <c r="Q30" s="15">
        <v>706791</v>
      </c>
      <c r="R30" s="15">
        <v>741761</v>
      </c>
      <c r="S30" s="15">
        <v>881319</v>
      </c>
      <c r="T30" s="15">
        <v>905501</v>
      </c>
      <c r="U30" s="15">
        <v>886390</v>
      </c>
      <c r="V30" s="15">
        <f>1114941556/1000</f>
        <v>1114942</v>
      </c>
      <c r="W30" s="15"/>
      <c r="X30" s="3">
        <v>1427999712</v>
      </c>
      <c r="Y30" s="3">
        <f t="shared" si="1"/>
        <v>1428000</v>
      </c>
      <c r="AA30" s="3">
        <v>1576992223</v>
      </c>
      <c r="AB30" s="3">
        <f t="shared" si="2"/>
        <v>1576992</v>
      </c>
      <c r="AD30" s="3">
        <v>1646230393</v>
      </c>
      <c r="AE30" s="3">
        <f>AD30/1000</f>
        <v>1646230</v>
      </c>
    </row>
    <row r="31" spans="1:31" ht="12.75">
      <c r="A31" s="1" t="s">
        <v>22</v>
      </c>
      <c r="B31" s="15">
        <v>763950</v>
      </c>
      <c r="C31" s="15">
        <v>826347</v>
      </c>
      <c r="D31" s="15">
        <v>821745</v>
      </c>
      <c r="E31" s="15">
        <v>859239</v>
      </c>
      <c r="F31" s="15">
        <v>945164</v>
      </c>
      <c r="G31" s="15">
        <v>1024886</v>
      </c>
      <c r="H31" s="15">
        <v>1083849</v>
      </c>
      <c r="I31" s="15">
        <v>1146780</v>
      </c>
      <c r="J31" s="15">
        <v>1252257</v>
      </c>
      <c r="K31" s="15">
        <v>1287429</v>
      </c>
      <c r="L31" s="16">
        <f>(K31-J31)*100/J31</f>
        <v>2.8</v>
      </c>
      <c r="M31" s="17">
        <f>(K31-V31)*100/V31</f>
        <v>81</v>
      </c>
      <c r="N31" s="15">
        <v>395902</v>
      </c>
      <c r="O31" s="15">
        <v>432442</v>
      </c>
      <c r="P31" s="15">
        <v>468527</v>
      </c>
      <c r="Q31" s="15">
        <v>531025</v>
      </c>
      <c r="R31" s="15">
        <v>580693</v>
      </c>
      <c r="S31" s="15">
        <v>640323</v>
      </c>
      <c r="T31" s="15">
        <v>675182</v>
      </c>
      <c r="U31" s="15">
        <v>664194</v>
      </c>
      <c r="V31" s="15">
        <f>711133024/1000</f>
        <v>711133</v>
      </c>
      <c r="W31" s="15"/>
      <c r="X31" s="3">
        <v>1146780049</v>
      </c>
      <c r="Y31" s="3">
        <f t="shared" si="1"/>
        <v>1146780</v>
      </c>
      <c r="AA31" s="3">
        <v>1252257452</v>
      </c>
      <c r="AB31" s="3">
        <f t="shared" si="2"/>
        <v>1252257</v>
      </c>
      <c r="AD31" s="3">
        <v>1287428817</v>
      </c>
      <c r="AE31" s="3">
        <f>AD31/1000</f>
        <v>1287429</v>
      </c>
    </row>
    <row r="32" spans="1:31" ht="12.75">
      <c r="A32" s="1" t="s">
        <v>23</v>
      </c>
      <c r="B32" s="15">
        <v>37589</v>
      </c>
      <c r="C32" s="15">
        <v>44283</v>
      </c>
      <c r="D32" s="15">
        <v>41631</v>
      </c>
      <c r="E32" s="15">
        <v>50019</v>
      </c>
      <c r="F32" s="15">
        <v>60237</v>
      </c>
      <c r="G32" s="15">
        <v>57468</v>
      </c>
      <c r="H32" s="15">
        <v>54876</v>
      </c>
      <c r="I32" s="15">
        <v>67339</v>
      </c>
      <c r="J32" s="15">
        <v>66049</v>
      </c>
      <c r="K32" s="15">
        <v>78934</v>
      </c>
      <c r="L32" s="16">
        <f>(K32-J32)*100/J32</f>
        <v>19.5</v>
      </c>
      <c r="M32" s="17">
        <f>(K32-V32)*100/V32</f>
        <v>125.9</v>
      </c>
      <c r="N32" s="15">
        <v>16469</v>
      </c>
      <c r="O32" s="15">
        <v>18756</v>
      </c>
      <c r="P32" s="15">
        <v>21273</v>
      </c>
      <c r="Q32" s="15">
        <v>22874</v>
      </c>
      <c r="R32" s="15">
        <v>25813</v>
      </c>
      <c r="S32" s="15">
        <v>29112</v>
      </c>
      <c r="T32" s="15">
        <v>36028</v>
      </c>
      <c r="U32" s="15">
        <v>34293</v>
      </c>
      <c r="V32" s="15">
        <f>34947367/1000</f>
        <v>34947</v>
      </c>
      <c r="W32" s="15"/>
      <c r="X32" s="3">
        <v>67339094</v>
      </c>
      <c r="Y32" s="3">
        <f t="shared" si="1"/>
        <v>67339</v>
      </c>
      <c r="AA32" s="3">
        <v>66048987</v>
      </c>
      <c r="AB32" s="3">
        <f t="shared" si="2"/>
        <v>66049</v>
      </c>
      <c r="AD32" s="3">
        <v>78934081</v>
      </c>
      <c r="AE32" s="3">
        <f>AD32/1000</f>
        <v>78934</v>
      </c>
    </row>
    <row r="33" spans="1:31" ht="12.75">
      <c r="A33" s="1" t="s">
        <v>24</v>
      </c>
      <c r="B33" s="15">
        <v>83070</v>
      </c>
      <c r="C33" s="15">
        <v>84343</v>
      </c>
      <c r="D33" s="15">
        <v>90840</v>
      </c>
      <c r="E33" s="15">
        <v>106212</v>
      </c>
      <c r="F33" s="15">
        <v>111050</v>
      </c>
      <c r="G33" s="15">
        <v>117312</v>
      </c>
      <c r="H33" s="15">
        <v>125397</v>
      </c>
      <c r="I33" s="15">
        <v>131234</v>
      </c>
      <c r="J33" s="15">
        <v>151608</v>
      </c>
      <c r="K33" s="15">
        <v>148416</v>
      </c>
      <c r="L33" s="16">
        <f>(K33-J33)*100/J33</f>
        <v>-2.1</v>
      </c>
      <c r="M33" s="17">
        <f>(K33-V33)*100/V33</f>
        <v>79.9</v>
      </c>
      <c r="N33" s="15">
        <v>39904</v>
      </c>
      <c r="O33" s="15">
        <v>42081</v>
      </c>
      <c r="P33" s="15">
        <v>46974</v>
      </c>
      <c r="Q33" s="15">
        <v>51579</v>
      </c>
      <c r="R33" s="15">
        <v>58136</v>
      </c>
      <c r="S33" s="15">
        <v>62134</v>
      </c>
      <c r="T33" s="15">
        <v>71488</v>
      </c>
      <c r="U33" s="15">
        <v>79262</v>
      </c>
      <c r="V33" s="15">
        <f>82513977/1000</f>
        <v>82514</v>
      </c>
      <c r="W33" s="15"/>
      <c r="X33" s="3">
        <v>131233743</v>
      </c>
      <c r="Y33" s="3">
        <f t="shared" si="1"/>
        <v>131234</v>
      </c>
      <c r="AA33" s="3">
        <v>151607580</v>
      </c>
      <c r="AB33" s="3">
        <f t="shared" si="2"/>
        <v>151608</v>
      </c>
      <c r="AD33" s="3">
        <v>148415509</v>
      </c>
      <c r="AE33" s="3">
        <f>AD33/1000</f>
        <v>148416</v>
      </c>
    </row>
    <row r="34" spans="1:31" ht="12.75">
      <c r="A34" s="1" t="s">
        <v>25</v>
      </c>
      <c r="B34" s="15">
        <v>20480</v>
      </c>
      <c r="C34" s="15">
        <v>21340</v>
      </c>
      <c r="D34" s="15">
        <v>24058</v>
      </c>
      <c r="E34" s="15">
        <v>24780</v>
      </c>
      <c r="F34" s="15">
        <v>25183</v>
      </c>
      <c r="G34" s="15">
        <v>24663</v>
      </c>
      <c r="H34" s="15">
        <v>26077</v>
      </c>
      <c r="I34" s="15">
        <v>26565</v>
      </c>
      <c r="J34" s="15">
        <v>27851</v>
      </c>
      <c r="K34" s="15">
        <v>35520</v>
      </c>
      <c r="L34" s="16">
        <f>(K34-J34)*100/J34</f>
        <v>27.5</v>
      </c>
      <c r="M34" s="17">
        <f>(K34-V34)*100/V34</f>
        <v>84.6</v>
      </c>
      <c r="N34" s="15">
        <v>10709</v>
      </c>
      <c r="O34" s="15">
        <v>11891</v>
      </c>
      <c r="P34" s="15">
        <v>12405</v>
      </c>
      <c r="Q34" s="15">
        <v>13549</v>
      </c>
      <c r="R34" s="15">
        <v>15646</v>
      </c>
      <c r="S34" s="15">
        <v>16856</v>
      </c>
      <c r="T34" s="15">
        <v>17828</v>
      </c>
      <c r="U34" s="15">
        <v>17937</v>
      </c>
      <c r="V34" s="15">
        <f>19243068/1000</f>
        <v>19243</v>
      </c>
      <c r="W34" s="15"/>
      <c r="X34" s="3">
        <v>26565331</v>
      </c>
      <c r="Y34" s="3">
        <f t="shared" si="1"/>
        <v>26565</v>
      </c>
      <c r="AA34" s="3">
        <v>27851049</v>
      </c>
      <c r="AB34" s="3">
        <f t="shared" si="2"/>
        <v>27851</v>
      </c>
      <c r="AD34" s="3">
        <v>35520050</v>
      </c>
      <c r="AE34" s="3">
        <f>AD34/1000</f>
        <v>35520</v>
      </c>
    </row>
    <row r="35" spans="2:23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7"/>
      <c r="O35" s="15"/>
      <c r="P35" s="15"/>
      <c r="Q35" s="15"/>
      <c r="R35" s="15"/>
      <c r="S35" s="15"/>
      <c r="T35" s="15"/>
      <c r="U35" s="15"/>
      <c r="V35" s="15"/>
      <c r="W35" s="15"/>
    </row>
    <row r="36" spans="1:31" ht="12.75">
      <c r="A36" s="1" t="s">
        <v>26</v>
      </c>
      <c r="B36" s="15">
        <v>28560</v>
      </c>
      <c r="C36" s="15">
        <v>28062</v>
      </c>
      <c r="D36" s="15">
        <v>29579</v>
      </c>
      <c r="E36" s="15">
        <v>35210</v>
      </c>
      <c r="F36" s="15">
        <v>34454</v>
      </c>
      <c r="G36" s="15">
        <v>33752</v>
      </c>
      <c r="H36" s="15">
        <v>33717</v>
      </c>
      <c r="I36" s="15">
        <v>41669</v>
      </c>
      <c r="J36" s="15">
        <v>45254</v>
      </c>
      <c r="K36" s="15">
        <v>46402</v>
      </c>
      <c r="L36" s="16">
        <f>(K36-J36)*100/J36</f>
        <v>2.5</v>
      </c>
      <c r="M36" s="17">
        <f>(K36-V36)*100/V36</f>
        <v>98.9</v>
      </c>
      <c r="N36" s="15">
        <v>13227</v>
      </c>
      <c r="O36" s="15">
        <v>14159</v>
      </c>
      <c r="P36" s="15">
        <v>14928</v>
      </c>
      <c r="Q36" s="15">
        <v>16827</v>
      </c>
      <c r="R36" s="15">
        <v>18561</v>
      </c>
      <c r="S36" s="15">
        <v>22468</v>
      </c>
      <c r="T36" s="15">
        <v>22001</v>
      </c>
      <c r="U36" s="15">
        <v>24187</v>
      </c>
      <c r="V36" s="15">
        <f>23330622/1000</f>
        <v>23331</v>
      </c>
      <c r="W36" s="15"/>
      <c r="X36" s="3">
        <v>41668758</v>
      </c>
      <c r="Y36" s="3">
        <f t="shared" si="1"/>
        <v>41669</v>
      </c>
      <c r="AA36" s="3">
        <v>45253749</v>
      </c>
      <c r="AB36" s="3">
        <f t="shared" si="2"/>
        <v>45254</v>
      </c>
      <c r="AD36" s="3">
        <v>46402211</v>
      </c>
      <c r="AE36" s="3">
        <f>AD36/1000</f>
        <v>46402</v>
      </c>
    </row>
    <row r="37" spans="1:31" ht="12.75">
      <c r="A37" s="1" t="s">
        <v>27</v>
      </c>
      <c r="B37" s="15">
        <v>112882</v>
      </c>
      <c r="C37" s="15">
        <v>123671</v>
      </c>
      <c r="D37" s="15">
        <v>121964</v>
      </c>
      <c r="E37" s="15">
        <v>132147</v>
      </c>
      <c r="F37" s="15">
        <v>133133</v>
      </c>
      <c r="G37" s="15">
        <v>142354</v>
      </c>
      <c r="H37" s="15">
        <v>151647</v>
      </c>
      <c r="I37" s="15">
        <v>154921</v>
      </c>
      <c r="J37" s="15">
        <v>166028</v>
      </c>
      <c r="K37" s="15">
        <v>170801</v>
      </c>
      <c r="L37" s="16">
        <f>(K37-J37)*100/J37</f>
        <v>2.9</v>
      </c>
      <c r="M37" s="17">
        <f>(K37-V37)*100/V37</f>
        <v>46.2</v>
      </c>
      <c r="N37" s="15">
        <v>62225</v>
      </c>
      <c r="O37" s="15">
        <v>68136</v>
      </c>
      <c r="P37" s="15">
        <v>72445</v>
      </c>
      <c r="Q37" s="15">
        <v>79258</v>
      </c>
      <c r="R37" s="15">
        <v>84925</v>
      </c>
      <c r="S37" s="15">
        <v>94217</v>
      </c>
      <c r="T37" s="15">
        <v>101062</v>
      </c>
      <c r="U37" s="15">
        <v>105017</v>
      </c>
      <c r="V37" s="15">
        <f>116866349/1000</f>
        <v>116866</v>
      </c>
      <c r="W37" s="15"/>
      <c r="X37" s="3">
        <v>154920905</v>
      </c>
      <c r="Y37" s="3">
        <f t="shared" si="1"/>
        <v>154921</v>
      </c>
      <c r="AA37" s="3">
        <v>166028475</v>
      </c>
      <c r="AB37" s="3">
        <f t="shared" si="2"/>
        <v>166028</v>
      </c>
      <c r="AD37" s="3">
        <v>170801070</v>
      </c>
      <c r="AE37" s="3">
        <f>AD37/1000</f>
        <v>170801</v>
      </c>
    </row>
    <row r="38" spans="1:31" ht="12.75">
      <c r="A38" s="1" t="s">
        <v>28</v>
      </c>
      <c r="B38" s="15">
        <v>75922</v>
      </c>
      <c r="C38" s="15">
        <v>82078</v>
      </c>
      <c r="D38" s="15">
        <v>81099</v>
      </c>
      <c r="E38" s="15">
        <v>95747</v>
      </c>
      <c r="F38" s="15">
        <v>98242</v>
      </c>
      <c r="G38" s="15">
        <v>115399</v>
      </c>
      <c r="H38" s="15">
        <v>112003</v>
      </c>
      <c r="I38" s="15">
        <v>117318</v>
      </c>
      <c r="J38" s="15">
        <v>122077</v>
      </c>
      <c r="K38" s="15">
        <v>130994</v>
      </c>
      <c r="L38" s="16">
        <f>(K38-J38)*100/J38</f>
        <v>7.3</v>
      </c>
      <c r="M38" s="17">
        <f>(K38-V38)*100/V38</f>
        <v>87.5</v>
      </c>
      <c r="N38" s="15">
        <v>38183</v>
      </c>
      <c r="O38" s="15">
        <v>41780</v>
      </c>
      <c r="P38" s="15">
        <v>43706</v>
      </c>
      <c r="Q38" s="15">
        <v>48370</v>
      </c>
      <c r="R38" s="15">
        <v>54737</v>
      </c>
      <c r="S38" s="15">
        <v>60121</v>
      </c>
      <c r="T38" s="15">
        <v>68605</v>
      </c>
      <c r="U38" s="15">
        <v>67973</v>
      </c>
      <c r="V38" s="15">
        <f>69860442/1000</f>
        <v>69860</v>
      </c>
      <c r="W38" s="15"/>
      <c r="X38" s="3">
        <v>117318390</v>
      </c>
      <c r="Y38" s="3">
        <f t="shared" si="1"/>
        <v>117318</v>
      </c>
      <c r="AA38" s="3">
        <v>122076503</v>
      </c>
      <c r="AB38" s="3">
        <f t="shared" si="2"/>
        <v>122077</v>
      </c>
      <c r="AD38" s="3">
        <v>130994435</v>
      </c>
      <c r="AE38" s="3">
        <f>AD38/1000</f>
        <v>130994</v>
      </c>
    </row>
    <row r="39" spans="1:31" ht="12.75">
      <c r="A39" s="18" t="s">
        <v>29</v>
      </c>
      <c r="B39" s="15">
        <v>41287</v>
      </c>
      <c r="C39" s="25">
        <v>42363</v>
      </c>
      <c r="D39" s="15">
        <v>43527</v>
      </c>
      <c r="E39" s="15">
        <v>53563</v>
      </c>
      <c r="F39" s="15">
        <v>51654</v>
      </c>
      <c r="G39" s="15">
        <v>54932</v>
      </c>
      <c r="H39" s="15">
        <v>65711</v>
      </c>
      <c r="I39" s="15">
        <v>65267</v>
      </c>
      <c r="J39" s="15">
        <v>72555</v>
      </c>
      <c r="K39" s="15">
        <v>72740</v>
      </c>
      <c r="L39" s="16">
        <f>(K39-J39)*100/J39</f>
        <v>0.3</v>
      </c>
      <c r="M39" s="17">
        <f>(K39-V39)*100/V39</f>
        <v>91.6</v>
      </c>
      <c r="N39" s="15">
        <v>20588</v>
      </c>
      <c r="O39" s="15">
        <v>23794</v>
      </c>
      <c r="P39" s="15">
        <v>26382</v>
      </c>
      <c r="Q39" s="15">
        <v>26532</v>
      </c>
      <c r="R39" s="15">
        <v>28854</v>
      </c>
      <c r="S39" s="15">
        <v>32852</v>
      </c>
      <c r="T39" s="15">
        <v>34998</v>
      </c>
      <c r="U39" s="15">
        <v>36617</v>
      </c>
      <c r="V39" s="15">
        <f>37961130/1000</f>
        <v>37961</v>
      </c>
      <c r="W39" s="15"/>
      <c r="X39" s="3">
        <v>65267180</v>
      </c>
      <c r="Y39" s="3">
        <f t="shared" si="1"/>
        <v>65267</v>
      </c>
      <c r="AA39" s="3">
        <v>72554787</v>
      </c>
      <c r="AB39" s="3">
        <f t="shared" si="2"/>
        <v>72555</v>
      </c>
      <c r="AD39" s="3">
        <v>72739707</v>
      </c>
      <c r="AE39" s="3">
        <f>AD39/1000</f>
        <v>72740</v>
      </c>
    </row>
    <row r="40" spans="1:22" ht="12.75">
      <c r="A40" s="1" t="s">
        <v>43</v>
      </c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O40" s="20"/>
      <c r="P40" s="20"/>
      <c r="Q40" s="20"/>
      <c r="R40" s="20"/>
      <c r="V40" s="19"/>
    </row>
    <row r="41" spans="2:18" ht="12.75">
      <c r="B41" s="15"/>
      <c r="O41" s="15"/>
      <c r="P41" s="15"/>
      <c r="Q41" s="15"/>
      <c r="R41" s="15"/>
    </row>
    <row r="42" spans="1:18" ht="12.75">
      <c r="A42" s="3"/>
      <c r="B42" s="15"/>
      <c r="O42" s="15"/>
      <c r="P42" s="15"/>
      <c r="Q42" s="15"/>
      <c r="R42" s="15"/>
    </row>
    <row r="43" spans="2:18" ht="12.75">
      <c r="B43" s="15"/>
      <c r="O43" s="15"/>
      <c r="P43" s="15"/>
      <c r="Q43" s="15"/>
      <c r="R43" s="15"/>
    </row>
    <row r="44" spans="2:18" ht="12.75">
      <c r="B44" s="15"/>
      <c r="O44" s="15"/>
      <c r="P44" s="15"/>
      <c r="Q44" s="15"/>
      <c r="R44" s="15"/>
    </row>
    <row r="45" spans="2:18" ht="12.75">
      <c r="B45" s="15"/>
      <c r="O45" s="15"/>
      <c r="P45" s="15"/>
      <c r="Q45" s="15"/>
      <c r="R45" s="15"/>
    </row>
    <row r="46" ht="12.75">
      <c r="B46" s="15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</sheetData>
  <mergeCells count="3">
    <mergeCell ref="A4:M4"/>
    <mergeCell ref="A1:M1"/>
    <mergeCell ref="A3:M3"/>
  </mergeCells>
  <printOptions horizontalCentered="1"/>
  <pageMargins left="0.56" right="0.48" top="1" bottom="1" header="0.5" footer="0.5"/>
  <pageSetup fitToHeight="1" fitToWidth="1" orientation="landscape" scale="78" r:id="rId1"/>
  <headerFooter alignWithMargins="0">
    <oddFooter>&amp;L&amp;"Lucida Sans,Italic"&amp;10MSDE-DBS  11/ 2004&amp;C- 6 -&amp;R&amp;"Lucida Sans,Italic"&amp;10Selected Financial Data - Part 4</oddFooter>
  </headerFooter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workbookViewId="0" topLeftCell="A4">
      <selection activeCell="B8" sqref="B8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3" width="6.625" style="1" customWidth="1"/>
    <col min="14" max="14" width="9.375" style="1" bestFit="1" customWidth="1"/>
    <col min="15" max="22" width="10.125" style="1" customWidth="1"/>
    <col min="23" max="23" width="4.875" style="1" customWidth="1"/>
    <col min="24" max="24" width="14.875" style="3" customWidth="1"/>
    <col min="25" max="25" width="11.375" style="3" customWidth="1"/>
    <col min="26" max="26" width="11.125" style="3" bestFit="1" customWidth="1"/>
    <col min="27" max="46" width="10.125" style="3" customWidth="1"/>
    <col min="47" max="16384" width="10.00390625" style="3" customWidth="1"/>
  </cols>
  <sheetData>
    <row r="1" spans="1:23" s="141" customFormat="1" ht="15.75" customHeight="1">
      <c r="A1" s="205" t="s">
        <v>115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73"/>
      <c r="O1" s="106"/>
      <c r="P1" s="2"/>
      <c r="Q1" s="2"/>
      <c r="R1" s="2"/>
      <c r="S1" s="106"/>
      <c r="T1" s="106"/>
      <c r="U1" s="106"/>
      <c r="V1" s="10"/>
      <c r="W1" s="106"/>
    </row>
    <row r="2" spans="1:23" s="141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6"/>
      <c r="P2" s="2"/>
      <c r="Q2" s="2"/>
      <c r="R2" s="2"/>
      <c r="S2" s="106"/>
      <c r="T2" s="106"/>
      <c r="U2" s="106"/>
      <c r="V2" s="2"/>
      <c r="W2" s="106"/>
    </row>
    <row r="3" spans="1:23" s="141" customFormat="1" ht="12.75">
      <c r="A3" s="205" t="s">
        <v>56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10"/>
      <c r="O3" s="106"/>
      <c r="P3" s="2"/>
      <c r="Q3" s="2"/>
      <c r="R3" s="2"/>
      <c r="S3" s="106"/>
      <c r="T3" s="106"/>
      <c r="U3" s="106"/>
      <c r="V3" s="2"/>
      <c r="W3" s="106"/>
    </row>
    <row r="4" spans="1:23" s="141" customFormat="1" ht="12.75">
      <c r="A4" s="205" t="s">
        <v>196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10"/>
      <c r="O4" s="106"/>
      <c r="P4" s="2"/>
      <c r="Q4" s="2"/>
      <c r="R4" s="2"/>
      <c r="S4" s="106"/>
      <c r="T4" s="106"/>
      <c r="U4" s="106"/>
      <c r="V4" s="10"/>
      <c r="W4" s="106"/>
    </row>
    <row r="5" spans="1:23" s="141" customFormat="1" ht="13.5" thickBot="1">
      <c r="A5" s="106"/>
      <c r="B5" s="106"/>
      <c r="C5" s="106"/>
      <c r="D5" s="106"/>
      <c r="E5" s="106"/>
      <c r="F5" s="106"/>
      <c r="G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2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R6" s="5"/>
      <c r="T6" s="5"/>
      <c r="U6" s="5"/>
      <c r="V6" s="5"/>
    </row>
    <row r="7" spans="12:13" ht="12.75">
      <c r="L7" s="6" t="s">
        <v>34</v>
      </c>
      <c r="M7" s="6"/>
    </row>
    <row r="8" spans="1:25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7" t="s">
        <v>106</v>
      </c>
      <c r="M8" s="27" t="s">
        <v>107</v>
      </c>
      <c r="O8" s="7"/>
      <c r="P8" s="7"/>
      <c r="R8" s="7"/>
      <c r="T8" s="7"/>
      <c r="U8" s="7"/>
      <c r="V8" s="7"/>
      <c r="X8" s="3" t="s">
        <v>198</v>
      </c>
      <c r="Y8" s="3" t="s">
        <v>132</v>
      </c>
    </row>
    <row r="9" spans="1:25" ht="13.5" thickBot="1">
      <c r="A9" s="8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9" t="s">
        <v>105</v>
      </c>
      <c r="M9" s="9" t="s">
        <v>105</v>
      </c>
      <c r="N9" s="10" t="s">
        <v>2</v>
      </c>
      <c r="O9" s="9" t="s">
        <v>36</v>
      </c>
      <c r="P9" s="9" t="s">
        <v>71</v>
      </c>
      <c r="Q9" s="9" t="s">
        <v>72</v>
      </c>
      <c r="R9" s="9" t="s">
        <v>73</v>
      </c>
      <c r="S9" s="9" t="s">
        <v>74</v>
      </c>
      <c r="T9" s="9" t="s">
        <v>75</v>
      </c>
      <c r="U9" s="8" t="s">
        <v>83</v>
      </c>
      <c r="V9" s="8" t="s">
        <v>84</v>
      </c>
      <c r="Y9" s="3" t="s">
        <v>131</v>
      </c>
    </row>
    <row r="10" spans="1:26" ht="13.5" thickTop="1">
      <c r="A10" s="7" t="s">
        <v>5</v>
      </c>
      <c r="B10" s="11">
        <f>SUM(B12:B39)</f>
        <v>4276788</v>
      </c>
      <c r="C10" s="13">
        <f>SUM(C12:C39)</f>
        <v>4539001</v>
      </c>
      <c r="D10" s="13">
        <f>SUM(D12:D39)</f>
        <v>4710123</v>
      </c>
      <c r="E10" s="13">
        <f>SUM(E12:E39)</f>
        <v>4916670</v>
      </c>
      <c r="F10" s="13">
        <f>SUM(F12:F39)</f>
        <v>5234380</v>
      </c>
      <c r="G10" s="13">
        <f>SUM(G12:G39)-1</f>
        <v>5563224</v>
      </c>
      <c r="H10" s="13">
        <f>SUM(H12:H39)</f>
        <v>5921374</v>
      </c>
      <c r="I10" s="13">
        <f>SUM(I12:I39)</f>
        <v>6446370</v>
      </c>
      <c r="J10" s="13">
        <f>SUM(J12:J39)</f>
        <v>6901121</v>
      </c>
      <c r="K10" s="13">
        <f>SUM(K12:K39)</f>
        <v>7314458</v>
      </c>
      <c r="L10" s="12">
        <f>(K10-J10)/J10</f>
        <v>0.06</v>
      </c>
      <c r="M10" s="12">
        <f>(K10-V10)/V10</f>
        <v>0.858</v>
      </c>
      <c r="N10" s="14">
        <v>2106149</v>
      </c>
      <c r="O10" s="11">
        <v>2262412</v>
      </c>
      <c r="P10" s="11">
        <v>2449656</v>
      </c>
      <c r="Q10" s="11">
        <v>2725905</v>
      </c>
      <c r="R10" s="11">
        <f>SUM(R12:R39)</f>
        <v>3021129</v>
      </c>
      <c r="S10" s="11">
        <f>SUM(S12:S39)</f>
        <v>3335386</v>
      </c>
      <c r="T10" s="11">
        <f>SUM(T12:T39)</f>
        <v>3633138</v>
      </c>
      <c r="U10" s="11">
        <f>SUM(U12:U39)</f>
        <v>3745093</v>
      </c>
      <c r="V10" s="11">
        <f>SUM(V12:V39)</f>
        <v>3937239</v>
      </c>
      <c r="X10" s="11">
        <f>SUM(X12:X39)</f>
        <v>7669001563</v>
      </c>
      <c r="Y10" s="180">
        <f>SUM(Y12:Y39)</f>
        <v>354543785</v>
      </c>
      <c r="Z10" s="68">
        <f>SUM(Z12:Z39)</f>
        <v>7314457778</v>
      </c>
    </row>
    <row r="11" spans="2:25" ht="12.75">
      <c r="B11" s="99"/>
      <c r="C11" s="99"/>
      <c r="D11" s="99"/>
      <c r="E11" s="99"/>
      <c r="F11" s="99"/>
      <c r="G11" s="99"/>
      <c r="H11" s="99"/>
      <c r="I11" s="99"/>
      <c r="J11" s="99"/>
      <c r="K11" s="99"/>
      <c r="M11" s="15"/>
      <c r="N11" s="15"/>
      <c r="O11" s="15"/>
      <c r="T11" s="15"/>
      <c r="U11" s="99"/>
      <c r="V11" s="99"/>
      <c r="Y11" s="43"/>
    </row>
    <row r="12" spans="1:27" ht="12.75">
      <c r="A12" s="1" t="s">
        <v>6</v>
      </c>
      <c r="B12" s="15">
        <v>53965</v>
      </c>
      <c r="C12" s="15">
        <v>57062</v>
      </c>
      <c r="D12" s="15">
        <f>64631.819-5338.742</f>
        <v>59293</v>
      </c>
      <c r="E12" s="15">
        <v>60253</v>
      </c>
      <c r="F12" s="15">
        <v>64812</v>
      </c>
      <c r="G12" s="15">
        <v>68394</v>
      </c>
      <c r="H12" s="15">
        <v>71318</v>
      </c>
      <c r="I12" s="15">
        <v>71944</v>
      </c>
      <c r="J12" s="15">
        <v>78069</v>
      </c>
      <c r="K12" s="15">
        <v>81729</v>
      </c>
      <c r="L12" s="16">
        <f>(K12-J12)*100/J12</f>
        <v>4.7</v>
      </c>
      <c r="M12" s="17">
        <f>(K12-V12)*100/V12</f>
        <v>65.7</v>
      </c>
      <c r="N12" s="15">
        <v>30946</v>
      </c>
      <c r="O12" s="15">
        <v>33158</v>
      </c>
      <c r="P12" s="15">
        <v>35067</v>
      </c>
      <c r="Q12" s="15">
        <v>37547</v>
      </c>
      <c r="R12" s="15">
        <v>40551</v>
      </c>
      <c r="S12" s="15">
        <f>48947-6071</f>
        <v>42876</v>
      </c>
      <c r="T12" s="15">
        <f>51893-6363</f>
        <v>45530</v>
      </c>
      <c r="U12" s="15">
        <v>47866</v>
      </c>
      <c r="V12" s="15">
        <f>55236.735-5910.296</f>
        <v>49326</v>
      </c>
      <c r="X12" s="32">
        <v>85512769</v>
      </c>
      <c r="Y12" s="181">
        <v>3783377</v>
      </c>
      <c r="Z12" s="3">
        <f>X12-Y12</f>
        <v>81729392</v>
      </c>
      <c r="AA12" s="3">
        <f>Z12/1000</f>
        <v>81729</v>
      </c>
    </row>
    <row r="13" spans="1:27" ht="12.75">
      <c r="A13" s="1" t="s">
        <v>7</v>
      </c>
      <c r="B13" s="15">
        <v>374725</v>
      </c>
      <c r="C13" s="15">
        <v>399666</v>
      </c>
      <c r="D13" s="15">
        <f>448631.679-38666.806</f>
        <v>409965</v>
      </c>
      <c r="E13" s="15">
        <v>416830</v>
      </c>
      <c r="F13" s="15">
        <v>436234</v>
      </c>
      <c r="G13" s="15">
        <v>455369</v>
      </c>
      <c r="H13" s="15">
        <v>490560</v>
      </c>
      <c r="I13" s="15">
        <v>538320</v>
      </c>
      <c r="J13" s="15">
        <v>575270</v>
      </c>
      <c r="K13" s="15">
        <v>600637</v>
      </c>
      <c r="L13" s="16">
        <f>(K13-J13)*100/J13</f>
        <v>4.4</v>
      </c>
      <c r="M13" s="17">
        <f>(K13-V13)*100/V13</f>
        <v>74.2</v>
      </c>
      <c r="N13" s="15">
        <v>189735</v>
      </c>
      <c r="O13" s="15">
        <v>204413</v>
      </c>
      <c r="P13" s="15">
        <v>221911</v>
      </c>
      <c r="Q13" s="15">
        <v>246541</v>
      </c>
      <c r="R13" s="15">
        <f>308468-37867</f>
        <v>270601</v>
      </c>
      <c r="S13" s="15">
        <f>340737-40924</f>
        <v>299813</v>
      </c>
      <c r="T13" s="15">
        <f>374725-46341</f>
        <v>328384</v>
      </c>
      <c r="U13" s="15">
        <v>328395</v>
      </c>
      <c r="V13" s="15">
        <f>391070.31-46271.804</f>
        <v>344799</v>
      </c>
      <c r="X13" s="32">
        <v>629756895</v>
      </c>
      <c r="Y13" s="181">
        <v>29119401</v>
      </c>
      <c r="Z13" s="3">
        <f>X13-Y13</f>
        <v>600637494</v>
      </c>
      <c r="AA13" s="3">
        <f>Z13/1000</f>
        <v>600637</v>
      </c>
    </row>
    <row r="14" spans="1:27" ht="12.75">
      <c r="A14" s="1" t="s">
        <v>8</v>
      </c>
      <c r="B14" s="15">
        <v>587715</v>
      </c>
      <c r="C14" s="15">
        <v>604889</v>
      </c>
      <c r="D14" s="15">
        <f>679601.035-52772.742</f>
        <v>626828</v>
      </c>
      <c r="E14" s="15">
        <v>658450</v>
      </c>
      <c r="F14" s="15">
        <v>711511</v>
      </c>
      <c r="G14" s="15">
        <v>754773</v>
      </c>
      <c r="H14" s="15">
        <v>779570</v>
      </c>
      <c r="I14" s="15">
        <v>849577</v>
      </c>
      <c r="J14" s="15">
        <v>879095</v>
      </c>
      <c r="K14" s="15">
        <v>909363</v>
      </c>
      <c r="L14" s="16">
        <f>(K14-J14)*100/J14</f>
        <v>3.4</v>
      </c>
      <c r="M14" s="17">
        <f>(K14-V14)*100/V14</f>
        <v>64.3</v>
      </c>
      <c r="N14" s="15">
        <v>301380</v>
      </c>
      <c r="O14" s="15">
        <v>321373</v>
      </c>
      <c r="P14" s="15">
        <v>340361</v>
      </c>
      <c r="Q14" s="15">
        <v>372192</v>
      </c>
      <c r="R14" s="15">
        <f>459884-47170</f>
        <v>412714</v>
      </c>
      <c r="S14" s="15">
        <f>499758-54991</f>
        <v>444767</v>
      </c>
      <c r="T14" s="15">
        <f>544301-59177</f>
        <v>485124</v>
      </c>
      <c r="U14" s="15">
        <v>514518</v>
      </c>
      <c r="V14" s="15">
        <f>611921.819-58505.237</f>
        <v>553417</v>
      </c>
      <c r="X14" s="32">
        <v>949555956</v>
      </c>
      <c r="Y14" s="181">
        <v>40193215</v>
      </c>
      <c r="Z14" s="3">
        <f>X14-Y14</f>
        <v>909362741</v>
      </c>
      <c r="AA14" s="3">
        <f>Z14/1000</f>
        <v>909363</v>
      </c>
    </row>
    <row r="15" spans="1:27" ht="12.75">
      <c r="A15" s="1" t="s">
        <v>9</v>
      </c>
      <c r="B15" s="15">
        <v>534777</v>
      </c>
      <c r="C15" s="15">
        <v>579938</v>
      </c>
      <c r="D15" s="15">
        <f>654056.579-53930.669</f>
        <v>600126</v>
      </c>
      <c r="E15" s="15">
        <v>631823</v>
      </c>
      <c r="F15" s="15">
        <v>671462</v>
      </c>
      <c r="G15" s="15">
        <v>702432</v>
      </c>
      <c r="H15" s="15">
        <v>737636</v>
      </c>
      <c r="I15" s="15">
        <v>816965</v>
      </c>
      <c r="J15" s="15">
        <v>860910</v>
      </c>
      <c r="K15" s="15">
        <v>899691</v>
      </c>
      <c r="L15" s="16">
        <f>(K15-J15)*100/J15</f>
        <v>4.5</v>
      </c>
      <c r="M15" s="17">
        <f>(K15-V15)*100/V15</f>
        <v>81.2</v>
      </c>
      <c r="N15" s="15">
        <v>294797</v>
      </c>
      <c r="O15" s="15">
        <v>308464</v>
      </c>
      <c r="P15" s="15">
        <v>332002</v>
      </c>
      <c r="Q15" s="15">
        <v>354207</v>
      </c>
      <c r="R15" s="15">
        <f>461067-65487</f>
        <v>395580</v>
      </c>
      <c r="S15" s="15">
        <f>500408-66166</f>
        <v>434242</v>
      </c>
      <c r="T15" s="15">
        <f>528024-69927</f>
        <v>458097</v>
      </c>
      <c r="U15" s="15">
        <v>475747</v>
      </c>
      <c r="V15" s="15">
        <f>562745.105-66134.198</f>
        <v>496611</v>
      </c>
      <c r="X15" s="32">
        <v>944952556</v>
      </c>
      <c r="Y15" s="181">
        <v>45261219</v>
      </c>
      <c r="Z15" s="3">
        <f>X15-Y15</f>
        <v>899691337</v>
      </c>
      <c r="AA15" s="3">
        <f>Z15/1000</f>
        <v>899691</v>
      </c>
    </row>
    <row r="16" spans="1:27" ht="12.75">
      <c r="A16" s="1" t="s">
        <v>10</v>
      </c>
      <c r="B16" s="15">
        <v>62900</v>
      </c>
      <c r="C16" s="15">
        <v>67487</v>
      </c>
      <c r="D16" s="15">
        <f>78368.169-6438.661</f>
        <v>71930</v>
      </c>
      <c r="E16" s="15">
        <v>77277</v>
      </c>
      <c r="F16" s="15">
        <v>83216</v>
      </c>
      <c r="G16" s="15">
        <v>91661</v>
      </c>
      <c r="H16" s="15">
        <v>98843</v>
      </c>
      <c r="I16" s="15">
        <v>108648</v>
      </c>
      <c r="J16" s="15">
        <v>119737</v>
      </c>
      <c r="K16" s="15">
        <v>131499</v>
      </c>
      <c r="L16" s="16">
        <f>(K16-J16)*100/J16</f>
        <v>9.8</v>
      </c>
      <c r="M16" s="17">
        <f>(K16-V16)*100/V16</f>
        <v>128.2</v>
      </c>
      <c r="N16" s="15">
        <v>24392</v>
      </c>
      <c r="O16" s="15">
        <v>26707</v>
      </c>
      <c r="P16" s="15">
        <v>28708</v>
      </c>
      <c r="Q16" s="15">
        <v>32353</v>
      </c>
      <c r="R16" s="15">
        <f>41752-4713</f>
        <v>37039</v>
      </c>
      <c r="S16" s="15">
        <f>46760-5068</f>
        <v>41692</v>
      </c>
      <c r="T16" s="15">
        <f>52501-6515</f>
        <v>45986</v>
      </c>
      <c r="U16" s="15">
        <v>52597</v>
      </c>
      <c r="V16" s="15">
        <f>64505.131-6887.743</f>
        <v>57617</v>
      </c>
      <c r="X16" s="32">
        <v>137761559</v>
      </c>
      <c r="Y16" s="181">
        <v>6263007</v>
      </c>
      <c r="Z16" s="3">
        <f>X16-Y16</f>
        <v>131498552</v>
      </c>
      <c r="AA16" s="3">
        <f>Z16/1000</f>
        <v>131499</v>
      </c>
    </row>
    <row r="17" spans="2:25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7"/>
      <c r="N17" s="15"/>
      <c r="O17" s="15"/>
      <c r="P17" s="15"/>
      <c r="Q17" s="15"/>
      <c r="R17" s="15"/>
      <c r="S17" s="15"/>
      <c r="T17" s="15"/>
      <c r="U17" s="15"/>
      <c r="V17" s="15"/>
      <c r="X17" s="32"/>
      <c r="Y17" s="181"/>
    </row>
    <row r="18" spans="1:27" ht="12.75">
      <c r="A18" s="1" t="s">
        <v>11</v>
      </c>
      <c r="B18" s="15">
        <v>24427</v>
      </c>
      <c r="C18" s="15">
        <v>26372</v>
      </c>
      <c r="D18" s="15">
        <f>30139.155-2541.162</f>
        <v>27598</v>
      </c>
      <c r="E18" s="15">
        <v>29399</v>
      </c>
      <c r="F18" s="15">
        <v>31017</v>
      </c>
      <c r="G18" s="15">
        <v>33334</v>
      </c>
      <c r="H18" s="15">
        <v>33678</v>
      </c>
      <c r="I18" s="15">
        <v>35108</v>
      </c>
      <c r="J18" s="15">
        <v>37657</v>
      </c>
      <c r="K18" s="15">
        <v>40627</v>
      </c>
      <c r="L18" s="16">
        <f>(K18-J18)*100/J18</f>
        <v>7.9</v>
      </c>
      <c r="M18" s="17">
        <f>(K18-V18)*100/V18</f>
        <v>85.2</v>
      </c>
      <c r="N18" s="15">
        <v>11015</v>
      </c>
      <c r="O18" s="15">
        <v>11674</v>
      </c>
      <c r="P18" s="15">
        <v>12896</v>
      </c>
      <c r="Q18" s="15">
        <v>14752</v>
      </c>
      <c r="R18" s="15">
        <f>18478-2171</f>
        <v>16307</v>
      </c>
      <c r="S18" s="15">
        <f>20032-2321</f>
        <v>17711</v>
      </c>
      <c r="T18" s="15">
        <f>22240-2563</f>
        <v>19677</v>
      </c>
      <c r="U18" s="15">
        <v>20656</v>
      </c>
      <c r="V18" s="15">
        <f>24789.461-2855.428</f>
        <v>21934</v>
      </c>
      <c r="X18" s="32">
        <v>42689980</v>
      </c>
      <c r="Y18" s="181">
        <v>2063454</v>
      </c>
      <c r="Z18" s="3">
        <f>X18-Y18</f>
        <v>40626526</v>
      </c>
      <c r="AA18" s="3">
        <f>Z18/1000</f>
        <v>40627</v>
      </c>
    </row>
    <row r="19" spans="1:27" ht="12.75">
      <c r="A19" s="1" t="s">
        <v>12</v>
      </c>
      <c r="B19" s="15">
        <v>119593</v>
      </c>
      <c r="C19" s="15">
        <v>130827</v>
      </c>
      <c r="D19" s="15">
        <f>146305.533-11892.775</f>
        <v>134413</v>
      </c>
      <c r="E19" s="15">
        <v>141117</v>
      </c>
      <c r="F19" s="15">
        <v>149317</v>
      </c>
      <c r="G19" s="15">
        <v>162294</v>
      </c>
      <c r="H19" s="15">
        <v>171347</v>
      </c>
      <c r="I19" s="15">
        <v>184176</v>
      </c>
      <c r="J19" s="15">
        <v>196738</v>
      </c>
      <c r="K19" s="15">
        <v>211353</v>
      </c>
      <c r="L19" s="16">
        <f>(K19-J19)*100/J19</f>
        <v>7.4</v>
      </c>
      <c r="M19" s="17">
        <f>(K19-V19)*100/V19</f>
        <v>97.3</v>
      </c>
      <c r="N19" s="15">
        <v>50291</v>
      </c>
      <c r="O19" s="15">
        <v>53702</v>
      </c>
      <c r="P19" s="15">
        <v>58866</v>
      </c>
      <c r="Q19" s="15">
        <v>68577</v>
      </c>
      <c r="R19" s="15">
        <f>88640-10473</f>
        <v>78167</v>
      </c>
      <c r="S19" s="15">
        <f>98174-11488</f>
        <v>86686</v>
      </c>
      <c r="T19" s="15">
        <f>109090-12835</f>
        <v>96255</v>
      </c>
      <c r="U19" s="15">
        <v>101848</v>
      </c>
      <c r="V19" s="15">
        <f>121435.705-14311.599</f>
        <v>107124</v>
      </c>
      <c r="X19" s="32">
        <v>221428279</v>
      </c>
      <c r="Y19" s="181">
        <v>10075603</v>
      </c>
      <c r="Z19" s="3">
        <f>X19-Y19</f>
        <v>211352676</v>
      </c>
      <c r="AA19" s="3">
        <f>Z19/1000</f>
        <v>211353</v>
      </c>
    </row>
    <row r="20" spans="1:27" ht="12.75">
      <c r="A20" s="1" t="s">
        <v>13</v>
      </c>
      <c r="B20" s="15">
        <v>66833</v>
      </c>
      <c r="C20" s="15">
        <v>71710</v>
      </c>
      <c r="D20" s="15">
        <f>81431.025-6937.498</f>
        <v>74494</v>
      </c>
      <c r="E20" s="15">
        <v>76639</v>
      </c>
      <c r="F20" s="15">
        <v>82545</v>
      </c>
      <c r="G20" s="15">
        <v>89503</v>
      </c>
      <c r="H20" s="15">
        <v>94913</v>
      </c>
      <c r="I20" s="15">
        <v>104037</v>
      </c>
      <c r="J20" s="15">
        <v>111201</v>
      </c>
      <c r="K20" s="15">
        <v>118455</v>
      </c>
      <c r="L20" s="16">
        <f>(K20-J20)*100/J20</f>
        <v>6.5</v>
      </c>
      <c r="M20" s="17">
        <f>(K20-V20)*100/V20</f>
        <v>101.8</v>
      </c>
      <c r="N20" s="15">
        <v>31444</v>
      </c>
      <c r="O20" s="15">
        <v>34049</v>
      </c>
      <c r="P20" s="15">
        <v>36341</v>
      </c>
      <c r="Q20" s="15">
        <v>40893</v>
      </c>
      <c r="R20" s="15">
        <f>50352-5452</f>
        <v>44900</v>
      </c>
      <c r="S20" s="15">
        <f>57080-6444</f>
        <v>50636</v>
      </c>
      <c r="T20" s="15">
        <f>61594-7190</f>
        <v>54404</v>
      </c>
      <c r="U20" s="15">
        <v>57487</v>
      </c>
      <c r="V20" s="15">
        <f>66611.725-7921.726</f>
        <v>58690</v>
      </c>
      <c r="X20" s="32">
        <v>124500291</v>
      </c>
      <c r="Y20" s="181">
        <v>6045458</v>
      </c>
      <c r="Z20" s="3">
        <f>X20-Y20</f>
        <v>118454833</v>
      </c>
      <c r="AA20" s="3">
        <f>Z20/1000</f>
        <v>118455</v>
      </c>
    </row>
    <row r="21" spans="1:27" ht="12.75">
      <c r="A21" s="1" t="s">
        <v>14</v>
      </c>
      <c r="B21" s="15">
        <v>105769</v>
      </c>
      <c r="C21" s="15">
        <v>110883</v>
      </c>
      <c r="D21" s="15">
        <f>123172.841-10571.762</f>
        <v>112601</v>
      </c>
      <c r="E21" s="15">
        <v>116942</v>
      </c>
      <c r="F21" s="15">
        <v>126279</v>
      </c>
      <c r="G21" s="15">
        <v>134801</v>
      </c>
      <c r="H21" s="15">
        <v>146553</v>
      </c>
      <c r="I21" s="15">
        <v>156707</v>
      </c>
      <c r="J21" s="15">
        <v>169100</v>
      </c>
      <c r="K21" s="15">
        <v>182941</v>
      </c>
      <c r="L21" s="16">
        <f>(K21-J21)*100/J21</f>
        <v>8.2</v>
      </c>
      <c r="M21" s="17">
        <f>(K21-V21)*100/V21</f>
        <v>89.5</v>
      </c>
      <c r="N21" s="15">
        <v>46636</v>
      </c>
      <c r="O21" s="15">
        <v>50244</v>
      </c>
      <c r="P21" s="15">
        <v>54462</v>
      </c>
      <c r="Q21" s="15">
        <v>62048</v>
      </c>
      <c r="R21" s="15">
        <f>77762-7502</f>
        <v>70260</v>
      </c>
      <c r="S21" s="15">
        <f>89174-8406</f>
        <v>80768</v>
      </c>
      <c r="T21" s="15">
        <f>97035-9472</f>
        <v>87563</v>
      </c>
      <c r="U21" s="15">
        <v>91925</v>
      </c>
      <c r="V21" s="15">
        <f>108271.631-11727.476</f>
        <v>96544</v>
      </c>
      <c r="X21" s="32">
        <v>191846853</v>
      </c>
      <c r="Y21" s="181">
        <v>8906338</v>
      </c>
      <c r="Z21" s="3">
        <f>X21-Y21</f>
        <v>182940515</v>
      </c>
      <c r="AA21" s="3">
        <f>Z21/1000</f>
        <v>182941</v>
      </c>
    </row>
    <row r="22" spans="1:27" ht="12.75">
      <c r="A22" s="1" t="s">
        <v>15</v>
      </c>
      <c r="B22" s="15">
        <v>25680</v>
      </c>
      <c r="C22" s="15">
        <v>27567</v>
      </c>
      <c r="D22" s="15">
        <f>30435.699-2600.944</f>
        <v>27835</v>
      </c>
      <c r="E22" s="15">
        <v>29261</v>
      </c>
      <c r="F22" s="15">
        <v>31395</v>
      </c>
      <c r="G22" s="15">
        <v>31867</v>
      </c>
      <c r="H22" s="15">
        <v>34396</v>
      </c>
      <c r="I22" s="15">
        <v>36719</v>
      </c>
      <c r="J22" s="15">
        <v>37219</v>
      </c>
      <c r="K22" s="15">
        <v>38888</v>
      </c>
      <c r="L22" s="16">
        <f>(K22-J22)*100/J22</f>
        <v>4.5</v>
      </c>
      <c r="M22" s="17">
        <f>(K22-V22)*100/V22</f>
        <v>66</v>
      </c>
      <c r="N22" s="15">
        <v>14733</v>
      </c>
      <c r="O22" s="15">
        <v>15568</v>
      </c>
      <c r="P22" s="15">
        <v>16197</v>
      </c>
      <c r="Q22" s="15">
        <v>17989</v>
      </c>
      <c r="R22" s="15">
        <f>21924-2544</f>
        <v>19380</v>
      </c>
      <c r="S22" s="15">
        <f>24103-2679</f>
        <v>21424</v>
      </c>
      <c r="T22" s="15">
        <f>25229-2786</f>
        <v>22443</v>
      </c>
      <c r="U22" s="15">
        <v>22645</v>
      </c>
      <c r="V22" s="15">
        <f>26167.102-2746.693</f>
        <v>23420</v>
      </c>
      <c r="X22" s="32">
        <v>40922016</v>
      </c>
      <c r="Y22" s="181">
        <v>2033924</v>
      </c>
      <c r="Z22" s="3">
        <f>X22-Y22</f>
        <v>38888092</v>
      </c>
      <c r="AA22" s="3">
        <f>Z22/1000</f>
        <v>38888</v>
      </c>
    </row>
    <row r="23" spans="2:25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7"/>
      <c r="N23" s="15"/>
      <c r="O23" s="15"/>
      <c r="P23" s="15"/>
      <c r="Q23" s="15"/>
      <c r="R23" s="15"/>
      <c r="S23" s="15"/>
      <c r="T23" s="15"/>
      <c r="U23" s="15"/>
      <c r="V23" s="15"/>
      <c r="X23" s="32"/>
      <c r="Y23" s="181"/>
    </row>
    <row r="24" spans="1:27" ht="12.75">
      <c r="A24" s="1" t="s">
        <v>16</v>
      </c>
      <c r="B24" s="15">
        <v>151997</v>
      </c>
      <c r="C24" s="15">
        <v>165749</v>
      </c>
      <c r="D24" s="15">
        <f>187782.874-15357.694</f>
        <v>172425</v>
      </c>
      <c r="E24" s="15">
        <v>180188</v>
      </c>
      <c r="F24" s="15">
        <v>192451</v>
      </c>
      <c r="G24" s="15">
        <v>206065</v>
      </c>
      <c r="H24" s="15">
        <v>219539</v>
      </c>
      <c r="I24" s="15">
        <v>238743</v>
      </c>
      <c r="J24" s="15">
        <v>268350</v>
      </c>
      <c r="K24" s="15">
        <v>284094</v>
      </c>
      <c r="L24" s="16">
        <f>(K24-J24)*100/J24</f>
        <v>5.9</v>
      </c>
      <c r="M24" s="17">
        <f>(K24-V24)*100/V24</f>
        <v>109</v>
      </c>
      <c r="N24" s="15">
        <v>63811</v>
      </c>
      <c r="O24" s="15">
        <v>68834</v>
      </c>
      <c r="P24" s="15">
        <v>75672</v>
      </c>
      <c r="Q24" s="15">
        <v>86497</v>
      </c>
      <c r="R24" s="15">
        <f>111336-13200</f>
        <v>98136</v>
      </c>
      <c r="S24" s="15">
        <f>125150-14061</f>
        <v>111089</v>
      </c>
      <c r="T24" s="15">
        <f>137928-15782</f>
        <v>122146</v>
      </c>
      <c r="U24" s="15">
        <v>129420</v>
      </c>
      <c r="V24" s="15">
        <f>153328.503-17400.879</f>
        <v>135928</v>
      </c>
      <c r="X24" s="32">
        <v>298707593</v>
      </c>
      <c r="Y24" s="181">
        <v>14613665</v>
      </c>
      <c r="Z24" s="3">
        <f>X24-Y24</f>
        <v>284093928</v>
      </c>
      <c r="AA24" s="3">
        <f>Z24/1000</f>
        <v>284094</v>
      </c>
    </row>
    <row r="25" spans="1:27" ht="12.75">
      <c r="A25" s="1" t="s">
        <v>17</v>
      </c>
      <c r="B25" s="15">
        <v>26358</v>
      </c>
      <c r="C25" s="15">
        <v>27352</v>
      </c>
      <c r="D25" s="15">
        <f>30506.655-2610.279</f>
        <v>27896</v>
      </c>
      <c r="E25" s="15">
        <v>29326</v>
      </c>
      <c r="F25" s="15">
        <v>30727</v>
      </c>
      <c r="G25" s="15">
        <v>32472</v>
      </c>
      <c r="H25" s="15">
        <v>33987</v>
      </c>
      <c r="I25" s="15">
        <v>35532</v>
      </c>
      <c r="J25" s="15">
        <v>37498</v>
      </c>
      <c r="K25" s="15">
        <v>38822</v>
      </c>
      <c r="L25" s="16">
        <f>(K25-J25)*100/J25</f>
        <v>3.5</v>
      </c>
      <c r="M25" s="17">
        <f>(K25-V25)*100/V25</f>
        <v>62</v>
      </c>
      <c r="N25" s="15">
        <v>13340</v>
      </c>
      <c r="O25" s="15">
        <v>14570</v>
      </c>
      <c r="P25" s="15">
        <v>15879</v>
      </c>
      <c r="Q25" s="15">
        <v>17561</v>
      </c>
      <c r="R25" s="15">
        <f>21817-2546</f>
        <v>19271</v>
      </c>
      <c r="S25" s="15">
        <f>24216-2866</f>
        <v>21350</v>
      </c>
      <c r="T25" s="15">
        <f>26626-3156</f>
        <v>23470</v>
      </c>
      <c r="U25" s="15">
        <v>23266</v>
      </c>
      <c r="V25" s="15">
        <f>27069.456-3103.545</f>
        <v>23966</v>
      </c>
      <c r="X25" s="32">
        <v>40826380</v>
      </c>
      <c r="Y25" s="181">
        <v>2004330</v>
      </c>
      <c r="Z25" s="3">
        <f>X25-Y25</f>
        <v>38822050</v>
      </c>
      <c r="AA25" s="3">
        <f>Z25/1000</f>
        <v>38822</v>
      </c>
    </row>
    <row r="26" spans="1:27" ht="12.75">
      <c r="A26" s="1" t="s">
        <v>18</v>
      </c>
      <c r="B26" s="15">
        <v>169179</v>
      </c>
      <c r="C26" s="15">
        <v>180997</v>
      </c>
      <c r="D26" s="15">
        <f>207611.262-16988.594</f>
        <v>190623</v>
      </c>
      <c r="E26" s="15">
        <v>199275</v>
      </c>
      <c r="F26" s="15">
        <v>209920</v>
      </c>
      <c r="G26" s="15">
        <v>218478</v>
      </c>
      <c r="H26" s="15">
        <v>232926</v>
      </c>
      <c r="I26" s="15">
        <v>250722</v>
      </c>
      <c r="J26" s="15">
        <v>270948</v>
      </c>
      <c r="K26" s="15">
        <v>287116</v>
      </c>
      <c r="L26" s="16">
        <f>(K26-J26)*100/J26</f>
        <v>6</v>
      </c>
      <c r="M26" s="17">
        <f>(K26-V26)*100/V26</f>
        <v>91.7</v>
      </c>
      <c r="N26" s="15">
        <v>74193</v>
      </c>
      <c r="O26" s="15">
        <v>79788</v>
      </c>
      <c r="P26" s="15">
        <v>86769</v>
      </c>
      <c r="Q26" s="15">
        <v>96330</v>
      </c>
      <c r="R26" s="15">
        <f>120658-13710</f>
        <v>106948</v>
      </c>
      <c r="S26" s="15">
        <f>134466-15583</f>
        <v>118883</v>
      </c>
      <c r="T26" s="15">
        <f>149541-17749</f>
        <v>131792</v>
      </c>
      <c r="U26" s="15">
        <v>140789</v>
      </c>
      <c r="V26" s="15">
        <f>169845.448-20101.065</f>
        <v>149744</v>
      </c>
      <c r="X26" s="32">
        <v>301638575</v>
      </c>
      <c r="Y26" s="181">
        <v>14522888</v>
      </c>
      <c r="Z26" s="3">
        <f>X26-Y26</f>
        <v>287115687</v>
      </c>
      <c r="AA26" s="3">
        <f>Z26/1000</f>
        <v>287116</v>
      </c>
    </row>
    <row r="27" spans="1:27" ht="12.75">
      <c r="A27" s="1" t="s">
        <v>19</v>
      </c>
      <c r="B27" s="15">
        <v>209184</v>
      </c>
      <c r="C27" s="15">
        <v>225155</v>
      </c>
      <c r="D27" s="15">
        <f>261805.99-20737.782</f>
        <v>241068</v>
      </c>
      <c r="E27" s="15">
        <v>249190</v>
      </c>
      <c r="F27" s="15">
        <v>261395</v>
      </c>
      <c r="G27" s="15">
        <v>282982</v>
      </c>
      <c r="H27" s="15">
        <v>321568</v>
      </c>
      <c r="I27" s="15">
        <v>358350</v>
      </c>
      <c r="J27" s="15">
        <v>389191</v>
      </c>
      <c r="K27" s="15">
        <v>415662</v>
      </c>
      <c r="L27" s="16">
        <f>(K27-J27)*100/J27</f>
        <v>6.8</v>
      </c>
      <c r="M27" s="17">
        <f>(K27-V27)*100/V27</f>
        <v>120</v>
      </c>
      <c r="N27" s="15">
        <v>84765</v>
      </c>
      <c r="O27" s="15">
        <v>94959</v>
      </c>
      <c r="P27" s="15">
        <v>105724</v>
      </c>
      <c r="Q27" s="15">
        <v>120843</v>
      </c>
      <c r="R27" s="15">
        <f>154299-16277</f>
        <v>138022</v>
      </c>
      <c r="S27" s="15">
        <f>177433-18771</f>
        <v>158662</v>
      </c>
      <c r="T27" s="15">
        <f>204587-20984</f>
        <v>183603</v>
      </c>
      <c r="U27" s="15">
        <v>180894</v>
      </c>
      <c r="V27" s="15">
        <f>213335.306-24403.312</f>
        <v>188932</v>
      </c>
      <c r="X27" s="32">
        <v>436477248</v>
      </c>
      <c r="Y27" s="181">
        <v>20814877</v>
      </c>
      <c r="Z27" s="3">
        <f>X27-Y27</f>
        <v>415662371</v>
      </c>
      <c r="AA27" s="3">
        <f>Z27/1000</f>
        <v>415662</v>
      </c>
    </row>
    <row r="28" spans="1:27" ht="12.75">
      <c r="A28" s="1" t="s">
        <v>20</v>
      </c>
      <c r="B28" s="15">
        <v>15574</v>
      </c>
      <c r="C28" s="15">
        <v>16530</v>
      </c>
      <c r="D28" s="15">
        <f>18582.291-1525.805</f>
        <v>17056</v>
      </c>
      <c r="E28" s="15">
        <v>17656</v>
      </c>
      <c r="F28" s="15">
        <v>20400</v>
      </c>
      <c r="G28" s="15">
        <v>19760</v>
      </c>
      <c r="H28" s="15">
        <v>20706</v>
      </c>
      <c r="I28" s="15">
        <v>22682</v>
      </c>
      <c r="J28" s="15">
        <v>24554</v>
      </c>
      <c r="K28" s="15">
        <v>25133</v>
      </c>
      <c r="L28" s="16">
        <f>(K28-J28)*100/J28</f>
        <v>2.4</v>
      </c>
      <c r="M28" s="17">
        <f>(K28-V28)*100/V28</f>
        <v>83.1</v>
      </c>
      <c r="N28" s="15">
        <v>7397</v>
      </c>
      <c r="O28" s="15">
        <v>8162</v>
      </c>
      <c r="P28" s="15">
        <v>8805</v>
      </c>
      <c r="Q28" s="15">
        <v>9729</v>
      </c>
      <c r="R28" s="15">
        <f>12600-1331</f>
        <v>11269</v>
      </c>
      <c r="S28" s="15">
        <f>14026-1432</f>
        <v>12594</v>
      </c>
      <c r="T28" s="15">
        <f>14873-1597</f>
        <v>13276</v>
      </c>
      <c r="U28" s="15">
        <v>13375</v>
      </c>
      <c r="V28" s="15">
        <f>15432.637-1709.593</f>
        <v>13723</v>
      </c>
      <c r="X28" s="32">
        <v>26338183</v>
      </c>
      <c r="Y28" s="181">
        <v>1204720</v>
      </c>
      <c r="Z28" s="3">
        <f>X28-Y28</f>
        <v>25133463</v>
      </c>
      <c r="AA28" s="3">
        <f>Z28/1000</f>
        <v>25133</v>
      </c>
    </row>
    <row r="29" spans="2:25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7"/>
      <c r="N29" s="15"/>
      <c r="O29" s="15"/>
      <c r="P29" s="15"/>
      <c r="Q29" s="15"/>
      <c r="R29" s="15"/>
      <c r="S29" s="15"/>
      <c r="T29" s="15"/>
      <c r="U29" s="15"/>
      <c r="V29" s="15"/>
      <c r="X29" s="32"/>
      <c r="Y29" s="181"/>
    </row>
    <row r="30" spans="1:27" ht="12.75">
      <c r="A30" s="1" t="s">
        <v>21</v>
      </c>
      <c r="B30" s="15">
        <v>773667</v>
      </c>
      <c r="C30" s="15">
        <v>813765</v>
      </c>
      <c r="D30" s="15">
        <f>935435.462-79534.647</f>
        <v>855901</v>
      </c>
      <c r="E30" s="15">
        <v>892984</v>
      </c>
      <c r="F30" s="15">
        <v>943875</v>
      </c>
      <c r="G30" s="15">
        <v>1006397</v>
      </c>
      <c r="H30" s="15">
        <v>1079688</v>
      </c>
      <c r="I30" s="15">
        <v>1189767</v>
      </c>
      <c r="J30" s="15">
        <v>1287628</v>
      </c>
      <c r="K30" s="15">
        <v>1380120</v>
      </c>
      <c r="L30" s="16">
        <f>(K30-J30)*100/J30</f>
        <v>7.2</v>
      </c>
      <c r="M30" s="17">
        <f>(K30-V30)*100/V30</f>
        <v>91.7</v>
      </c>
      <c r="N30" s="15">
        <v>381936</v>
      </c>
      <c r="O30" s="15">
        <v>415578</v>
      </c>
      <c r="P30" s="15">
        <v>452596</v>
      </c>
      <c r="Q30" s="15">
        <v>504423</v>
      </c>
      <c r="R30" s="15">
        <f>644864-83212</f>
        <v>561652</v>
      </c>
      <c r="S30" s="15">
        <f>714689-88496</f>
        <v>626193</v>
      </c>
      <c r="T30" s="15">
        <f>780609-96262</f>
        <v>684347</v>
      </c>
      <c r="U30" s="15">
        <v>695211</v>
      </c>
      <c r="V30" s="15">
        <f>815173.495-95295.276</f>
        <v>719878</v>
      </c>
      <c r="X30" s="32">
        <v>1450933138</v>
      </c>
      <c r="Y30" s="181">
        <v>70813522</v>
      </c>
      <c r="Z30" s="3">
        <f>X30-Y30</f>
        <v>1380119616</v>
      </c>
      <c r="AA30" s="3">
        <f aca="true" t="shared" si="0" ref="AA30:AA39">Z30/1000</f>
        <v>1380120</v>
      </c>
    </row>
    <row r="31" spans="1:27" ht="12.75">
      <c r="A31" s="1" t="s">
        <v>22</v>
      </c>
      <c r="B31" s="15">
        <v>641632</v>
      </c>
      <c r="C31" s="15">
        <v>682772</v>
      </c>
      <c r="D31" s="15">
        <f>767173.669-62887.658</f>
        <v>704286</v>
      </c>
      <c r="E31" s="15">
        <v>737341</v>
      </c>
      <c r="F31" s="15">
        <v>788620</v>
      </c>
      <c r="G31" s="15">
        <v>842987</v>
      </c>
      <c r="H31" s="15">
        <v>894764</v>
      </c>
      <c r="I31" s="15">
        <v>959409</v>
      </c>
      <c r="J31" s="15">
        <v>1031316</v>
      </c>
      <c r="K31" s="15">
        <v>1110197</v>
      </c>
      <c r="L31" s="16">
        <f>(K31-J31)*100/J31</f>
        <v>7.6</v>
      </c>
      <c r="M31" s="17">
        <f>(K31-V31)*100/V31</f>
        <v>87.8</v>
      </c>
      <c r="N31" s="15">
        <v>322138</v>
      </c>
      <c r="O31" s="15">
        <v>344137</v>
      </c>
      <c r="P31" s="15">
        <v>375974</v>
      </c>
      <c r="Q31" s="15">
        <v>429815</v>
      </c>
      <c r="R31" s="15">
        <f>533634-65232</f>
        <v>468402</v>
      </c>
      <c r="S31" s="15">
        <f>576774-68171</f>
        <v>508603</v>
      </c>
      <c r="T31" s="15">
        <f>626054-73233</f>
        <v>552821</v>
      </c>
      <c r="U31" s="15">
        <v>554716</v>
      </c>
      <c r="V31" s="15">
        <f>663265.452-72217.316</f>
        <v>591048</v>
      </c>
      <c r="X31" s="32">
        <v>1158675610</v>
      </c>
      <c r="Y31" s="181">
        <v>48478177</v>
      </c>
      <c r="Z31" s="3">
        <f>X31-Y31</f>
        <v>1110197433</v>
      </c>
      <c r="AA31" s="3">
        <f t="shared" si="0"/>
        <v>1110197</v>
      </c>
    </row>
    <row r="32" spans="1:27" ht="12.75">
      <c r="A32" s="1" t="s">
        <v>23</v>
      </c>
      <c r="B32" s="15">
        <v>31360</v>
      </c>
      <c r="C32" s="15">
        <v>33064</v>
      </c>
      <c r="D32" s="15">
        <f>36645.216-3142.252</f>
        <v>33503</v>
      </c>
      <c r="E32" s="15">
        <v>35412</v>
      </c>
      <c r="F32" s="15">
        <v>38080</v>
      </c>
      <c r="G32" s="15">
        <v>42314</v>
      </c>
      <c r="H32" s="15">
        <v>44946</v>
      </c>
      <c r="I32" s="15">
        <v>49088</v>
      </c>
      <c r="J32" s="15">
        <v>53639</v>
      </c>
      <c r="K32" s="15">
        <v>56648</v>
      </c>
      <c r="L32" s="16">
        <f>(K32-J32)*100/J32</f>
        <v>5.6</v>
      </c>
      <c r="M32" s="17">
        <f>(K32-V32)*100/V32</f>
        <v>97.7</v>
      </c>
      <c r="N32" s="15">
        <v>13559</v>
      </c>
      <c r="O32" s="15">
        <v>15474</v>
      </c>
      <c r="P32" s="15">
        <v>17450</v>
      </c>
      <c r="Q32" s="15">
        <v>19342</v>
      </c>
      <c r="R32" s="15">
        <v>21165</v>
      </c>
      <c r="S32" s="15">
        <f>26598-2808</f>
        <v>23790</v>
      </c>
      <c r="T32" s="15">
        <f>28520-3215</f>
        <v>25305</v>
      </c>
      <c r="U32" s="15">
        <v>27636</v>
      </c>
      <c r="V32" s="15">
        <f>32195.754-3547.14</f>
        <v>28649</v>
      </c>
      <c r="X32" s="32">
        <v>59385209</v>
      </c>
      <c r="Y32" s="181">
        <v>2736858</v>
      </c>
      <c r="Z32" s="3">
        <f>X32-Y32</f>
        <v>56648351</v>
      </c>
      <c r="AA32" s="3">
        <f t="shared" si="0"/>
        <v>56648</v>
      </c>
    </row>
    <row r="33" spans="1:27" ht="12.75">
      <c r="A33" s="1" t="s">
        <v>24</v>
      </c>
      <c r="B33" s="15">
        <v>69165</v>
      </c>
      <c r="C33" s="15">
        <v>73304</v>
      </c>
      <c r="D33" s="15">
        <f>79604.785-6739.015</f>
        <v>72866</v>
      </c>
      <c r="E33" s="15">
        <v>78617</v>
      </c>
      <c r="F33" s="15">
        <v>83637</v>
      </c>
      <c r="G33" s="15">
        <v>88503</v>
      </c>
      <c r="H33" s="15">
        <v>96935</v>
      </c>
      <c r="I33" s="15">
        <v>102469</v>
      </c>
      <c r="J33" s="15">
        <v>111156</v>
      </c>
      <c r="K33" s="15">
        <v>118164</v>
      </c>
      <c r="L33" s="16">
        <f>(K33-J33)*100/J33</f>
        <v>6.3</v>
      </c>
      <c r="M33" s="17">
        <f>(K33-V33)*100/V33</f>
        <v>84.1</v>
      </c>
      <c r="N33" s="15">
        <v>32282</v>
      </c>
      <c r="O33" s="15">
        <v>34832</v>
      </c>
      <c r="P33" s="15">
        <v>38245</v>
      </c>
      <c r="Q33" s="15">
        <v>43320</v>
      </c>
      <c r="R33" s="15">
        <v>46936</v>
      </c>
      <c r="S33" s="15">
        <f>57506-6140</f>
        <v>51366</v>
      </c>
      <c r="T33" s="15">
        <f>64215-6947</f>
        <v>57268</v>
      </c>
      <c r="U33" s="15">
        <v>62560</v>
      </c>
      <c r="V33" s="15">
        <f>72358.066-8169.662</f>
        <v>64188</v>
      </c>
      <c r="X33" s="32">
        <v>123842084</v>
      </c>
      <c r="Y33" s="181">
        <v>5677927</v>
      </c>
      <c r="Z33" s="3">
        <f>X33-Y33</f>
        <v>118164157</v>
      </c>
      <c r="AA33" s="3">
        <f t="shared" si="0"/>
        <v>118164</v>
      </c>
    </row>
    <row r="34" spans="1:27" ht="12.75">
      <c r="A34" s="1" t="s">
        <v>25</v>
      </c>
      <c r="B34" s="15">
        <v>17928</v>
      </c>
      <c r="C34" s="15">
        <v>18576</v>
      </c>
      <c r="D34" s="15">
        <f>21174.935-1832.657</f>
        <v>19342</v>
      </c>
      <c r="E34" s="15">
        <v>19090</v>
      </c>
      <c r="F34" s="15">
        <v>21497</v>
      </c>
      <c r="G34" s="15">
        <v>21765</v>
      </c>
      <c r="H34" s="15">
        <v>22892</v>
      </c>
      <c r="I34" s="15">
        <v>23864</v>
      </c>
      <c r="J34" s="15">
        <v>25279</v>
      </c>
      <c r="K34" s="15">
        <v>26414</v>
      </c>
      <c r="L34" s="16">
        <f>(K34-J34)*100/J34</f>
        <v>4.5</v>
      </c>
      <c r="M34" s="17">
        <f>(K34-V34)*100/V34</f>
        <v>63.6</v>
      </c>
      <c r="N34" s="15">
        <v>8936</v>
      </c>
      <c r="O34" s="15">
        <v>9621</v>
      </c>
      <c r="P34" s="15">
        <v>10394</v>
      </c>
      <c r="Q34" s="15">
        <v>11360</v>
      </c>
      <c r="R34" s="15">
        <v>12361</v>
      </c>
      <c r="S34" s="15">
        <f>15678-1657</f>
        <v>14021</v>
      </c>
      <c r="T34" s="15">
        <f>16900-1809</f>
        <v>15091</v>
      </c>
      <c r="U34" s="15">
        <v>15100</v>
      </c>
      <c r="V34" s="15">
        <f>17956.829-1810.233</f>
        <v>16147</v>
      </c>
      <c r="X34" s="32">
        <v>27730578</v>
      </c>
      <c r="Y34" s="181">
        <v>1316658</v>
      </c>
      <c r="Z34" s="3">
        <f>X34-Y34</f>
        <v>26413920</v>
      </c>
      <c r="AA34" s="3">
        <f t="shared" si="0"/>
        <v>26414</v>
      </c>
    </row>
    <row r="35" spans="2:25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7"/>
      <c r="N35" s="15"/>
      <c r="O35" s="15"/>
      <c r="P35" s="15"/>
      <c r="Q35" s="15"/>
      <c r="R35" s="15"/>
      <c r="S35" s="15"/>
      <c r="T35" s="15"/>
      <c r="U35" s="15"/>
      <c r="V35" s="15"/>
      <c r="X35" s="32"/>
      <c r="Y35" s="181"/>
    </row>
    <row r="36" spans="1:27" ht="12.75">
      <c r="A36" s="1" t="s">
        <v>26</v>
      </c>
      <c r="B36" s="15">
        <v>21886</v>
      </c>
      <c r="C36" s="15">
        <v>23764</v>
      </c>
      <c r="D36" s="15">
        <f>26834.783-2255.978</f>
        <v>24579</v>
      </c>
      <c r="E36" s="15">
        <v>24358</v>
      </c>
      <c r="F36" s="15">
        <v>25080</v>
      </c>
      <c r="G36" s="15">
        <v>27346</v>
      </c>
      <c r="H36" s="15">
        <v>28517</v>
      </c>
      <c r="I36" s="15">
        <v>31121</v>
      </c>
      <c r="J36" s="15">
        <v>33609</v>
      </c>
      <c r="K36" s="15">
        <v>35845</v>
      </c>
      <c r="L36" s="16">
        <f>(K36-J36)*100/J36</f>
        <v>6.7</v>
      </c>
      <c r="M36" s="17">
        <f>(K36-V36)*100/V36</f>
        <v>88.1</v>
      </c>
      <c r="N36" s="15">
        <v>11044</v>
      </c>
      <c r="O36" s="15">
        <v>11625</v>
      </c>
      <c r="P36" s="15">
        <v>12141</v>
      </c>
      <c r="Q36" s="15">
        <v>14290</v>
      </c>
      <c r="R36" s="15">
        <v>15873</v>
      </c>
      <c r="S36" s="15">
        <f>20487-2121</f>
        <v>18366</v>
      </c>
      <c r="T36" s="15">
        <f>21166-2226</f>
        <v>18940</v>
      </c>
      <c r="U36" s="15">
        <v>18637</v>
      </c>
      <c r="V36" s="15">
        <f>21835.625-2778.509</f>
        <v>19057</v>
      </c>
      <c r="X36" s="32">
        <v>37715909</v>
      </c>
      <c r="Y36" s="181">
        <v>1870912</v>
      </c>
      <c r="Z36" s="3">
        <f>X36-Y36</f>
        <v>35844997</v>
      </c>
      <c r="AA36" s="3">
        <f t="shared" si="0"/>
        <v>35845</v>
      </c>
    </row>
    <row r="37" spans="1:27" ht="12.75">
      <c r="A37" s="1" t="s">
        <v>27</v>
      </c>
      <c r="B37" s="15">
        <v>94202</v>
      </c>
      <c r="C37" s="15">
        <v>99412</v>
      </c>
      <c r="D37" s="15">
        <f>110582.043-9899.971</f>
        <v>100682</v>
      </c>
      <c r="E37" s="15">
        <v>103725</v>
      </c>
      <c r="F37" s="15">
        <v>109580</v>
      </c>
      <c r="G37" s="15">
        <v>119573</v>
      </c>
      <c r="H37" s="15">
        <v>126376</v>
      </c>
      <c r="I37" s="15">
        <v>131291</v>
      </c>
      <c r="J37" s="15">
        <v>142158</v>
      </c>
      <c r="K37" s="15">
        <v>148692</v>
      </c>
      <c r="L37" s="16">
        <f>(K37-J37)*100/J37</f>
        <v>4.6</v>
      </c>
      <c r="M37" s="17">
        <f>(K37-V37)*100/V37</f>
        <v>70.5</v>
      </c>
      <c r="N37" s="15">
        <v>50697</v>
      </c>
      <c r="O37" s="15">
        <v>55155</v>
      </c>
      <c r="P37" s="15">
        <v>57715</v>
      </c>
      <c r="Q37" s="15">
        <v>63304</v>
      </c>
      <c r="R37" s="15">
        <v>68625</v>
      </c>
      <c r="S37" s="15">
        <f>84539-10243</f>
        <v>74296</v>
      </c>
      <c r="T37" s="15">
        <f>90248-11322</f>
        <v>78926</v>
      </c>
      <c r="U37" s="15">
        <v>83333</v>
      </c>
      <c r="V37" s="15">
        <f>98214.761-10998.266</f>
        <v>87216</v>
      </c>
      <c r="X37" s="32">
        <v>156413949</v>
      </c>
      <c r="Y37" s="181">
        <v>7722077</v>
      </c>
      <c r="Z37" s="3">
        <f>X37-Y37</f>
        <v>148691872</v>
      </c>
      <c r="AA37" s="3">
        <f t="shared" si="0"/>
        <v>148692</v>
      </c>
    </row>
    <row r="38" spans="1:27" ht="12.75">
      <c r="A38" s="1" t="s">
        <v>28</v>
      </c>
      <c r="B38" s="15">
        <v>63466</v>
      </c>
      <c r="C38" s="15">
        <v>66132</v>
      </c>
      <c r="D38" s="15">
        <f>74391.684-6955.611</f>
        <v>67436</v>
      </c>
      <c r="E38" s="15">
        <v>71778</v>
      </c>
      <c r="F38" s="15">
        <v>78871</v>
      </c>
      <c r="G38" s="15">
        <v>84127</v>
      </c>
      <c r="H38" s="15">
        <v>91345</v>
      </c>
      <c r="I38" s="15">
        <v>98569</v>
      </c>
      <c r="J38" s="15">
        <v>102586</v>
      </c>
      <c r="K38" s="15">
        <v>108863</v>
      </c>
      <c r="L38" s="16">
        <f>(K38-J38)*100/J38</f>
        <v>6.1</v>
      </c>
      <c r="M38" s="17">
        <f>(K38-V38)*100/V38</f>
        <v>87.6</v>
      </c>
      <c r="N38" s="15">
        <v>30174</v>
      </c>
      <c r="O38" s="15">
        <v>32256</v>
      </c>
      <c r="P38" s="15">
        <v>35004</v>
      </c>
      <c r="Q38" s="15">
        <v>39485</v>
      </c>
      <c r="R38" s="15">
        <v>42868</v>
      </c>
      <c r="S38" s="15">
        <f>55246-6404</f>
        <v>48842</v>
      </c>
      <c r="T38" s="15">
        <f>60831-7247</f>
        <v>53584</v>
      </c>
      <c r="U38" s="15">
        <v>55619</v>
      </c>
      <c r="V38" s="15">
        <f>65836.282-7822.439</f>
        <v>58014</v>
      </c>
      <c r="X38" s="32">
        <v>114778620</v>
      </c>
      <c r="Y38" s="181">
        <v>5915912</v>
      </c>
      <c r="Z38" s="3">
        <f>X38-Y38</f>
        <v>108862708</v>
      </c>
      <c r="AA38" s="3">
        <f t="shared" si="0"/>
        <v>108863</v>
      </c>
    </row>
    <row r="39" spans="1:27" ht="12.75">
      <c r="A39" s="18" t="s">
        <v>29</v>
      </c>
      <c r="B39" s="25">
        <v>34806</v>
      </c>
      <c r="C39" s="15">
        <v>36028</v>
      </c>
      <c r="D39" s="15">
        <f>41036.102-3658.713</f>
        <v>37377</v>
      </c>
      <c r="E39" s="15">
        <v>39739</v>
      </c>
      <c r="F39" s="15">
        <v>42459</v>
      </c>
      <c r="G39" s="15">
        <v>46028</v>
      </c>
      <c r="H39" s="15">
        <v>48371</v>
      </c>
      <c r="I39" s="15">
        <v>52562</v>
      </c>
      <c r="J39" s="15">
        <v>58213</v>
      </c>
      <c r="K39" s="15">
        <v>63505</v>
      </c>
      <c r="L39" s="16">
        <f>(K39-J39)*100/J39</f>
        <v>9.1</v>
      </c>
      <c r="M39" s="17">
        <f>(K39-V39)*100/V39</f>
        <v>103.1</v>
      </c>
      <c r="N39" s="25">
        <v>16505</v>
      </c>
      <c r="O39" s="25">
        <v>18070</v>
      </c>
      <c r="P39" s="25">
        <v>20475</v>
      </c>
      <c r="Q39" s="25">
        <v>22506</v>
      </c>
      <c r="R39" s="25">
        <v>24102</v>
      </c>
      <c r="S39" s="25">
        <f>30221-3505</f>
        <v>26716</v>
      </c>
      <c r="T39" s="25">
        <f>33013-3907</f>
        <v>29106</v>
      </c>
      <c r="U39" s="25">
        <v>30853</v>
      </c>
      <c r="V39" s="25">
        <f>35280.245-4013.596</f>
        <v>31267</v>
      </c>
      <c r="X39" s="3">
        <v>66611333</v>
      </c>
      <c r="Y39" s="120">
        <v>3106266</v>
      </c>
      <c r="Z39" s="3">
        <f>X39-Y39</f>
        <v>63505067</v>
      </c>
      <c r="AA39" s="3">
        <f t="shared" si="0"/>
        <v>63505</v>
      </c>
    </row>
    <row r="40" spans="1:22" ht="12.75">
      <c r="A40" s="1" t="s">
        <v>57</v>
      </c>
      <c r="B40" s="20"/>
      <c r="C40" s="20"/>
      <c r="D40" s="20"/>
      <c r="E40" s="20"/>
      <c r="F40" s="20"/>
      <c r="G40" s="20"/>
      <c r="H40" s="19"/>
      <c r="I40" s="19"/>
      <c r="J40" s="19"/>
      <c r="K40" s="19"/>
      <c r="L40" s="19"/>
      <c r="M40" s="19"/>
      <c r="N40" s="26"/>
      <c r="P40" s="20"/>
      <c r="Q40" s="20"/>
      <c r="R40" s="20"/>
      <c r="V40" s="20"/>
    </row>
    <row r="41" spans="2:22" ht="12.75">
      <c r="B41" s="15"/>
      <c r="C41" s="15"/>
      <c r="D41" s="15"/>
      <c r="E41" s="15"/>
      <c r="F41" s="15"/>
      <c r="G41" s="15"/>
      <c r="N41" s="16"/>
      <c r="O41" s="3"/>
      <c r="P41" s="15"/>
      <c r="Q41" s="15"/>
      <c r="R41" s="15"/>
      <c r="V41" s="15"/>
    </row>
    <row r="42" spans="1:22" ht="15.75">
      <c r="A42" s="3"/>
      <c r="B42" s="15"/>
      <c r="C42" s="15"/>
      <c r="D42" s="15"/>
      <c r="E42" s="15"/>
      <c r="F42" s="15"/>
      <c r="G42" s="15"/>
      <c r="L42" s="11"/>
      <c r="M42" s="11"/>
      <c r="N42" s="79"/>
      <c r="P42" s="15"/>
      <c r="Q42" s="15"/>
      <c r="R42" s="15"/>
      <c r="V42" s="15"/>
    </row>
    <row r="43" spans="12:14" ht="15.75">
      <c r="L43" s="15"/>
      <c r="M43" s="15"/>
      <c r="N43" s="80"/>
    </row>
    <row r="44" spans="12:14" ht="15.75">
      <c r="L44" s="15"/>
      <c r="M44" s="15"/>
      <c r="N44" s="81"/>
    </row>
    <row r="45" spans="9:14" ht="15.75">
      <c r="I45" s="77"/>
      <c r="J45" s="77"/>
      <c r="K45" s="77"/>
      <c r="L45" s="15"/>
      <c r="M45" s="15"/>
      <c r="N45" s="81"/>
    </row>
    <row r="46" spans="9:14" ht="15.75">
      <c r="I46" s="77"/>
      <c r="J46" s="77"/>
      <c r="K46" s="77"/>
      <c r="L46" s="15"/>
      <c r="M46" s="15"/>
      <c r="N46" s="81"/>
    </row>
    <row r="47" spans="9:14" ht="15.75">
      <c r="I47" s="77"/>
      <c r="J47" s="77"/>
      <c r="K47" s="77"/>
      <c r="L47" s="15"/>
      <c r="M47" s="15"/>
      <c r="N47" s="81"/>
    </row>
    <row r="48" spans="9:14" ht="15.75">
      <c r="I48" s="77"/>
      <c r="J48" s="77"/>
      <c r="K48" s="77"/>
      <c r="L48" s="15"/>
      <c r="M48" s="15"/>
      <c r="N48" s="81"/>
    </row>
    <row r="49" spans="9:14" ht="15.75">
      <c r="I49" s="77"/>
      <c r="J49" s="77"/>
      <c r="K49" s="77"/>
      <c r="L49" s="15"/>
      <c r="M49" s="15"/>
      <c r="N49" s="81"/>
    </row>
    <row r="50" spans="9:14" ht="15.75">
      <c r="I50" s="77"/>
      <c r="J50" s="77"/>
      <c r="K50" s="77"/>
      <c r="L50" s="15"/>
      <c r="M50" s="15"/>
      <c r="N50" s="81"/>
    </row>
    <row r="51" spans="9:14" ht="15.75">
      <c r="I51" s="77"/>
      <c r="J51" s="77"/>
      <c r="K51" s="77"/>
      <c r="L51" s="15"/>
      <c r="M51" s="15"/>
      <c r="N51" s="81"/>
    </row>
    <row r="52" spans="9:14" ht="15.75">
      <c r="I52" s="77"/>
      <c r="J52" s="77"/>
      <c r="K52" s="77"/>
      <c r="L52" s="15"/>
      <c r="M52" s="15"/>
      <c r="N52" s="81"/>
    </row>
    <row r="53" spans="9:14" ht="15.75">
      <c r="I53" s="77"/>
      <c r="J53" s="77"/>
      <c r="K53" s="77"/>
      <c r="L53" s="15"/>
      <c r="M53" s="15"/>
      <c r="N53" s="81"/>
    </row>
    <row r="54" spans="9:14" ht="15.75">
      <c r="I54" s="77"/>
      <c r="J54" s="77"/>
      <c r="K54" s="77"/>
      <c r="L54" s="15"/>
      <c r="M54" s="15"/>
      <c r="N54" s="81"/>
    </row>
    <row r="55" spans="9:14" ht="15.75">
      <c r="I55" s="77"/>
      <c r="J55" s="77"/>
      <c r="K55" s="77"/>
      <c r="L55" s="15"/>
      <c r="M55" s="15"/>
      <c r="N55" s="81"/>
    </row>
    <row r="56" spans="9:14" ht="15.75">
      <c r="I56" s="77"/>
      <c r="J56" s="77"/>
      <c r="K56" s="77"/>
      <c r="L56" s="15"/>
      <c r="M56" s="15"/>
      <c r="N56" s="81"/>
    </row>
    <row r="57" spans="9:14" ht="15.75">
      <c r="I57" s="77"/>
      <c r="J57" s="77"/>
      <c r="K57" s="77"/>
      <c r="L57" s="15"/>
      <c r="M57" s="15"/>
      <c r="N57" s="81"/>
    </row>
    <row r="58" spans="9:14" ht="15.75">
      <c r="I58" s="77"/>
      <c r="J58" s="77"/>
      <c r="K58" s="77"/>
      <c r="L58" s="15"/>
      <c r="M58" s="15"/>
      <c r="N58" s="81"/>
    </row>
    <row r="59" spans="9:14" ht="15.75">
      <c r="I59" s="77"/>
      <c r="J59" s="77"/>
      <c r="K59" s="77"/>
      <c r="L59" s="15"/>
      <c r="M59" s="15"/>
      <c r="N59" s="81"/>
    </row>
    <row r="60" spans="9:14" ht="15.75">
      <c r="I60" s="77"/>
      <c r="J60" s="77"/>
      <c r="K60" s="77"/>
      <c r="L60" s="15"/>
      <c r="M60" s="15"/>
      <c r="N60" s="81"/>
    </row>
    <row r="61" spans="9:14" ht="15.75">
      <c r="I61" s="77"/>
      <c r="J61" s="77"/>
      <c r="K61" s="77"/>
      <c r="L61" s="15"/>
      <c r="M61" s="15"/>
      <c r="N61" s="81"/>
    </row>
    <row r="62" spans="9:14" ht="15.75">
      <c r="I62" s="77"/>
      <c r="J62" s="77"/>
      <c r="K62" s="77"/>
      <c r="L62" s="15"/>
      <c r="M62" s="15"/>
      <c r="N62" s="81"/>
    </row>
    <row r="63" spans="9:14" ht="15.75">
      <c r="I63" s="77"/>
      <c r="J63" s="77"/>
      <c r="K63" s="77"/>
      <c r="L63" s="15"/>
      <c r="M63" s="15"/>
      <c r="N63" s="81"/>
    </row>
    <row r="64" spans="9:14" ht="15.75">
      <c r="I64" s="77"/>
      <c r="J64" s="77"/>
      <c r="K64" s="77"/>
      <c r="L64" s="15"/>
      <c r="M64" s="15"/>
      <c r="N64" s="81"/>
    </row>
    <row r="65" spans="9:14" ht="15.75">
      <c r="I65" s="77"/>
      <c r="J65" s="77"/>
      <c r="K65" s="77"/>
      <c r="L65" s="15"/>
      <c r="M65" s="15"/>
      <c r="N65" s="81"/>
    </row>
    <row r="66" spans="9:14" ht="15.75">
      <c r="I66" s="77"/>
      <c r="J66" s="77"/>
      <c r="K66" s="77"/>
      <c r="L66" s="15"/>
      <c r="M66" s="15"/>
      <c r="N66" s="81"/>
    </row>
    <row r="67" spans="9:14" ht="15.75">
      <c r="I67" s="77"/>
      <c r="J67" s="77"/>
      <c r="K67" s="77"/>
      <c r="L67" s="15"/>
      <c r="M67" s="15"/>
      <c r="N67" s="81"/>
    </row>
    <row r="68" spans="9:14" ht="15.75">
      <c r="I68" s="77"/>
      <c r="J68" s="77"/>
      <c r="K68" s="77"/>
      <c r="L68" s="15"/>
      <c r="M68" s="15"/>
      <c r="N68" s="81"/>
    </row>
    <row r="69" spans="9:14" ht="15.75">
      <c r="I69" s="77"/>
      <c r="J69" s="77"/>
      <c r="K69" s="77"/>
      <c r="L69" s="15"/>
      <c r="M69" s="15"/>
      <c r="N69" s="81"/>
    </row>
    <row r="70" spans="9:14" ht="15.75">
      <c r="I70" s="77"/>
      <c r="J70" s="77"/>
      <c r="K70" s="77"/>
      <c r="L70" s="15"/>
      <c r="M70" s="15"/>
      <c r="N70" s="81"/>
    </row>
    <row r="71" spans="9:14" ht="15.75">
      <c r="I71" s="77"/>
      <c r="J71" s="77"/>
      <c r="K71" s="77"/>
      <c r="L71" s="15"/>
      <c r="M71" s="15"/>
      <c r="N71" s="82"/>
    </row>
    <row r="72" spans="9:13" ht="15.75">
      <c r="I72" s="78"/>
      <c r="J72" s="77"/>
      <c r="K72" s="77"/>
      <c r="L72" s="77"/>
      <c r="M72" s="77"/>
    </row>
  </sheetData>
  <mergeCells count="3">
    <mergeCell ref="A1:M1"/>
    <mergeCell ref="A3:M3"/>
    <mergeCell ref="A4:M4"/>
  </mergeCells>
  <printOptions/>
  <pageMargins left="0.54" right="0.45" top="1" bottom="1" header="0.5" footer="0.5"/>
  <pageSetup fitToHeight="1" fitToWidth="1" orientation="landscape" scale="78" r:id="rId1"/>
  <headerFooter alignWithMargins="0">
    <oddFooter>&amp;L&amp;"Lucida Sans,Italic"&amp;10MSDE-DBS  11 / 2004&amp;C- 7 -&amp;R&amp;"Lucida Sans,Italic"&amp;10Selected Financial Data - Part 4</oddFooter>
  </headerFooter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A7">
      <selection activeCell="F14" sqref="F14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3" width="6.625" style="1" customWidth="1"/>
    <col min="14" max="14" width="9.125" style="1" customWidth="1"/>
    <col min="15" max="20" width="10.125" style="1" customWidth="1"/>
    <col min="21" max="21" width="10.125" style="3" customWidth="1"/>
    <col min="22" max="22" width="10.125" style="1" customWidth="1"/>
    <col min="23" max="24" width="12.50390625" style="3" bestFit="1" customWidth="1"/>
    <col min="25" max="26" width="10.125" style="3" customWidth="1"/>
    <col min="27" max="28" width="12.50390625" style="3" bestFit="1" customWidth="1"/>
    <col min="29" max="50" width="10.125" style="3" customWidth="1"/>
    <col min="51" max="16384" width="10.00390625" style="3" customWidth="1"/>
  </cols>
  <sheetData>
    <row r="1" spans="1:22" ht="15.75" customHeight="1">
      <c r="A1" s="206" t="s">
        <v>97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124"/>
      <c r="P1" s="2"/>
      <c r="Q1" s="2"/>
      <c r="R1" s="2"/>
      <c r="V1" s="3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Q2" s="2"/>
      <c r="R2" s="2"/>
      <c r="V2" s="2"/>
    </row>
    <row r="3" spans="1:22" ht="12.75">
      <c r="A3" s="205" t="s">
        <v>58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10"/>
      <c r="P3" s="2"/>
      <c r="Q3" s="2"/>
      <c r="R3" s="2"/>
      <c r="V3" s="3"/>
    </row>
    <row r="4" spans="1:22" ht="12.75">
      <c r="A4" s="205" t="s">
        <v>196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73"/>
      <c r="P4" s="2"/>
      <c r="Q4" s="2"/>
      <c r="R4" s="2"/>
      <c r="V4" s="3"/>
    </row>
    <row r="5" spans="24:29" ht="13.5" thickBot="1">
      <c r="X5" s="207" t="s">
        <v>207</v>
      </c>
      <c r="Y5" s="207"/>
      <c r="Z5" s="207"/>
      <c r="AA5" s="207"/>
      <c r="AB5" s="207"/>
      <c r="AC5" s="207"/>
    </row>
    <row r="6" spans="1:29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3"/>
      <c r="T6" s="5"/>
      <c r="U6" s="5"/>
      <c r="V6" s="5"/>
      <c r="X6" s="3" t="s">
        <v>201</v>
      </c>
      <c r="Y6" s="3" t="s">
        <v>201</v>
      </c>
      <c r="Z6" s="3" t="s">
        <v>204</v>
      </c>
      <c r="AA6" s="3" t="s">
        <v>204</v>
      </c>
      <c r="AB6" s="208" t="s">
        <v>137</v>
      </c>
      <c r="AC6" s="208" t="s">
        <v>208</v>
      </c>
    </row>
    <row r="7" spans="1:29" ht="13.5" thickBot="1">
      <c r="A7" s="7"/>
      <c r="B7" s="7"/>
      <c r="C7" s="7"/>
      <c r="D7" s="7"/>
      <c r="E7" s="7"/>
      <c r="L7" s="6" t="s">
        <v>34</v>
      </c>
      <c r="M7" s="6"/>
      <c r="O7" s="7"/>
      <c r="P7" s="7"/>
      <c r="Q7" s="7"/>
      <c r="R7" s="7"/>
      <c r="S7" s="3"/>
      <c r="T7" s="7"/>
      <c r="U7" s="7"/>
      <c r="V7" s="7"/>
      <c r="X7" s="3" t="s">
        <v>202</v>
      </c>
      <c r="Y7" s="3" t="s">
        <v>203</v>
      </c>
      <c r="Z7" s="3" t="s">
        <v>205</v>
      </c>
      <c r="AA7" s="3" t="s">
        <v>206</v>
      </c>
      <c r="AB7" s="209"/>
      <c r="AC7" s="210"/>
    </row>
    <row r="8" spans="1:29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106</v>
      </c>
      <c r="M8" s="10" t="s">
        <v>107</v>
      </c>
      <c r="O8" s="7"/>
      <c r="P8" s="7"/>
      <c r="Q8" s="7"/>
      <c r="R8" s="7"/>
      <c r="S8" s="3"/>
      <c r="T8" s="7"/>
      <c r="U8" s="7"/>
      <c r="V8" s="7"/>
      <c r="X8" s="3" t="s">
        <v>133</v>
      </c>
      <c r="Y8" s="3" t="s">
        <v>136</v>
      </c>
      <c r="Z8" s="3" t="s">
        <v>134</v>
      </c>
      <c r="AA8" s="3" t="s">
        <v>134</v>
      </c>
      <c r="AB8" s="123" t="s">
        <v>138</v>
      </c>
      <c r="AC8" s="123" t="s">
        <v>138</v>
      </c>
    </row>
    <row r="9" spans="1:29" ht="13.5" thickBot="1">
      <c r="A9" s="8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9" t="s">
        <v>105</v>
      </c>
      <c r="M9" s="9" t="s">
        <v>105</v>
      </c>
      <c r="N9" s="10" t="s">
        <v>2</v>
      </c>
      <c r="O9" s="9" t="s">
        <v>36</v>
      </c>
      <c r="P9" s="9" t="s">
        <v>71</v>
      </c>
      <c r="Q9" s="9" t="s">
        <v>72</v>
      </c>
      <c r="R9" s="9" t="s">
        <v>73</v>
      </c>
      <c r="S9" s="9" t="s">
        <v>74</v>
      </c>
      <c r="T9" s="9" t="s">
        <v>75</v>
      </c>
      <c r="U9" s="8" t="s">
        <v>83</v>
      </c>
      <c r="V9" s="8" t="s">
        <v>84</v>
      </c>
      <c r="X9" s="3" t="s">
        <v>137</v>
      </c>
      <c r="Y9" s="3" t="s">
        <v>135</v>
      </c>
      <c r="Z9" s="3" t="s">
        <v>137</v>
      </c>
      <c r="AA9" s="3" t="s">
        <v>135</v>
      </c>
      <c r="AB9" s="123" t="s">
        <v>136</v>
      </c>
      <c r="AC9" s="123" t="s">
        <v>136</v>
      </c>
    </row>
    <row r="10" spans="1:29" ht="12.75">
      <c r="A10" s="7" t="s">
        <v>5</v>
      </c>
      <c r="B10" s="11">
        <f aca="true" t="shared" si="0" ref="B10:I10">SUM(B12:B43)</f>
        <v>2190290</v>
      </c>
      <c r="C10" s="11">
        <f t="shared" si="0"/>
        <v>2350590</v>
      </c>
      <c r="D10" s="11">
        <f t="shared" si="0"/>
        <v>2438369</v>
      </c>
      <c r="E10" s="11">
        <f t="shared" si="0"/>
        <v>2517398</v>
      </c>
      <c r="F10" s="11">
        <f t="shared" si="0"/>
        <v>2381073</v>
      </c>
      <c r="G10" s="11">
        <f t="shared" si="0"/>
        <v>2534562</v>
      </c>
      <c r="H10" s="11">
        <f t="shared" si="0"/>
        <v>2690895</v>
      </c>
      <c r="I10" s="11">
        <f t="shared" si="0"/>
        <v>2983563</v>
      </c>
      <c r="J10" s="11">
        <f>SUM(J12:J43)</f>
        <v>3220407</v>
      </c>
      <c r="K10" s="11">
        <f>SUM(K12:K43)</f>
        <v>3348155</v>
      </c>
      <c r="L10" s="12">
        <f>(K10-J10)/J10</f>
        <v>0.04</v>
      </c>
      <c r="M10" s="12">
        <f>(K10-V10)/V10</f>
        <v>0.598</v>
      </c>
      <c r="N10" s="11">
        <f>SUM(N12:N39)</f>
        <v>1206634</v>
      </c>
      <c r="O10" s="11">
        <f>SUM(O12:O39)</f>
        <v>1261604</v>
      </c>
      <c r="P10" s="11">
        <f>SUM(P12:P39)</f>
        <v>1377436</v>
      </c>
      <c r="Q10" s="11">
        <f>SUM(Q12:Q39)</f>
        <v>1507346</v>
      </c>
      <c r="R10" s="11">
        <f>SUM(R11:R39)</f>
        <v>1670447</v>
      </c>
      <c r="S10" s="11">
        <f>SUM(S11:S39)</f>
        <v>1824006</v>
      </c>
      <c r="T10" s="11">
        <f>SUM(T11:T39)</f>
        <v>1987318</v>
      </c>
      <c r="U10" s="11">
        <f>SUM(U12:U43)</f>
        <v>2017138</v>
      </c>
      <c r="V10" s="11">
        <f>SUM(V12:V43)</f>
        <v>2095302</v>
      </c>
      <c r="X10" s="11">
        <f>SUM(X12:X43)</f>
        <v>3362960710</v>
      </c>
      <c r="Y10" s="11">
        <f>SUM(Y12:Y43)</f>
        <v>29473871</v>
      </c>
      <c r="Z10" s="11">
        <f>SUM(Z12:Z43)</f>
        <v>7428900</v>
      </c>
      <c r="AA10" s="11">
        <f>SUM(AA11:AA39)</f>
        <v>49267</v>
      </c>
      <c r="AB10" s="11">
        <f>SUM(AB11:AB39)</f>
        <v>3348152177</v>
      </c>
      <c r="AC10" s="11">
        <f>SUM(AC11:AC39)</f>
        <v>3348155</v>
      </c>
    </row>
    <row r="11" spans="3:21" ht="12.75">
      <c r="C11" s="15" t="s">
        <v>30</v>
      </c>
      <c r="D11" s="15"/>
      <c r="E11" s="15"/>
      <c r="F11" s="15"/>
      <c r="G11" s="15"/>
      <c r="H11" s="15"/>
      <c r="I11" s="15"/>
      <c r="J11" s="15"/>
      <c r="K11" s="15"/>
      <c r="M11" s="15"/>
      <c r="O11" s="15"/>
      <c r="R11" s="15"/>
      <c r="S11" s="15"/>
      <c r="U11" s="1"/>
    </row>
    <row r="12" spans="1:29" ht="12.75">
      <c r="A12" s="1" t="s">
        <v>6</v>
      </c>
      <c r="B12" s="29">
        <v>28821</v>
      </c>
      <c r="C12" s="15">
        <f>30730.313-584.698</f>
        <v>30146</v>
      </c>
      <c r="D12" s="15">
        <f>31948.15-687.06</f>
        <v>31261</v>
      </c>
      <c r="E12" s="15">
        <v>31479</v>
      </c>
      <c r="F12" s="15">
        <v>30834</v>
      </c>
      <c r="G12" s="15">
        <v>31322</v>
      </c>
      <c r="H12" s="15">
        <v>32028</v>
      </c>
      <c r="I12" s="15">
        <v>32727</v>
      </c>
      <c r="J12" s="15">
        <v>35665</v>
      </c>
      <c r="K12" s="15">
        <v>36325</v>
      </c>
      <c r="L12" s="102">
        <f>(K12-J12)*100/J12</f>
        <v>1.85</v>
      </c>
      <c r="M12" s="17">
        <f>(K12-V12)*100/V12</f>
        <v>33.5</v>
      </c>
      <c r="N12" s="15">
        <v>18788</v>
      </c>
      <c r="O12" s="15">
        <v>19226</v>
      </c>
      <c r="P12" s="15">
        <v>20230</v>
      </c>
      <c r="Q12" s="28">
        <v>21396</v>
      </c>
      <c r="R12" s="28">
        <v>23150</v>
      </c>
      <c r="S12" s="28">
        <v>24625</v>
      </c>
      <c r="T12" s="28">
        <v>26069</v>
      </c>
      <c r="U12" s="28">
        <v>26793</v>
      </c>
      <c r="V12" s="28">
        <v>27205</v>
      </c>
      <c r="X12" s="3">
        <v>36654518</v>
      </c>
      <c r="Y12" s="103">
        <v>853291.75</v>
      </c>
      <c r="Z12" s="43">
        <v>167816.84</v>
      </c>
      <c r="AA12" s="43">
        <v>5843.22</v>
      </c>
      <c r="AB12" s="3">
        <f>X12-Z12-Z12+AA12</f>
        <v>36324728</v>
      </c>
      <c r="AC12" s="3">
        <f>AB12/1000</f>
        <v>36325</v>
      </c>
    </row>
    <row r="13" spans="1:29" ht="12.75">
      <c r="A13" s="1" t="s">
        <v>7</v>
      </c>
      <c r="B13" s="29">
        <v>197513</v>
      </c>
      <c r="C13" s="15">
        <f>212278.998-1642.945</f>
        <v>210636</v>
      </c>
      <c r="D13" s="15">
        <f>217473.245-2672.887</f>
        <v>214800</v>
      </c>
      <c r="E13" s="15">
        <v>218287</v>
      </c>
      <c r="F13" s="15">
        <v>202244</v>
      </c>
      <c r="G13" s="15">
        <v>207206</v>
      </c>
      <c r="H13" s="15">
        <v>219371</v>
      </c>
      <c r="I13" s="15">
        <v>243336</v>
      </c>
      <c r="J13" s="15">
        <v>260931</v>
      </c>
      <c r="K13" s="15">
        <v>267276</v>
      </c>
      <c r="L13" s="102">
        <f>(K13-J13)*100/J13</f>
        <v>2.43</v>
      </c>
      <c r="M13" s="17">
        <f>(K13-V13)*100/V13</f>
        <v>40.4</v>
      </c>
      <c r="N13" s="15">
        <v>115809</v>
      </c>
      <c r="O13" s="15">
        <v>121249</v>
      </c>
      <c r="P13" s="15">
        <v>131218</v>
      </c>
      <c r="Q13" s="28">
        <v>142587</v>
      </c>
      <c r="R13" s="28">
        <v>155028</v>
      </c>
      <c r="S13" s="28">
        <v>170395</v>
      </c>
      <c r="T13" s="28">
        <v>187195</v>
      </c>
      <c r="U13" s="28">
        <v>185033</v>
      </c>
      <c r="V13" s="28">
        <v>190411</v>
      </c>
      <c r="X13" s="3">
        <v>267275975</v>
      </c>
      <c r="Y13" s="103">
        <v>1759009.79</v>
      </c>
      <c r="Z13" s="43">
        <v>0</v>
      </c>
      <c r="AA13" s="43">
        <v>0</v>
      </c>
      <c r="AB13" s="3">
        <f>X13-Z13-Z13+AA13</f>
        <v>267275975</v>
      </c>
      <c r="AC13" s="3">
        <f>AB13/1000</f>
        <v>267276</v>
      </c>
    </row>
    <row r="14" spans="1:29" ht="12.75">
      <c r="A14" s="1" t="s">
        <v>8</v>
      </c>
      <c r="B14" s="29">
        <v>265478</v>
      </c>
      <c r="C14" s="15">
        <f>288733.843-7202.757</f>
        <v>281531</v>
      </c>
      <c r="D14" s="15">
        <f>297332.824-4415.441</f>
        <v>292917</v>
      </c>
      <c r="E14" s="15">
        <v>284915</v>
      </c>
      <c r="F14" s="15">
        <v>275051</v>
      </c>
      <c r="G14" s="15">
        <v>295088</v>
      </c>
      <c r="H14" s="15">
        <v>307002</v>
      </c>
      <c r="I14" s="15">
        <v>337427</v>
      </c>
      <c r="J14" s="15">
        <v>371486</v>
      </c>
      <c r="K14" s="15">
        <v>377196</v>
      </c>
      <c r="L14" s="102">
        <f>(K14-J14)*100/J14</f>
        <v>1.54</v>
      </c>
      <c r="M14" s="17">
        <f>(K14-V14)*100/V14</f>
        <v>47.3</v>
      </c>
      <c r="N14" s="15">
        <v>157929</v>
      </c>
      <c r="O14" s="15">
        <v>165616</v>
      </c>
      <c r="P14" s="15">
        <v>175520</v>
      </c>
      <c r="Q14" s="28">
        <v>190613</v>
      </c>
      <c r="R14" s="28">
        <v>204939</v>
      </c>
      <c r="S14" s="28">
        <v>215074</v>
      </c>
      <c r="T14" s="28">
        <v>236878</v>
      </c>
      <c r="U14" s="28">
        <v>242644</v>
      </c>
      <c r="V14" s="28">
        <v>256055</v>
      </c>
      <c r="X14" s="3">
        <v>377273752</v>
      </c>
      <c r="Y14" s="103">
        <v>2255548.71</v>
      </c>
      <c r="Z14" s="43">
        <v>38999.77</v>
      </c>
      <c r="AA14" s="43">
        <v>0</v>
      </c>
      <c r="AB14" s="3">
        <f>X14-Z14-Z14+AA14</f>
        <v>377195752</v>
      </c>
      <c r="AC14" s="3">
        <f>AB14/1000</f>
        <v>377196</v>
      </c>
    </row>
    <row r="15" spans="1:29" ht="12.75">
      <c r="A15" s="1" t="s">
        <v>9</v>
      </c>
      <c r="B15" s="29">
        <v>277269</v>
      </c>
      <c r="C15" s="15">
        <f>318765.127-15349.669-345.811</f>
        <v>303070</v>
      </c>
      <c r="D15" s="15">
        <f>327801.556-13755.683-142.839</f>
        <v>313903</v>
      </c>
      <c r="E15" s="15">
        <v>327231</v>
      </c>
      <c r="F15" s="15">
        <v>304029</v>
      </c>
      <c r="G15" s="15">
        <v>318266</v>
      </c>
      <c r="H15" s="15">
        <v>337310</v>
      </c>
      <c r="I15" s="15">
        <v>387731</v>
      </c>
      <c r="J15" s="15">
        <v>401465</v>
      </c>
      <c r="K15" s="15">
        <v>402186</v>
      </c>
      <c r="L15" s="102">
        <f>(K15-J15)*100/J15</f>
        <v>0.18</v>
      </c>
      <c r="M15" s="17">
        <f>(K15-V15)*100/V15</f>
        <v>50.4</v>
      </c>
      <c r="N15" s="15">
        <v>177284</v>
      </c>
      <c r="O15" s="15">
        <v>181784</v>
      </c>
      <c r="P15" s="15">
        <v>197093</v>
      </c>
      <c r="Q15" s="28">
        <v>204662</v>
      </c>
      <c r="R15" s="28">
        <v>231996</v>
      </c>
      <c r="S15" s="28">
        <v>244647</v>
      </c>
      <c r="T15" s="28">
        <v>259500</v>
      </c>
      <c r="U15" s="28">
        <v>265312</v>
      </c>
      <c r="V15" s="28">
        <v>267403</v>
      </c>
      <c r="X15" s="3">
        <v>402505002</v>
      </c>
      <c r="Y15" s="103">
        <v>6549077</v>
      </c>
      <c r="Z15" s="43">
        <v>162668.1</v>
      </c>
      <c r="AA15" s="43">
        <v>6340</v>
      </c>
      <c r="AB15" s="3">
        <f>X15-Z15-Z15+AA15</f>
        <v>402186006</v>
      </c>
      <c r="AC15" s="3">
        <f>AB15/1000</f>
        <v>402186</v>
      </c>
    </row>
    <row r="16" spans="1:29" ht="12.75">
      <c r="A16" s="1" t="s">
        <v>10</v>
      </c>
      <c r="B16" s="29">
        <v>33816</v>
      </c>
      <c r="C16" s="15">
        <f>36750.293-608.007</f>
        <v>36142</v>
      </c>
      <c r="D16" s="15">
        <f>39707.376-618.056</f>
        <v>39089</v>
      </c>
      <c r="E16" s="15">
        <v>42068</v>
      </c>
      <c r="F16" s="15">
        <v>40417</v>
      </c>
      <c r="G16" s="15">
        <v>43224</v>
      </c>
      <c r="H16" s="15">
        <v>46865</v>
      </c>
      <c r="I16" s="15">
        <v>52284</v>
      </c>
      <c r="J16" s="15">
        <v>56805</v>
      </c>
      <c r="K16" s="15">
        <v>62586</v>
      </c>
      <c r="L16" s="102">
        <f>(K16-J16)*100/J16</f>
        <v>10.18</v>
      </c>
      <c r="M16" s="17">
        <f>(K16-V16)*100/V16</f>
        <v>100.1</v>
      </c>
      <c r="N16" s="15">
        <v>14010</v>
      </c>
      <c r="O16" s="15">
        <v>14579</v>
      </c>
      <c r="P16" s="15">
        <v>16026</v>
      </c>
      <c r="Q16" s="28">
        <v>17772</v>
      </c>
      <c r="R16" s="28">
        <v>20446</v>
      </c>
      <c r="S16" s="28">
        <v>22676</v>
      </c>
      <c r="T16" s="28">
        <v>25397</v>
      </c>
      <c r="U16" s="28">
        <v>28682</v>
      </c>
      <c r="V16" s="28">
        <v>31276</v>
      </c>
      <c r="X16" s="3">
        <v>63041515</v>
      </c>
      <c r="Y16" s="103">
        <v>1519053.72</v>
      </c>
      <c r="Z16" s="43">
        <v>227599.86</v>
      </c>
      <c r="AA16" s="43">
        <v>0</v>
      </c>
      <c r="AB16" s="3">
        <f>X16-Z16-Z16+AA16</f>
        <v>62586315</v>
      </c>
      <c r="AC16" s="3">
        <f>AB16/1000</f>
        <v>62586</v>
      </c>
    </row>
    <row r="17" spans="2:27" ht="12.75">
      <c r="B17" s="29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7"/>
      <c r="N17" s="15"/>
      <c r="P17" s="15"/>
      <c r="Q17" s="28"/>
      <c r="R17" s="28"/>
      <c r="S17" s="28"/>
      <c r="T17" s="28"/>
      <c r="U17" s="28"/>
      <c r="V17" s="28"/>
      <c r="Y17" s="103"/>
      <c r="Z17" s="43"/>
      <c r="AA17" s="43"/>
    </row>
    <row r="18" spans="1:29" ht="12.75">
      <c r="A18" s="1" t="s">
        <v>11</v>
      </c>
      <c r="B18" s="29">
        <v>13387</v>
      </c>
      <c r="C18" s="15">
        <f>14937.162-599.746-1.537</f>
        <v>14336</v>
      </c>
      <c r="D18" s="15">
        <f>15747.075-468.114-81.387</f>
        <v>15198</v>
      </c>
      <c r="E18" s="15">
        <v>16583</v>
      </c>
      <c r="F18" s="15">
        <v>15043</v>
      </c>
      <c r="G18" s="15">
        <v>16143</v>
      </c>
      <c r="H18" s="15">
        <v>16548</v>
      </c>
      <c r="I18" s="15">
        <v>17745</v>
      </c>
      <c r="J18" s="15">
        <v>19145</v>
      </c>
      <c r="K18" s="15">
        <v>20168</v>
      </c>
      <c r="L18" s="102">
        <f>(K18-J18)*100/J18</f>
        <v>5.34</v>
      </c>
      <c r="M18" s="17">
        <f>(K18-V18)*100/V18</f>
        <v>61.6</v>
      </c>
      <c r="N18" s="15">
        <v>6314</v>
      </c>
      <c r="O18" s="15">
        <v>6498</v>
      </c>
      <c r="P18" s="15">
        <v>7512</v>
      </c>
      <c r="Q18" s="28">
        <v>8393</v>
      </c>
      <c r="R18" s="28">
        <v>9417</v>
      </c>
      <c r="S18" s="28">
        <v>10279</v>
      </c>
      <c r="T18" s="28">
        <v>11390</v>
      </c>
      <c r="U18" s="28">
        <v>11947</v>
      </c>
      <c r="V18" s="28">
        <v>12477</v>
      </c>
      <c r="X18" s="3">
        <v>20167709</v>
      </c>
      <c r="Y18" s="103">
        <v>620198.13</v>
      </c>
      <c r="Z18" s="43">
        <v>0</v>
      </c>
      <c r="AA18" s="43">
        <v>0</v>
      </c>
      <c r="AB18" s="3">
        <f>X18-Z18-Z18+AA18</f>
        <v>20167709</v>
      </c>
      <c r="AC18" s="3">
        <f>AB18/1000</f>
        <v>20168</v>
      </c>
    </row>
    <row r="19" spans="1:29" ht="12.75">
      <c r="A19" s="1" t="s">
        <v>12</v>
      </c>
      <c r="B19" s="29">
        <v>63426</v>
      </c>
      <c r="C19" s="15">
        <f>71141.464-2057.375</f>
        <v>69084</v>
      </c>
      <c r="D19" s="15">
        <f>72094.399-1505.892</f>
        <v>70589</v>
      </c>
      <c r="E19" s="15">
        <v>73093</v>
      </c>
      <c r="F19" s="15">
        <v>68675</v>
      </c>
      <c r="G19" s="15">
        <v>73468</v>
      </c>
      <c r="H19" s="15">
        <v>77431</v>
      </c>
      <c r="I19" s="15">
        <v>84984</v>
      </c>
      <c r="J19" s="15">
        <v>91467</v>
      </c>
      <c r="K19" s="15">
        <v>99210</v>
      </c>
      <c r="L19" s="102">
        <f>(K19-J19)*100/J19</f>
        <v>8.47</v>
      </c>
      <c r="M19" s="17">
        <f>(K19-V19)*100/V19</f>
        <v>66.5</v>
      </c>
      <c r="N19" s="15">
        <v>30023</v>
      </c>
      <c r="O19" s="15">
        <v>31815</v>
      </c>
      <c r="P19" s="15">
        <v>34743</v>
      </c>
      <c r="Q19" s="28">
        <v>39526</v>
      </c>
      <c r="R19" s="28">
        <v>45617</v>
      </c>
      <c r="S19" s="28">
        <v>50563</v>
      </c>
      <c r="T19" s="28">
        <v>55504</v>
      </c>
      <c r="U19" s="28">
        <v>57671</v>
      </c>
      <c r="V19" s="28">
        <v>59591</v>
      </c>
      <c r="X19" s="3">
        <v>100048966</v>
      </c>
      <c r="Y19" s="103">
        <v>1675359.22</v>
      </c>
      <c r="Z19" s="43">
        <v>421664.09</v>
      </c>
      <c r="AA19" s="43">
        <v>4796</v>
      </c>
      <c r="AB19" s="3">
        <f>X19-Z19-Z19+AA19</f>
        <v>99210434</v>
      </c>
      <c r="AC19" s="3">
        <f>AB19/1000</f>
        <v>99210</v>
      </c>
    </row>
    <row r="20" spans="1:29" ht="12.75">
      <c r="A20" s="1" t="s">
        <v>13</v>
      </c>
      <c r="B20" s="29">
        <v>35248</v>
      </c>
      <c r="C20" s="15">
        <f>39098.097-710.151</f>
        <v>38388</v>
      </c>
      <c r="D20" s="15">
        <f>40308.709-635.255</f>
        <v>39673</v>
      </c>
      <c r="E20" s="15">
        <v>41709</v>
      </c>
      <c r="F20" s="15">
        <v>38973</v>
      </c>
      <c r="G20" s="15">
        <v>41833</v>
      </c>
      <c r="H20" s="15">
        <v>43844</v>
      </c>
      <c r="I20" s="15">
        <v>47999</v>
      </c>
      <c r="J20" s="15">
        <v>50693</v>
      </c>
      <c r="K20" s="15">
        <v>53336</v>
      </c>
      <c r="L20" s="102">
        <f>(K20-J20)*100/J20</f>
        <v>5.21</v>
      </c>
      <c r="M20" s="17">
        <f>(K20-V20)*100/V20</f>
        <v>58</v>
      </c>
      <c r="N20" s="15">
        <v>18712</v>
      </c>
      <c r="O20" s="15">
        <v>19522</v>
      </c>
      <c r="P20" s="15">
        <v>21055</v>
      </c>
      <c r="Q20" s="28">
        <v>23708</v>
      </c>
      <c r="R20" s="28">
        <v>26117</v>
      </c>
      <c r="S20" s="28">
        <v>28942</v>
      </c>
      <c r="T20" s="28">
        <v>31223</v>
      </c>
      <c r="U20" s="28">
        <v>33039</v>
      </c>
      <c r="V20" s="28">
        <v>33760</v>
      </c>
      <c r="X20" s="3">
        <v>53335661</v>
      </c>
      <c r="Y20" s="103">
        <v>599544.78</v>
      </c>
      <c r="Z20" s="43">
        <v>0</v>
      </c>
      <c r="AA20" s="43">
        <v>0</v>
      </c>
      <c r="AB20" s="3">
        <f>X20-Z20-Z20+AA20</f>
        <v>53335661</v>
      </c>
      <c r="AC20" s="3">
        <f>AB20/1000</f>
        <v>53336</v>
      </c>
    </row>
    <row r="21" spans="1:29" ht="12.75">
      <c r="A21" s="1" t="s">
        <v>14</v>
      </c>
      <c r="B21" s="29">
        <v>54251</v>
      </c>
      <c r="C21" s="15">
        <f>57151.192-118.053-23.321</f>
        <v>57010</v>
      </c>
      <c r="D21" s="15">
        <f>57953.789-238.733</f>
        <v>57715</v>
      </c>
      <c r="E21" s="15">
        <v>60078</v>
      </c>
      <c r="F21" s="15">
        <v>56612</v>
      </c>
      <c r="G21" s="15">
        <v>60747</v>
      </c>
      <c r="H21" s="15">
        <v>66034</v>
      </c>
      <c r="I21" s="15">
        <v>72793</v>
      </c>
      <c r="J21" s="15">
        <v>79692</v>
      </c>
      <c r="K21" s="15">
        <v>85339</v>
      </c>
      <c r="L21" s="102">
        <f>(K21-J21)*100/J21</f>
        <v>7.09</v>
      </c>
      <c r="M21" s="17">
        <f>(K21-V21)*100/V21</f>
        <v>67.9</v>
      </c>
      <c r="N21" s="15">
        <v>25149</v>
      </c>
      <c r="O21" s="15">
        <v>26203</v>
      </c>
      <c r="P21" s="15">
        <v>29211</v>
      </c>
      <c r="Q21" s="28">
        <v>32875</v>
      </c>
      <c r="R21" s="28">
        <v>36911</v>
      </c>
      <c r="S21" s="28">
        <v>41745</v>
      </c>
      <c r="T21" s="28">
        <v>45678</v>
      </c>
      <c r="U21" s="28">
        <v>47510</v>
      </c>
      <c r="V21" s="28">
        <v>50839</v>
      </c>
      <c r="X21" s="3">
        <v>86799589</v>
      </c>
      <c r="Y21" s="103">
        <v>681492.72</v>
      </c>
      <c r="Z21" s="43">
        <v>731922.31</v>
      </c>
      <c r="AA21" s="43">
        <v>2798</v>
      </c>
      <c r="AB21" s="3">
        <f>X21-Z21-Z21+AA21</f>
        <v>85338542</v>
      </c>
      <c r="AC21" s="3">
        <f>AB21/1000</f>
        <v>85339</v>
      </c>
    </row>
    <row r="22" spans="1:29" ht="12.75">
      <c r="A22" s="1" t="s">
        <v>15</v>
      </c>
      <c r="B22" s="29">
        <v>13637</v>
      </c>
      <c r="C22" s="15">
        <f>14952.289-196.886</f>
        <v>14755</v>
      </c>
      <c r="D22" s="15">
        <f>15052.188-205.78-3.762</f>
        <v>14843</v>
      </c>
      <c r="E22" s="15">
        <v>15911</v>
      </c>
      <c r="F22" s="15">
        <v>15280</v>
      </c>
      <c r="G22" s="15">
        <v>15616</v>
      </c>
      <c r="H22" s="15">
        <v>16967</v>
      </c>
      <c r="I22" s="15">
        <v>17696</v>
      </c>
      <c r="J22" s="15">
        <v>17196</v>
      </c>
      <c r="K22" s="15">
        <v>17909</v>
      </c>
      <c r="L22" s="102">
        <f>(K22-J22)*100/J22</f>
        <v>4.15</v>
      </c>
      <c r="M22" s="17">
        <f>(K22-V22)*100/V22</f>
        <v>38.1</v>
      </c>
      <c r="N22" s="15">
        <v>8506</v>
      </c>
      <c r="O22" s="15">
        <v>8672</v>
      </c>
      <c r="P22" s="15">
        <v>9145</v>
      </c>
      <c r="Q22" s="28">
        <v>10054</v>
      </c>
      <c r="R22" s="28">
        <v>10969</v>
      </c>
      <c r="S22" s="28">
        <v>11962</v>
      </c>
      <c r="T22" s="28">
        <v>12669</v>
      </c>
      <c r="U22" s="28">
        <v>12445</v>
      </c>
      <c r="V22" s="28">
        <v>12971</v>
      </c>
      <c r="X22" s="3">
        <v>18613323</v>
      </c>
      <c r="Y22" s="103">
        <v>63256.42</v>
      </c>
      <c r="Z22" s="43">
        <v>352367.36</v>
      </c>
      <c r="AA22" s="90">
        <v>0</v>
      </c>
      <c r="AB22" s="3">
        <f>X22-Z22-Z22+AA22</f>
        <v>17908588</v>
      </c>
      <c r="AC22" s="3">
        <f>AB22/1000</f>
        <v>17909</v>
      </c>
    </row>
    <row r="23" spans="2:27" ht="12.75">
      <c r="B23" s="29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7"/>
      <c r="N23" s="15"/>
      <c r="P23" s="15"/>
      <c r="Q23" s="28"/>
      <c r="R23" s="28"/>
      <c r="S23" s="28"/>
      <c r="T23" s="28"/>
      <c r="U23" s="28"/>
      <c r="V23" s="28"/>
      <c r="Y23" s="103"/>
      <c r="Z23" s="43"/>
      <c r="AA23" s="43"/>
    </row>
    <row r="24" spans="1:29" ht="12.75">
      <c r="A24" s="1" t="s">
        <v>16</v>
      </c>
      <c r="B24" s="29">
        <v>83685</v>
      </c>
      <c r="C24" s="15">
        <f>93077.869-1239.561</f>
        <v>91838</v>
      </c>
      <c r="D24" s="15">
        <f>95993.313-1735.168</f>
        <v>94258</v>
      </c>
      <c r="E24" s="15">
        <v>97520</v>
      </c>
      <c r="F24" s="15">
        <v>94705</v>
      </c>
      <c r="G24" s="15">
        <v>102448</v>
      </c>
      <c r="H24" s="15">
        <v>108256</v>
      </c>
      <c r="I24" s="15">
        <v>119479</v>
      </c>
      <c r="J24" s="15">
        <v>131871</v>
      </c>
      <c r="K24" s="15">
        <v>137804</v>
      </c>
      <c r="L24" s="102">
        <f>(K24-J24)*100/J24</f>
        <v>4.5</v>
      </c>
      <c r="M24" s="17">
        <f>(K24-V24)*100/V24</f>
        <v>75.4</v>
      </c>
      <c r="N24" s="15">
        <v>39001</v>
      </c>
      <c r="O24" s="15">
        <v>40266</v>
      </c>
      <c r="P24" s="15">
        <v>44692</v>
      </c>
      <c r="Q24" s="28">
        <v>50258</v>
      </c>
      <c r="R24" s="28">
        <v>56947</v>
      </c>
      <c r="S24" s="28">
        <v>63873</v>
      </c>
      <c r="T24" s="28">
        <v>70050</v>
      </c>
      <c r="U24" s="28">
        <v>74463</v>
      </c>
      <c r="V24" s="28">
        <v>78553</v>
      </c>
      <c r="X24" s="3">
        <v>139115642</v>
      </c>
      <c r="Y24" s="103">
        <v>806006.65</v>
      </c>
      <c r="Z24" s="43">
        <v>659940.23</v>
      </c>
      <c r="AA24" s="43">
        <v>7812</v>
      </c>
      <c r="AB24" s="3">
        <f>X24-Z24-Z24+AA24</f>
        <v>137803574</v>
      </c>
      <c r="AC24" s="3">
        <f>AB24/1000</f>
        <v>137804</v>
      </c>
    </row>
    <row r="25" spans="1:29" ht="12.75">
      <c r="A25" s="1" t="s">
        <v>17</v>
      </c>
      <c r="B25" s="29">
        <v>13548</v>
      </c>
      <c r="C25" s="15">
        <f>14523.025-222.993</f>
        <v>14300</v>
      </c>
      <c r="D25" s="15">
        <f>15208.979-221.691-0.384</f>
        <v>14987</v>
      </c>
      <c r="E25" s="15">
        <v>16150</v>
      </c>
      <c r="F25" s="15">
        <v>14901</v>
      </c>
      <c r="G25" s="15">
        <v>15703</v>
      </c>
      <c r="H25" s="15">
        <v>16729</v>
      </c>
      <c r="I25" s="15">
        <v>17901</v>
      </c>
      <c r="J25" s="15">
        <v>18791</v>
      </c>
      <c r="K25" s="15">
        <v>18688</v>
      </c>
      <c r="L25" s="102">
        <f>(K25-J25)*100/J25</f>
        <v>-0.55</v>
      </c>
      <c r="M25" s="17">
        <f>(K25-V25)*100/V25</f>
        <v>41.5</v>
      </c>
      <c r="N25" s="15">
        <v>7694</v>
      </c>
      <c r="O25" s="15">
        <v>7925</v>
      </c>
      <c r="P25" s="15">
        <v>8842</v>
      </c>
      <c r="Q25" s="28">
        <v>9694</v>
      </c>
      <c r="R25" s="28">
        <v>10726</v>
      </c>
      <c r="S25" s="28">
        <v>11383</v>
      </c>
      <c r="T25" s="28">
        <v>12358</v>
      </c>
      <c r="U25" s="28">
        <v>12764</v>
      </c>
      <c r="V25" s="28">
        <v>13203</v>
      </c>
      <c r="X25" s="3">
        <v>18687730</v>
      </c>
      <c r="Y25" s="103">
        <v>283811.78</v>
      </c>
      <c r="Z25" s="43">
        <v>0</v>
      </c>
      <c r="AA25" s="43">
        <v>0</v>
      </c>
      <c r="AB25" s="3">
        <f>X25-Z25-Z25+AA25</f>
        <v>18687730</v>
      </c>
      <c r="AC25" s="3">
        <f>AB25/1000</f>
        <v>18688</v>
      </c>
    </row>
    <row r="26" spans="1:29" ht="12.75">
      <c r="A26" s="1" t="s">
        <v>18</v>
      </c>
      <c r="B26" s="29">
        <v>92867</v>
      </c>
      <c r="C26" s="15">
        <f>101340.503-897.475</f>
        <v>100443</v>
      </c>
      <c r="D26" s="15">
        <f>105355.516-1904.602</f>
        <v>103451</v>
      </c>
      <c r="E26" s="15">
        <v>108332</v>
      </c>
      <c r="F26" s="15">
        <v>103838</v>
      </c>
      <c r="G26" s="15">
        <v>109117</v>
      </c>
      <c r="H26" s="15">
        <v>113775</v>
      </c>
      <c r="I26" s="15">
        <v>121499</v>
      </c>
      <c r="J26" s="15">
        <v>132637</v>
      </c>
      <c r="K26" s="15">
        <v>138521</v>
      </c>
      <c r="L26" s="102">
        <f>(K26-J26)*100/J26</f>
        <v>4.44</v>
      </c>
      <c r="M26" s="17">
        <f>(K26-V26)*100/V26</f>
        <v>59.5</v>
      </c>
      <c r="N26" s="15">
        <v>44168</v>
      </c>
      <c r="O26" s="15">
        <v>47264</v>
      </c>
      <c r="P26" s="15">
        <v>52376</v>
      </c>
      <c r="Q26" s="28">
        <v>57089</v>
      </c>
      <c r="R26" s="28">
        <v>64880</v>
      </c>
      <c r="S26" s="28">
        <v>71405</v>
      </c>
      <c r="T26" s="28">
        <v>77883</v>
      </c>
      <c r="U26" s="28">
        <v>81808</v>
      </c>
      <c r="V26" s="28">
        <v>86842</v>
      </c>
      <c r="X26" s="3">
        <v>138520808</v>
      </c>
      <c r="Y26" s="103">
        <v>1668501.5</v>
      </c>
      <c r="Z26" s="43">
        <v>0</v>
      </c>
      <c r="AA26" s="43">
        <v>0</v>
      </c>
      <c r="AB26" s="3">
        <f>X26-Z26-Z26+AA26</f>
        <v>138520808</v>
      </c>
      <c r="AC26" s="3">
        <f>AB26/1000</f>
        <v>138521</v>
      </c>
    </row>
    <row r="27" spans="1:29" ht="12.75">
      <c r="A27" s="1" t="s">
        <v>19</v>
      </c>
      <c r="B27" s="29">
        <v>105235</v>
      </c>
      <c r="C27" s="15">
        <f>117927.044-1706.667</f>
        <v>116220</v>
      </c>
      <c r="D27" s="15">
        <f>127564.16-3089.249</f>
        <v>124475</v>
      </c>
      <c r="E27" s="15">
        <v>128879</v>
      </c>
      <c r="F27" s="15">
        <v>121531</v>
      </c>
      <c r="G27" s="15">
        <v>131497</v>
      </c>
      <c r="H27" s="15">
        <v>145694</v>
      </c>
      <c r="I27" s="15">
        <v>165835</v>
      </c>
      <c r="J27" s="15">
        <v>181299</v>
      </c>
      <c r="K27" s="15">
        <v>188363</v>
      </c>
      <c r="L27" s="102">
        <f>(K27-J27)*100/J27</f>
        <v>3.9</v>
      </c>
      <c r="M27" s="17">
        <f>(K27-V27)*100/V27</f>
        <v>91.1</v>
      </c>
      <c r="N27" s="15">
        <v>48458</v>
      </c>
      <c r="O27" s="15">
        <v>51629</v>
      </c>
      <c r="P27" s="15">
        <v>58343</v>
      </c>
      <c r="Q27" s="28">
        <v>64954</v>
      </c>
      <c r="R27" s="28">
        <v>74670</v>
      </c>
      <c r="S27" s="28">
        <v>84775</v>
      </c>
      <c r="T27" s="28">
        <v>95071</v>
      </c>
      <c r="U27" s="28">
        <v>96051</v>
      </c>
      <c r="V27" s="28">
        <v>98587</v>
      </c>
      <c r="X27" s="3">
        <v>188363154</v>
      </c>
      <c r="Y27" s="103">
        <v>289343.13</v>
      </c>
      <c r="Z27" s="43">
        <v>0</v>
      </c>
      <c r="AA27" s="43">
        <v>0</v>
      </c>
      <c r="AB27" s="3">
        <f>X27-Z27-Z27+AA27</f>
        <v>188363154</v>
      </c>
      <c r="AC27" s="3">
        <f>AB27/1000</f>
        <v>188363</v>
      </c>
    </row>
    <row r="28" spans="1:29" ht="12.75">
      <c r="A28" s="1" t="s">
        <v>20</v>
      </c>
      <c r="B28" s="29">
        <v>8193</v>
      </c>
      <c r="C28" s="15">
        <f>9079.919-170.37</f>
        <v>8910</v>
      </c>
      <c r="D28" s="15">
        <f>9415.054-182.256</f>
        <v>9233</v>
      </c>
      <c r="E28" s="15">
        <v>9652</v>
      </c>
      <c r="F28" s="15">
        <v>9923</v>
      </c>
      <c r="G28" s="15">
        <v>9519</v>
      </c>
      <c r="H28" s="15">
        <v>9892</v>
      </c>
      <c r="I28" s="15">
        <v>11011</v>
      </c>
      <c r="J28" s="15">
        <v>11889</v>
      </c>
      <c r="K28" s="15">
        <v>11759</v>
      </c>
      <c r="L28" s="102">
        <f>(K28-J28)*100/J28</f>
        <v>-1.09</v>
      </c>
      <c r="M28" s="17">
        <f>(K28-V28)*100/V28</f>
        <v>59.8</v>
      </c>
      <c r="N28" s="15">
        <v>4120</v>
      </c>
      <c r="O28" s="15">
        <v>4188</v>
      </c>
      <c r="P28" s="28">
        <v>4499</v>
      </c>
      <c r="Q28" s="28">
        <v>4938</v>
      </c>
      <c r="R28" s="28">
        <v>5754</v>
      </c>
      <c r="S28" s="28">
        <v>6502</v>
      </c>
      <c r="T28" s="28">
        <v>7264</v>
      </c>
      <c r="U28" s="28">
        <v>7214</v>
      </c>
      <c r="V28" s="28">
        <v>7360</v>
      </c>
      <c r="X28" s="3">
        <v>12074727</v>
      </c>
      <c r="Y28" s="103">
        <v>321286.76</v>
      </c>
      <c r="Z28" s="43">
        <v>159654.54</v>
      </c>
      <c r="AA28" s="43">
        <v>3871</v>
      </c>
      <c r="AB28" s="3">
        <f>X28-Z28-Z28+AA28</f>
        <v>11759289</v>
      </c>
      <c r="AC28" s="3">
        <f>AB28/1000</f>
        <v>11759</v>
      </c>
    </row>
    <row r="29" spans="2:27" ht="12.75">
      <c r="B29" s="29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7"/>
      <c r="N29" s="15"/>
      <c r="O29" s="15"/>
      <c r="Q29" s="28"/>
      <c r="R29" s="28"/>
      <c r="S29" s="28"/>
      <c r="T29" s="28"/>
      <c r="U29" s="28"/>
      <c r="V29" s="28"/>
      <c r="Y29" s="103"/>
      <c r="Z29" s="43"/>
      <c r="AA29" s="43"/>
    </row>
    <row r="30" spans="1:29" ht="12.75">
      <c r="A30" s="1" t="s">
        <v>21</v>
      </c>
      <c r="B30" s="29">
        <v>414618</v>
      </c>
      <c r="C30" s="15">
        <f>440555.096-3146.236</f>
        <v>437409</v>
      </c>
      <c r="D30" s="15">
        <f>462300.773-3459.559</f>
        <v>458841</v>
      </c>
      <c r="E30" s="15">
        <v>476703</v>
      </c>
      <c r="F30" s="15">
        <v>447377</v>
      </c>
      <c r="G30" s="15">
        <v>479671</v>
      </c>
      <c r="H30" s="15">
        <v>517344</v>
      </c>
      <c r="I30" s="15">
        <v>578108</v>
      </c>
      <c r="J30" s="15">
        <v>634767</v>
      </c>
      <c r="K30" s="15">
        <v>670790</v>
      </c>
      <c r="L30" s="102">
        <f>(K30-J30)*100/J30</f>
        <v>5.67</v>
      </c>
      <c r="M30" s="17">
        <f>(K30-V30)*100/V30</f>
        <v>67.5</v>
      </c>
      <c r="N30" s="15">
        <v>219807</v>
      </c>
      <c r="O30" s="15">
        <v>233258</v>
      </c>
      <c r="P30" s="28">
        <v>254035</v>
      </c>
      <c r="Q30" s="28">
        <v>282067</v>
      </c>
      <c r="R30" s="28">
        <v>314894</v>
      </c>
      <c r="S30" s="28">
        <v>354148</v>
      </c>
      <c r="T30" s="28">
        <v>386336</v>
      </c>
      <c r="U30" s="28">
        <v>388791</v>
      </c>
      <c r="V30" s="28">
        <v>400425</v>
      </c>
      <c r="X30" s="3">
        <v>677117955</v>
      </c>
      <c r="Y30" s="103">
        <v>2930338.28</v>
      </c>
      <c r="Z30" s="43">
        <v>3164594.42</v>
      </c>
      <c r="AA30" s="43">
        <v>1024</v>
      </c>
      <c r="AB30" s="3">
        <f>X30-Z30-Z30+AA30</f>
        <v>670789790</v>
      </c>
      <c r="AC30" s="3">
        <f aca="true" t="shared" si="1" ref="AC30:AC39">AB30/1000</f>
        <v>670790</v>
      </c>
    </row>
    <row r="31" spans="1:29" ht="12.75">
      <c r="A31" s="1" t="s">
        <v>22</v>
      </c>
      <c r="B31" s="29">
        <v>309860</v>
      </c>
      <c r="C31" s="15">
        <f>337049.241-2637.63-237.5</f>
        <v>334174</v>
      </c>
      <c r="D31" s="15">
        <f>351094.006-2920.229-252.133</f>
        <v>347922</v>
      </c>
      <c r="E31" s="15">
        <v>363060</v>
      </c>
      <c r="F31" s="15">
        <v>346677</v>
      </c>
      <c r="G31" s="15">
        <v>374400</v>
      </c>
      <c r="H31" s="15">
        <v>393581</v>
      </c>
      <c r="I31" s="15">
        <v>435595</v>
      </c>
      <c r="J31" s="15">
        <v>467174</v>
      </c>
      <c r="K31" s="15">
        <v>493026</v>
      </c>
      <c r="L31" s="102">
        <f>(K31-J31)*100/J31</f>
        <v>5.53</v>
      </c>
      <c r="M31" s="17">
        <f>(K31-V31)*100/V31</f>
        <v>66.3</v>
      </c>
      <c r="N31" s="15">
        <v>175700</v>
      </c>
      <c r="O31" s="15">
        <v>182882</v>
      </c>
      <c r="P31" s="28">
        <v>202841</v>
      </c>
      <c r="Q31" s="28">
        <v>225575</v>
      </c>
      <c r="R31" s="28">
        <v>245693</v>
      </c>
      <c r="S31" s="28">
        <v>264543</v>
      </c>
      <c r="T31" s="28">
        <v>286109</v>
      </c>
      <c r="U31" s="28">
        <v>279605</v>
      </c>
      <c r="V31" s="28">
        <v>296456</v>
      </c>
      <c r="X31" s="3">
        <v>493143461</v>
      </c>
      <c r="Y31" s="90">
        <v>3667497.24</v>
      </c>
      <c r="Z31" s="43">
        <v>61038.15</v>
      </c>
      <c r="AA31" s="90">
        <v>4599.75</v>
      </c>
      <c r="AB31" s="3">
        <f>X31-Z31-Z31+AA31</f>
        <v>493025984</v>
      </c>
      <c r="AC31" s="3">
        <f t="shared" si="1"/>
        <v>493026</v>
      </c>
    </row>
    <row r="32" spans="1:29" ht="12.75">
      <c r="A32" s="1" t="s">
        <v>23</v>
      </c>
      <c r="B32" s="29">
        <v>16359</v>
      </c>
      <c r="C32" s="15">
        <f>17874.109-791.87</f>
        <v>17082</v>
      </c>
      <c r="D32" s="15">
        <f>18340.788-637.663-0.5</f>
        <v>17703</v>
      </c>
      <c r="E32" s="15">
        <v>18965</v>
      </c>
      <c r="F32" s="15">
        <v>18279</v>
      </c>
      <c r="G32" s="15">
        <v>20277</v>
      </c>
      <c r="H32" s="15">
        <v>21900</v>
      </c>
      <c r="I32" s="15">
        <v>24153</v>
      </c>
      <c r="J32" s="15">
        <v>26826</v>
      </c>
      <c r="K32" s="15">
        <v>28022</v>
      </c>
      <c r="L32" s="102">
        <f>(K32-J32)*100/J32</f>
        <v>4.46</v>
      </c>
      <c r="M32" s="17">
        <f>(K32-V32)*100/V32</f>
        <v>85.3</v>
      </c>
      <c r="N32" s="15">
        <v>7444</v>
      </c>
      <c r="O32" s="15">
        <v>8328</v>
      </c>
      <c r="P32" s="28">
        <v>9829</v>
      </c>
      <c r="Q32" s="28">
        <v>10855</v>
      </c>
      <c r="R32" s="28">
        <v>11915</v>
      </c>
      <c r="S32" s="28">
        <v>13102</v>
      </c>
      <c r="T32" s="28">
        <v>14031</v>
      </c>
      <c r="U32" s="28">
        <v>14616</v>
      </c>
      <c r="V32" s="28">
        <v>15125</v>
      </c>
      <c r="X32" s="3">
        <v>28246508</v>
      </c>
      <c r="Y32" s="103">
        <v>665111.96</v>
      </c>
      <c r="Z32" s="43">
        <v>112541.15</v>
      </c>
      <c r="AA32" s="43">
        <v>447.84</v>
      </c>
      <c r="AB32" s="3">
        <f>X32-Z32-Z32+AA32</f>
        <v>28021874</v>
      </c>
      <c r="AC32" s="3">
        <f t="shared" si="1"/>
        <v>28022</v>
      </c>
    </row>
    <row r="33" spans="1:29" ht="12.75">
      <c r="A33" s="1" t="s">
        <v>24</v>
      </c>
      <c r="B33" s="29">
        <v>34275</v>
      </c>
      <c r="C33" s="15">
        <f>38193.171-672.643-14.583</f>
        <v>37506</v>
      </c>
      <c r="D33" s="15">
        <f>38112.081-698.879-1.7</f>
        <v>37412</v>
      </c>
      <c r="E33" s="15">
        <v>40558</v>
      </c>
      <c r="F33" s="15">
        <v>38429</v>
      </c>
      <c r="G33" s="15">
        <v>40771</v>
      </c>
      <c r="H33" s="15">
        <v>42558</v>
      </c>
      <c r="I33" s="15">
        <v>46421</v>
      </c>
      <c r="J33" s="15">
        <v>51211</v>
      </c>
      <c r="K33" s="15">
        <v>52692</v>
      </c>
      <c r="L33" s="102">
        <f>(K33-J33)*100/J33</f>
        <v>2.89</v>
      </c>
      <c r="M33" s="17">
        <f>(K33-V33)*100/V33</f>
        <v>54.7</v>
      </c>
      <c r="N33" s="15">
        <v>17725</v>
      </c>
      <c r="O33" s="15">
        <v>18099</v>
      </c>
      <c r="P33" s="28">
        <v>20183</v>
      </c>
      <c r="Q33" s="28">
        <v>22427</v>
      </c>
      <c r="R33" s="28">
        <v>24264</v>
      </c>
      <c r="S33" s="28">
        <v>27043</v>
      </c>
      <c r="T33" s="28">
        <v>30165</v>
      </c>
      <c r="U33" s="28">
        <v>33059</v>
      </c>
      <c r="V33" s="28">
        <v>34066</v>
      </c>
      <c r="X33" s="3">
        <v>53091195</v>
      </c>
      <c r="Y33" s="103">
        <v>63427.02</v>
      </c>
      <c r="Z33" s="43">
        <v>199692.95</v>
      </c>
      <c r="AA33" s="43">
        <v>0</v>
      </c>
      <c r="AB33" s="3">
        <f>X33-Z33-Z33+AA33</f>
        <v>52691809</v>
      </c>
      <c r="AC33" s="3">
        <f t="shared" si="1"/>
        <v>52692</v>
      </c>
    </row>
    <row r="34" spans="1:29" ht="12.75">
      <c r="A34" s="1" t="s">
        <v>25</v>
      </c>
      <c r="B34" s="29">
        <v>9348</v>
      </c>
      <c r="C34" s="15">
        <f>10182.902-232.867</f>
        <v>9950</v>
      </c>
      <c r="D34" s="15">
        <f>10173.765-153.01</f>
        <v>10021</v>
      </c>
      <c r="E34" s="15">
        <v>10187</v>
      </c>
      <c r="F34" s="15">
        <v>9650</v>
      </c>
      <c r="G34" s="15">
        <v>10005</v>
      </c>
      <c r="H34" s="15">
        <v>10857</v>
      </c>
      <c r="I34" s="15">
        <v>11565</v>
      </c>
      <c r="J34" s="15">
        <v>12115</v>
      </c>
      <c r="K34" s="15">
        <v>12377</v>
      </c>
      <c r="L34" s="102">
        <f>(K34-J34)*100/J34</f>
        <v>2.16</v>
      </c>
      <c r="M34" s="17">
        <f>(K34-V34)*100/V34</f>
        <v>45.2</v>
      </c>
      <c r="N34" s="15">
        <v>4897</v>
      </c>
      <c r="O34" s="15">
        <v>4925</v>
      </c>
      <c r="P34" s="28">
        <v>5526</v>
      </c>
      <c r="Q34" s="28">
        <v>5958</v>
      </c>
      <c r="R34" s="28">
        <v>6626</v>
      </c>
      <c r="S34" s="28">
        <v>7432</v>
      </c>
      <c r="T34" s="28">
        <v>8133</v>
      </c>
      <c r="U34" s="28">
        <v>7991</v>
      </c>
      <c r="V34" s="28">
        <v>8524</v>
      </c>
      <c r="X34" s="3">
        <v>12678142</v>
      </c>
      <c r="Y34" s="103">
        <v>323700.58</v>
      </c>
      <c r="Z34" s="43">
        <v>151245.05</v>
      </c>
      <c r="AA34" s="43">
        <v>1078.91</v>
      </c>
      <c r="AB34" s="3">
        <f>X34-Z34-Z34+AA34</f>
        <v>12376731</v>
      </c>
      <c r="AC34" s="3">
        <f t="shared" si="1"/>
        <v>12377</v>
      </c>
    </row>
    <row r="35" spans="2:27" ht="12.75">
      <c r="B35" s="29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7"/>
      <c r="O35" s="15"/>
      <c r="P35" s="28"/>
      <c r="Q35" s="28"/>
      <c r="R35" s="28"/>
      <c r="S35" s="28"/>
      <c r="T35" s="28"/>
      <c r="U35" s="28"/>
      <c r="V35" s="28"/>
      <c r="Y35" s="103"/>
      <c r="Z35" s="43"/>
      <c r="AA35" s="43"/>
    </row>
    <row r="36" spans="1:29" ht="12.75">
      <c r="A36" s="1" t="s">
        <v>26</v>
      </c>
      <c r="B36" s="29">
        <v>12079</v>
      </c>
      <c r="C36" s="15">
        <f>13530.677-586.212</f>
        <v>12944</v>
      </c>
      <c r="D36" s="15">
        <f>13629.7-208.811</f>
        <v>13421</v>
      </c>
      <c r="E36" s="15">
        <v>14231</v>
      </c>
      <c r="F36" s="15">
        <v>12863</v>
      </c>
      <c r="G36" s="15">
        <v>13517</v>
      </c>
      <c r="H36" s="15">
        <v>14380</v>
      </c>
      <c r="I36" s="15">
        <v>15813</v>
      </c>
      <c r="J36" s="15">
        <v>17348</v>
      </c>
      <c r="K36" s="15">
        <v>17835</v>
      </c>
      <c r="L36" s="102">
        <f>(K36-J36)*100/J36</f>
        <v>2.81</v>
      </c>
      <c r="M36" s="17">
        <f>(K36-V36)*100/V36</f>
        <v>56.4</v>
      </c>
      <c r="N36" s="15">
        <v>6648</v>
      </c>
      <c r="O36" s="15">
        <v>6856</v>
      </c>
      <c r="P36" s="28">
        <v>7275</v>
      </c>
      <c r="Q36" s="28">
        <v>8686</v>
      </c>
      <c r="R36" s="28">
        <v>9647</v>
      </c>
      <c r="S36" s="28">
        <v>11148</v>
      </c>
      <c r="T36" s="28">
        <v>11760</v>
      </c>
      <c r="U36" s="28">
        <v>11294</v>
      </c>
      <c r="V36" s="28">
        <v>11407</v>
      </c>
      <c r="X36" s="3">
        <v>17834974</v>
      </c>
      <c r="Y36" s="103">
        <v>243103.7</v>
      </c>
      <c r="Z36" s="43">
        <v>0</v>
      </c>
      <c r="AA36" s="43">
        <v>0</v>
      </c>
      <c r="AB36" s="3">
        <f>X36-Z36-Z36+AA36</f>
        <v>17834974</v>
      </c>
      <c r="AC36" s="3">
        <f t="shared" si="1"/>
        <v>17835</v>
      </c>
    </row>
    <row r="37" spans="1:29" ht="12.75">
      <c r="A37" s="1" t="s">
        <v>27</v>
      </c>
      <c r="B37" s="29">
        <v>51828</v>
      </c>
      <c r="C37" s="15">
        <f>56245.003-600.422</f>
        <v>55645</v>
      </c>
      <c r="D37" s="15">
        <f>57735.204-791.031</f>
        <v>56944</v>
      </c>
      <c r="E37" s="15">
        <v>57972</v>
      </c>
      <c r="F37" s="15">
        <v>54976</v>
      </c>
      <c r="G37" s="15">
        <v>58669</v>
      </c>
      <c r="H37" s="15">
        <v>62171</v>
      </c>
      <c r="I37" s="15">
        <v>65369</v>
      </c>
      <c r="J37" s="15">
        <v>69692</v>
      </c>
      <c r="K37" s="15">
        <v>71961</v>
      </c>
      <c r="L37" s="102">
        <f>(K37-J37)*100/J37</f>
        <v>3.26</v>
      </c>
      <c r="M37" s="17">
        <f>(K37-V37)*100/V37</f>
        <v>45.8</v>
      </c>
      <c r="N37" s="15">
        <v>29967</v>
      </c>
      <c r="O37" s="15">
        <v>31086</v>
      </c>
      <c r="P37" s="28">
        <v>33890</v>
      </c>
      <c r="Q37" s="28">
        <v>36664</v>
      </c>
      <c r="R37" s="28">
        <v>39519</v>
      </c>
      <c r="S37" s="28">
        <v>42889</v>
      </c>
      <c r="T37" s="28">
        <v>46709</v>
      </c>
      <c r="U37" s="28">
        <v>47745</v>
      </c>
      <c r="V37" s="28">
        <v>49363</v>
      </c>
      <c r="X37" s="3">
        <v>72445368</v>
      </c>
      <c r="Y37" s="103">
        <v>698489.55</v>
      </c>
      <c r="Z37" s="43">
        <v>243568.66</v>
      </c>
      <c r="AA37" s="43">
        <v>2314</v>
      </c>
      <c r="AB37" s="3">
        <f>X37-Z37-Z37+AA37</f>
        <v>71960545</v>
      </c>
      <c r="AC37" s="3">
        <f t="shared" si="1"/>
        <v>71961</v>
      </c>
    </row>
    <row r="38" spans="1:29" ht="12.75">
      <c r="A38" s="1" t="s">
        <v>28</v>
      </c>
      <c r="B38" s="29">
        <v>35574</v>
      </c>
      <c r="C38" s="15">
        <f>38591.121-481.061</f>
        <v>38110</v>
      </c>
      <c r="D38" s="15">
        <f>38983.971-542.07-4.499</f>
        <v>38437</v>
      </c>
      <c r="E38" s="15">
        <v>40952</v>
      </c>
      <c r="F38" s="15">
        <v>38959</v>
      </c>
      <c r="G38" s="15">
        <v>42444</v>
      </c>
      <c r="H38" s="15">
        <v>45605</v>
      </c>
      <c r="I38" s="15">
        <v>48837</v>
      </c>
      <c r="J38" s="15">
        <v>50780</v>
      </c>
      <c r="K38" s="15">
        <v>53006</v>
      </c>
      <c r="L38" s="102">
        <f>(K38-J38)*100/J38</f>
        <v>4.38</v>
      </c>
      <c r="M38" s="17">
        <f>(K38-V38)*100/V38</f>
        <v>54.2</v>
      </c>
      <c r="N38" s="15">
        <v>18340</v>
      </c>
      <c r="O38" s="15">
        <v>19231</v>
      </c>
      <c r="P38" s="28">
        <v>21074</v>
      </c>
      <c r="Q38" s="28">
        <v>23511</v>
      </c>
      <c r="R38" s="28">
        <v>26081</v>
      </c>
      <c r="S38" s="28">
        <v>29066</v>
      </c>
      <c r="T38" s="28">
        <v>32491</v>
      </c>
      <c r="U38" s="28">
        <v>32521</v>
      </c>
      <c r="V38" s="28">
        <v>34373</v>
      </c>
      <c r="X38" s="3">
        <v>53646089</v>
      </c>
      <c r="Y38" s="103">
        <v>390833.19</v>
      </c>
      <c r="Z38" s="43">
        <v>323244.23</v>
      </c>
      <c r="AA38" s="43">
        <v>6627.15</v>
      </c>
      <c r="AB38" s="3">
        <f>X38-Z38-Z38+AA38</f>
        <v>53006228</v>
      </c>
      <c r="AC38" s="3">
        <f t="shared" si="1"/>
        <v>53006</v>
      </c>
    </row>
    <row r="39" spans="1:29" ht="12.75">
      <c r="A39" s="18" t="s">
        <v>29</v>
      </c>
      <c r="B39" s="29">
        <v>19975</v>
      </c>
      <c r="C39" s="15">
        <f>21423.706-462.395</f>
        <v>20961</v>
      </c>
      <c r="D39" s="15">
        <f>21837.427-561.15</f>
        <v>21276</v>
      </c>
      <c r="E39" s="15">
        <v>22883</v>
      </c>
      <c r="F39" s="15">
        <v>21807</v>
      </c>
      <c r="G39" s="15">
        <v>23611</v>
      </c>
      <c r="H39" s="15">
        <v>24753</v>
      </c>
      <c r="I39" s="15">
        <v>27255</v>
      </c>
      <c r="J39" s="15">
        <v>29462</v>
      </c>
      <c r="K39" s="15">
        <v>31780</v>
      </c>
      <c r="L39" s="102">
        <f>(K39-J39)*100/J39</f>
        <v>7.87</v>
      </c>
      <c r="M39" s="17">
        <f>(K39-V39)*100/V39</f>
        <v>67</v>
      </c>
      <c r="N39" s="25">
        <v>10141</v>
      </c>
      <c r="O39" s="15">
        <v>10503</v>
      </c>
      <c r="P39" s="28">
        <v>12278</v>
      </c>
      <c r="Q39" s="28">
        <v>13084</v>
      </c>
      <c r="R39" s="28">
        <v>14241</v>
      </c>
      <c r="S39" s="28">
        <v>15789</v>
      </c>
      <c r="T39" s="28">
        <v>17455</v>
      </c>
      <c r="U39" s="28">
        <v>18140</v>
      </c>
      <c r="V39" s="28">
        <v>19030</v>
      </c>
      <c r="X39" s="3">
        <v>32278947</v>
      </c>
      <c r="Y39" s="104">
        <v>546587.7</v>
      </c>
      <c r="Z39" s="104">
        <v>250342.58</v>
      </c>
      <c r="AA39" s="104">
        <v>1715.39</v>
      </c>
      <c r="AB39" s="3">
        <f>X39-Z39-Z39+AA39</f>
        <v>31779977</v>
      </c>
      <c r="AC39" s="3">
        <f t="shared" si="1"/>
        <v>31780</v>
      </c>
    </row>
    <row r="40" spans="1:22" ht="12.75">
      <c r="A40" s="1" t="s">
        <v>59</v>
      </c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P40" s="19"/>
      <c r="Q40" s="19"/>
      <c r="R40" s="19"/>
      <c r="V40" s="19"/>
    </row>
    <row r="41" ht="12.75">
      <c r="C41" s="15"/>
    </row>
    <row r="42" spans="1:18" ht="12.75">
      <c r="A42" s="32" t="s">
        <v>125</v>
      </c>
      <c r="B42" s="15"/>
      <c r="C42" s="15"/>
      <c r="P42" s="15"/>
      <c r="Q42" s="15"/>
      <c r="R42" s="15"/>
    </row>
    <row r="43" spans="1:18" ht="12.75">
      <c r="A43" s="1" t="s">
        <v>126</v>
      </c>
      <c r="B43" s="15"/>
      <c r="C43" s="15"/>
      <c r="P43" s="15"/>
      <c r="Q43" s="15"/>
      <c r="R43" s="15"/>
    </row>
    <row r="44" spans="2:18" ht="12.75">
      <c r="B44" s="15"/>
      <c r="C44" s="15"/>
      <c r="P44" s="15"/>
      <c r="Q44" s="15"/>
      <c r="R44" s="15"/>
    </row>
    <row r="45" spans="2:18" ht="12.75">
      <c r="B45" s="15"/>
      <c r="C45" s="15"/>
      <c r="P45" s="15"/>
      <c r="Q45" s="15"/>
      <c r="R45" s="15"/>
    </row>
    <row r="46" spans="2:18" ht="12.75">
      <c r="B46" s="15"/>
      <c r="C46" s="15"/>
      <c r="P46" s="15"/>
      <c r="Q46" s="15"/>
      <c r="R46" s="15"/>
    </row>
    <row r="47" spans="2:3" ht="12.75">
      <c r="B47" s="15"/>
      <c r="C47" s="15"/>
    </row>
    <row r="48" spans="2:3" ht="12.75">
      <c r="B48" s="15"/>
      <c r="C48" s="15"/>
    </row>
    <row r="49" spans="2:3" ht="12.75">
      <c r="B49" s="15"/>
      <c r="C49" s="15"/>
    </row>
    <row r="50" spans="2:3" ht="12.75">
      <c r="B50" s="15"/>
      <c r="C50" s="15"/>
    </row>
    <row r="51" spans="2:3" ht="12.75">
      <c r="B51" s="15"/>
      <c r="C51" s="15"/>
    </row>
    <row r="52" ht="12.75">
      <c r="C52" s="15"/>
    </row>
    <row r="53" ht="12.75">
      <c r="C53" s="15"/>
    </row>
  </sheetData>
  <mergeCells count="6">
    <mergeCell ref="A1:M1"/>
    <mergeCell ref="X5:AC5"/>
    <mergeCell ref="AB6:AB7"/>
    <mergeCell ref="AC6:AC7"/>
    <mergeCell ref="A4:M4"/>
    <mergeCell ref="A3:M3"/>
  </mergeCells>
  <printOptions/>
  <pageMargins left="0.54" right="0.49" top="1" bottom="1" header="0.5" footer="0.5"/>
  <pageSetup fitToHeight="1" fitToWidth="1" orientation="landscape" scale="78" r:id="rId1"/>
  <headerFooter alignWithMargins="0">
    <oddHeader xml:space="preserve">&amp;R&amp;10 </oddHeader>
    <oddFooter>&amp;L&amp;"Lucida Sans,Italic"&amp;10MSDE-DBS  11 / 2004&amp;C- 8 -&amp;R&amp;"Lucida Sans,Italic"&amp;10Selected Financial Data - Part 4</oddFooter>
  </headerFooter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workbookViewId="0" topLeftCell="G4">
      <selection activeCell="O6" sqref="O6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3" width="6.625" style="1" customWidth="1"/>
    <col min="14" max="14" width="9.125" style="1" bestFit="1" customWidth="1"/>
    <col min="15" max="22" width="10.125" style="1" customWidth="1"/>
    <col min="23" max="23" width="6.00390625" style="3" customWidth="1"/>
    <col min="24" max="24" width="12.25390625" style="3" customWidth="1"/>
    <col min="25" max="26" width="11.125" style="3" bestFit="1" customWidth="1"/>
    <col min="27" max="27" width="11.125" style="3" customWidth="1"/>
    <col min="28" max="53" width="10.125" style="3" customWidth="1"/>
    <col min="54" max="16384" width="10.00390625" style="3" customWidth="1"/>
  </cols>
  <sheetData>
    <row r="1" spans="1:14" ht="15.75" customHeight="1">
      <c r="A1" s="205" t="s">
        <v>114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0"/>
    </row>
    <row r="2" spans="8:12" ht="12.75">
      <c r="H2" s="2"/>
      <c r="I2" s="2"/>
      <c r="J2" s="2"/>
      <c r="K2" s="2"/>
      <c r="L2" s="2"/>
    </row>
    <row r="3" spans="1:17" ht="12.75">
      <c r="A3" s="205" t="s">
        <v>60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73"/>
      <c r="P3" s="2"/>
      <c r="Q3" s="30"/>
    </row>
    <row r="4" spans="1:17" ht="12.75">
      <c r="A4" s="205" t="s">
        <v>196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106"/>
      <c r="P4" s="2"/>
      <c r="Q4" s="30"/>
    </row>
    <row r="5" ht="13.5" thickBot="1"/>
    <row r="6" spans="1:23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W6" s="1"/>
    </row>
    <row r="7" spans="1:27" ht="12.75">
      <c r="A7" s="7"/>
      <c r="B7" s="7"/>
      <c r="C7" s="7"/>
      <c r="D7" s="7"/>
      <c r="E7" s="7"/>
      <c r="F7" s="7"/>
      <c r="L7" s="6" t="s">
        <v>34</v>
      </c>
      <c r="M7" s="6"/>
      <c r="O7" s="7"/>
      <c r="P7" s="7"/>
      <c r="Q7" s="7"/>
      <c r="T7" s="7"/>
      <c r="U7" s="7"/>
      <c r="V7" s="7"/>
      <c r="W7" s="1"/>
      <c r="X7" s="3" t="s">
        <v>142</v>
      </c>
      <c r="Y7" s="3" t="s">
        <v>142</v>
      </c>
      <c r="Z7" s="3" t="s">
        <v>142</v>
      </c>
      <c r="AA7" s="3" t="s">
        <v>141</v>
      </c>
    </row>
    <row r="8" spans="1:27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7" t="s">
        <v>106</v>
      </c>
      <c r="M8" s="27" t="s">
        <v>107</v>
      </c>
      <c r="O8" s="7"/>
      <c r="P8" s="7"/>
      <c r="Q8" s="7"/>
      <c r="T8" s="7"/>
      <c r="U8" s="7"/>
      <c r="V8" s="7"/>
      <c r="W8" s="1"/>
      <c r="X8" s="3" t="s">
        <v>139</v>
      </c>
      <c r="Y8" s="3" t="s">
        <v>139</v>
      </c>
      <c r="Z8" s="3" t="s">
        <v>139</v>
      </c>
      <c r="AA8" s="3" t="s">
        <v>139</v>
      </c>
    </row>
    <row r="9" spans="1:26" ht="13.5" thickBot="1">
      <c r="A9" s="8" t="s">
        <v>1</v>
      </c>
      <c r="B9" s="36" t="s">
        <v>211</v>
      </c>
      <c r="C9" s="36" t="s">
        <v>212</v>
      </c>
      <c r="D9" s="36" t="s">
        <v>213</v>
      </c>
      <c r="E9" s="36" t="s">
        <v>214</v>
      </c>
      <c r="F9" s="36" t="s">
        <v>215</v>
      </c>
      <c r="G9" s="42" t="s">
        <v>216</v>
      </c>
      <c r="H9" s="42" t="s">
        <v>129</v>
      </c>
      <c r="I9" s="42" t="s">
        <v>130</v>
      </c>
      <c r="J9" s="42" t="s">
        <v>187</v>
      </c>
      <c r="K9" s="42" t="s">
        <v>197</v>
      </c>
      <c r="L9" s="9" t="s">
        <v>105</v>
      </c>
      <c r="M9" s="9" t="s">
        <v>105</v>
      </c>
      <c r="N9" s="10" t="s">
        <v>62</v>
      </c>
      <c r="O9" s="9" t="s">
        <v>36</v>
      </c>
      <c r="P9" s="9" t="s">
        <v>31</v>
      </c>
      <c r="Q9" s="9" t="s">
        <v>81</v>
      </c>
      <c r="R9" s="9" t="s">
        <v>32</v>
      </c>
      <c r="S9" s="9" t="s">
        <v>90</v>
      </c>
      <c r="T9" s="9" t="s">
        <v>85</v>
      </c>
      <c r="U9" s="8" t="s">
        <v>86</v>
      </c>
      <c r="V9" s="8" t="s">
        <v>87</v>
      </c>
      <c r="W9" s="1"/>
      <c r="X9" s="3" t="s">
        <v>137</v>
      </c>
      <c r="Y9" s="3" t="s">
        <v>135</v>
      </c>
      <c r="Z9" s="3" t="s">
        <v>140</v>
      </c>
    </row>
    <row r="10" spans="1:27" ht="13.5" thickTop="1">
      <c r="A10" s="7" t="s">
        <v>5</v>
      </c>
      <c r="B10" s="11">
        <v>392840</v>
      </c>
      <c r="C10" s="11">
        <v>429711</v>
      </c>
      <c r="D10" s="11">
        <v>455042</v>
      </c>
      <c r="E10" s="11">
        <v>497836</v>
      </c>
      <c r="F10" s="11">
        <v>526342</v>
      </c>
      <c r="G10" s="11">
        <v>567346</v>
      </c>
      <c r="H10" s="11">
        <v>600655</v>
      </c>
      <c r="I10" s="11">
        <v>671779</v>
      </c>
      <c r="J10" s="11">
        <f>SUM(J12:J43)</f>
        <v>719684</v>
      </c>
      <c r="K10" s="11">
        <f>SUM(K12:K43)</f>
        <v>771606</v>
      </c>
      <c r="L10" s="91">
        <f>(K10-J10)/J10</f>
        <v>0.072</v>
      </c>
      <c r="M10" s="12">
        <f>(K10-V10)/V10</f>
        <v>1.047</v>
      </c>
      <c r="N10" s="14">
        <f>SUM(O12:O43)</f>
        <v>203118</v>
      </c>
      <c r="O10" s="11">
        <f>SUM(P12:P43)</f>
        <v>222642</v>
      </c>
      <c r="P10" s="11">
        <f>SUM(Q12:Q43)</f>
        <v>248755</v>
      </c>
      <c r="Q10" s="11">
        <f>SUM(Q12:Q39)</f>
        <v>248755</v>
      </c>
      <c r="R10" s="11">
        <f>SUM(R12:R39)</f>
        <v>277909</v>
      </c>
      <c r="S10" s="11">
        <f>SUM(S12:S39)</f>
        <v>307575</v>
      </c>
      <c r="T10" s="11">
        <f>SUM(T12:T39)</f>
        <v>339623</v>
      </c>
      <c r="U10" s="11">
        <f>SUM(U12:U43)</f>
        <v>349122</v>
      </c>
      <c r="V10" s="11">
        <v>376915</v>
      </c>
      <c r="W10" s="1"/>
      <c r="X10" s="11">
        <f>SUM(X12:X43)</f>
        <v>978749561</v>
      </c>
      <c r="Y10" s="11">
        <f>SUM(Y12:Y43)</f>
        <v>3223390</v>
      </c>
      <c r="Z10" s="11">
        <f>SUM(Z12:Z43)</f>
        <v>203920665</v>
      </c>
      <c r="AA10" s="11">
        <f>SUM(AA12:AA39)</f>
        <v>771605505</v>
      </c>
    </row>
    <row r="11" spans="4:23" ht="12.75">
      <c r="D11" s="15"/>
      <c r="E11" s="15"/>
      <c r="F11" s="15"/>
      <c r="G11" s="15"/>
      <c r="L11" s="16"/>
      <c r="M11" s="15"/>
      <c r="O11" s="15"/>
      <c r="R11" s="15"/>
      <c r="S11" s="15"/>
      <c r="W11" s="1"/>
    </row>
    <row r="12" spans="1:28" ht="12.75">
      <c r="A12" s="1" t="s">
        <v>6</v>
      </c>
      <c r="B12" s="15">
        <v>4123</v>
      </c>
      <c r="C12" s="15">
        <v>4517</v>
      </c>
      <c r="D12" s="15">
        <v>5087</v>
      </c>
      <c r="E12" s="15">
        <v>5261</v>
      </c>
      <c r="F12" s="15">
        <v>5960</v>
      </c>
      <c r="G12" s="15">
        <v>7004</v>
      </c>
      <c r="H12" s="1">
        <v>7480</v>
      </c>
      <c r="I12" s="1">
        <v>7928</v>
      </c>
      <c r="J12" s="1">
        <v>8639</v>
      </c>
      <c r="K12" s="1">
        <v>8538</v>
      </c>
      <c r="L12" s="105">
        <f>(K12-J12)*100/J12</f>
        <v>-1.2</v>
      </c>
      <c r="M12" s="17">
        <f>(K12-V12)*100/V12</f>
        <v>123.2</v>
      </c>
      <c r="N12" s="15">
        <v>2090</v>
      </c>
      <c r="O12" s="15">
        <v>2233</v>
      </c>
      <c r="P12" s="15">
        <v>2386</v>
      </c>
      <c r="Q12" s="15">
        <v>2596</v>
      </c>
      <c r="R12" s="15">
        <v>2860</v>
      </c>
      <c r="S12" s="15">
        <v>2958</v>
      </c>
      <c r="T12" s="15">
        <v>3194</v>
      </c>
      <c r="U12" s="15">
        <v>3554</v>
      </c>
      <c r="V12" s="15">
        <v>3826</v>
      </c>
      <c r="W12" s="1"/>
      <c r="X12" s="3">
        <v>10054020</v>
      </c>
      <c r="Y12" s="3">
        <v>48247.11</v>
      </c>
      <c r="Z12" s="181">
        <v>1468133</v>
      </c>
      <c r="AA12" s="3">
        <f>X12-Y12-Z12</f>
        <v>8537640</v>
      </c>
      <c r="AB12" s="3">
        <f>AA12/1000</f>
        <v>8538</v>
      </c>
    </row>
    <row r="13" spans="1:28" ht="12.75">
      <c r="A13" s="1" t="s">
        <v>7</v>
      </c>
      <c r="B13" s="15">
        <v>31701</v>
      </c>
      <c r="C13" s="15">
        <v>34353</v>
      </c>
      <c r="D13" s="15">
        <v>35084</v>
      </c>
      <c r="E13" s="15">
        <v>37363</v>
      </c>
      <c r="F13" s="15">
        <v>37754</v>
      </c>
      <c r="G13" s="15">
        <v>43597</v>
      </c>
      <c r="H13" s="1">
        <v>50243</v>
      </c>
      <c r="I13" s="1">
        <v>56132</v>
      </c>
      <c r="J13" s="1">
        <v>56169</v>
      </c>
      <c r="K13" s="1">
        <v>59347</v>
      </c>
      <c r="L13" s="105">
        <f>(K13-J13)*100/J13</f>
        <v>5.7</v>
      </c>
      <c r="M13" s="17">
        <f>(K13-V13)*100/V13</f>
        <v>97.9</v>
      </c>
      <c r="N13" s="15">
        <v>16227</v>
      </c>
      <c r="O13" s="15">
        <v>16022</v>
      </c>
      <c r="P13" s="15">
        <v>17631</v>
      </c>
      <c r="Q13" s="15">
        <v>19079</v>
      </c>
      <c r="R13" s="15">
        <v>21546</v>
      </c>
      <c r="S13" s="15">
        <v>24252</v>
      </c>
      <c r="T13" s="15">
        <v>27103</v>
      </c>
      <c r="U13" s="15">
        <v>27487</v>
      </c>
      <c r="V13" s="15">
        <v>29985</v>
      </c>
      <c r="W13" s="1"/>
      <c r="X13" s="3">
        <v>76518915</v>
      </c>
      <c r="Y13" s="3">
        <v>391755.14</v>
      </c>
      <c r="Z13" s="103">
        <v>16779698</v>
      </c>
      <c r="AA13" s="3">
        <f>X13-Y13-Z13</f>
        <v>59347462</v>
      </c>
      <c r="AB13" s="3">
        <f>AA13/1000</f>
        <v>59347</v>
      </c>
    </row>
    <row r="14" spans="1:28" ht="12.75">
      <c r="A14" s="1" t="s">
        <v>8</v>
      </c>
      <c r="B14" s="15">
        <v>73827</v>
      </c>
      <c r="C14" s="15">
        <v>84522</v>
      </c>
      <c r="D14" s="15">
        <v>92733</v>
      </c>
      <c r="E14" s="15">
        <v>108011</v>
      </c>
      <c r="F14" s="15">
        <v>109129</v>
      </c>
      <c r="G14" s="15">
        <v>117956</v>
      </c>
      <c r="H14" s="1">
        <v>102569</v>
      </c>
      <c r="I14" s="1">
        <v>130572</v>
      </c>
      <c r="J14" s="1">
        <v>130794</v>
      </c>
      <c r="K14" s="1">
        <v>140272</v>
      </c>
      <c r="L14" s="105">
        <f>(K14-J14)*100/J14</f>
        <v>7.2</v>
      </c>
      <c r="M14" s="17">
        <f>(K14-V14)*100/V14</f>
        <v>91.8</v>
      </c>
      <c r="N14" s="15">
        <v>38171</v>
      </c>
      <c r="O14" s="15">
        <v>44015</v>
      </c>
      <c r="P14" s="15">
        <v>47542</v>
      </c>
      <c r="Q14" s="15">
        <v>53409</v>
      </c>
      <c r="R14" s="15">
        <v>57414</v>
      </c>
      <c r="S14" s="15">
        <v>63820</v>
      </c>
      <c r="T14" s="15">
        <v>69995</v>
      </c>
      <c r="U14" s="15">
        <v>70795</v>
      </c>
      <c r="V14" s="15">
        <v>73123</v>
      </c>
      <c r="W14" s="1"/>
      <c r="X14" s="3">
        <v>186851981</v>
      </c>
      <c r="Y14" s="3">
        <v>406381.9</v>
      </c>
      <c r="Z14" s="103">
        <v>46173731</v>
      </c>
      <c r="AA14" s="3">
        <f>X14-Y14-Z14</f>
        <v>140271868</v>
      </c>
      <c r="AB14" s="3">
        <f>AA14/1000</f>
        <v>140272</v>
      </c>
    </row>
    <row r="15" spans="1:28" ht="12.75">
      <c r="A15" s="1" t="s">
        <v>9</v>
      </c>
      <c r="B15" s="15">
        <v>45879</v>
      </c>
      <c r="C15" s="15">
        <v>48417</v>
      </c>
      <c r="D15" s="15">
        <v>51920</v>
      </c>
      <c r="E15" s="15">
        <v>63197</v>
      </c>
      <c r="F15" s="15">
        <v>65269</v>
      </c>
      <c r="G15" s="15">
        <v>60798</v>
      </c>
      <c r="H15" s="1">
        <v>73547</v>
      </c>
      <c r="I15" s="1">
        <v>78520</v>
      </c>
      <c r="J15" s="1">
        <v>86267</v>
      </c>
      <c r="K15" s="1">
        <v>91097</v>
      </c>
      <c r="L15" s="105">
        <f>(K15-J15)*100/J15</f>
        <v>5.6</v>
      </c>
      <c r="M15" s="17">
        <f>(K15-V15)*100/V15</f>
        <v>80.9</v>
      </c>
      <c r="N15" s="15">
        <v>25379</v>
      </c>
      <c r="O15" s="15">
        <v>24852</v>
      </c>
      <c r="P15" s="15">
        <v>27548</v>
      </c>
      <c r="Q15" s="15">
        <v>29383</v>
      </c>
      <c r="R15" s="15">
        <v>34631</v>
      </c>
      <c r="S15" s="15">
        <v>37668</v>
      </c>
      <c r="T15" s="15">
        <v>40558</v>
      </c>
      <c r="U15" s="15">
        <v>41223</v>
      </c>
      <c r="V15" s="15">
        <v>50368</v>
      </c>
      <c r="W15" s="1"/>
      <c r="X15" s="3">
        <v>119536415</v>
      </c>
      <c r="Y15" s="3">
        <v>439344.36</v>
      </c>
      <c r="Z15" s="103">
        <v>28000070</v>
      </c>
      <c r="AA15" s="3">
        <f>X15-Y15-Z15</f>
        <v>91097001</v>
      </c>
      <c r="AB15" s="3">
        <f>AA15/1000</f>
        <v>91097</v>
      </c>
    </row>
    <row r="16" spans="1:28" ht="12.75">
      <c r="A16" s="1" t="s">
        <v>10</v>
      </c>
      <c r="B16" s="15">
        <v>5316</v>
      </c>
      <c r="C16" s="15">
        <v>5757</v>
      </c>
      <c r="D16" s="15">
        <v>6328</v>
      </c>
      <c r="E16" s="15">
        <v>6759</v>
      </c>
      <c r="F16" s="15">
        <v>7456</v>
      </c>
      <c r="G16" s="15">
        <v>8460</v>
      </c>
      <c r="H16" s="1">
        <v>9506</v>
      </c>
      <c r="I16" s="1">
        <v>10131</v>
      </c>
      <c r="J16" s="1">
        <v>11601</v>
      </c>
      <c r="K16" s="1">
        <v>13034</v>
      </c>
      <c r="L16" s="105">
        <f>(K16-J16)*100/J16</f>
        <v>12.4</v>
      </c>
      <c r="M16" s="17">
        <f>(K16-V16)*100/V16</f>
        <v>181.9</v>
      </c>
      <c r="N16" s="15">
        <v>2119</v>
      </c>
      <c r="O16" s="15">
        <v>2143</v>
      </c>
      <c r="P16" s="15">
        <v>2337</v>
      </c>
      <c r="Q16" s="15">
        <v>2490</v>
      </c>
      <c r="R16" s="15">
        <v>2718</v>
      </c>
      <c r="S16" s="15">
        <v>3302</v>
      </c>
      <c r="T16" s="15">
        <v>3735</v>
      </c>
      <c r="U16" s="15">
        <v>4502</v>
      </c>
      <c r="V16" s="15">
        <v>4623</v>
      </c>
      <c r="W16" s="1"/>
      <c r="X16" s="3">
        <v>15332898</v>
      </c>
      <c r="Y16" s="3">
        <v>56627.08</v>
      </c>
      <c r="Z16" s="103">
        <v>2241887.14</v>
      </c>
      <c r="AA16" s="3">
        <f>X16-Y16-Z16</f>
        <v>13034384</v>
      </c>
      <c r="AB16" s="3">
        <f>AA16/1000</f>
        <v>13034</v>
      </c>
    </row>
    <row r="17" spans="2:26" ht="12.75">
      <c r="B17" s="15"/>
      <c r="C17" s="15"/>
      <c r="D17" s="15"/>
      <c r="E17" s="15"/>
      <c r="F17" s="15"/>
      <c r="G17" s="15"/>
      <c r="L17" s="16"/>
      <c r="M17" s="17"/>
      <c r="N17" s="15"/>
      <c r="P17" s="15"/>
      <c r="Q17" s="15"/>
      <c r="R17" s="15"/>
      <c r="S17" s="15"/>
      <c r="T17" s="15"/>
      <c r="U17" s="15"/>
      <c r="V17" s="15"/>
      <c r="W17" s="1"/>
      <c r="Z17" s="103"/>
    </row>
    <row r="18" spans="1:28" ht="12.75">
      <c r="A18" s="1" t="s">
        <v>11</v>
      </c>
      <c r="B18" s="15">
        <v>1730</v>
      </c>
      <c r="C18" s="15">
        <v>1923</v>
      </c>
      <c r="D18" s="15">
        <v>2103</v>
      </c>
      <c r="E18" s="15">
        <v>2182</v>
      </c>
      <c r="F18" s="15">
        <v>2351</v>
      </c>
      <c r="G18" s="15">
        <v>2573</v>
      </c>
      <c r="H18" s="1">
        <v>2851</v>
      </c>
      <c r="I18" s="1">
        <v>2920</v>
      </c>
      <c r="J18" s="1">
        <v>3124</v>
      </c>
      <c r="K18" s="1">
        <v>3492</v>
      </c>
      <c r="L18" s="105">
        <f>(K18-J18)*100/J18</f>
        <v>11.8</v>
      </c>
      <c r="M18" s="17">
        <f>(K18-V18)*100/V18</f>
        <v>127.9</v>
      </c>
      <c r="N18" s="15">
        <v>833</v>
      </c>
      <c r="O18" s="15">
        <v>751</v>
      </c>
      <c r="P18" s="15">
        <v>884</v>
      </c>
      <c r="Q18" s="15">
        <v>972</v>
      </c>
      <c r="R18" s="15">
        <v>1083</v>
      </c>
      <c r="S18" s="15">
        <v>1229</v>
      </c>
      <c r="T18" s="15">
        <v>1318</v>
      </c>
      <c r="U18" s="15">
        <v>1451</v>
      </c>
      <c r="V18" s="15">
        <v>1532</v>
      </c>
      <c r="W18" s="1"/>
      <c r="X18" s="3">
        <v>3862665.11</v>
      </c>
      <c r="Y18" s="3">
        <v>32503.77</v>
      </c>
      <c r="Z18" s="103">
        <v>338090.18</v>
      </c>
      <c r="AA18" s="3">
        <f>X18-Y18-Z18</f>
        <v>3492071</v>
      </c>
      <c r="AB18" s="3">
        <f>AA18/1000</f>
        <v>3492</v>
      </c>
    </row>
    <row r="19" spans="1:28" ht="12.75">
      <c r="A19" s="1" t="s">
        <v>12</v>
      </c>
      <c r="B19" s="15">
        <v>8803</v>
      </c>
      <c r="C19" s="15">
        <v>9821</v>
      </c>
      <c r="D19" s="15">
        <v>10719</v>
      </c>
      <c r="E19" s="15">
        <v>11035</v>
      </c>
      <c r="F19" s="15">
        <v>12135</v>
      </c>
      <c r="G19" s="15">
        <v>13744</v>
      </c>
      <c r="H19" s="1">
        <v>14818</v>
      </c>
      <c r="I19" s="1">
        <v>16127</v>
      </c>
      <c r="J19" s="1">
        <v>17485</v>
      </c>
      <c r="K19" s="1">
        <v>18674</v>
      </c>
      <c r="L19" s="105">
        <f>(K19-J19)*100/J19</f>
        <v>6.8</v>
      </c>
      <c r="M19" s="17">
        <f>(K19-V19)*100/V19</f>
        <v>120.3</v>
      </c>
      <c r="N19" s="15">
        <v>3815</v>
      </c>
      <c r="O19" s="15">
        <v>3771</v>
      </c>
      <c r="P19" s="15">
        <v>4310</v>
      </c>
      <c r="Q19" s="15">
        <v>4866</v>
      </c>
      <c r="R19" s="15">
        <v>5607</v>
      </c>
      <c r="S19" s="15">
        <v>6252</v>
      </c>
      <c r="T19" s="15">
        <v>6868</v>
      </c>
      <c r="U19" s="15">
        <v>7602</v>
      </c>
      <c r="V19" s="15">
        <v>8476</v>
      </c>
      <c r="W19" s="1"/>
      <c r="X19" s="3">
        <v>24095427</v>
      </c>
      <c r="Y19" s="3">
        <v>149918.89</v>
      </c>
      <c r="Z19" s="103">
        <v>5271942.49</v>
      </c>
      <c r="AA19" s="3">
        <f>X19-Y19-Z19</f>
        <v>18673566</v>
      </c>
      <c r="AB19" s="3">
        <f>AA19/1000</f>
        <v>18674</v>
      </c>
    </row>
    <row r="20" spans="1:28" ht="12.75">
      <c r="A20" s="1" t="s">
        <v>13</v>
      </c>
      <c r="B20" s="15">
        <v>6063</v>
      </c>
      <c r="C20" s="15">
        <v>6622</v>
      </c>
      <c r="D20" s="15">
        <v>7154</v>
      </c>
      <c r="E20" s="15">
        <v>7518</v>
      </c>
      <c r="F20" s="15">
        <v>8046</v>
      </c>
      <c r="G20" s="15">
        <v>9143</v>
      </c>
      <c r="H20" s="1">
        <v>9914</v>
      </c>
      <c r="I20" s="1">
        <v>10894</v>
      </c>
      <c r="J20" s="1">
        <v>12051</v>
      </c>
      <c r="K20" s="1">
        <v>12932</v>
      </c>
      <c r="L20" s="105">
        <f>(K20-J20)*100/J20</f>
        <v>7.3</v>
      </c>
      <c r="M20" s="17">
        <f>(K20-V20)*100/V20</f>
        <v>137.2</v>
      </c>
      <c r="N20" s="15">
        <v>2348</v>
      </c>
      <c r="O20" s="15">
        <v>2486</v>
      </c>
      <c r="P20" s="15">
        <v>2731</v>
      </c>
      <c r="Q20" s="15">
        <v>3349</v>
      </c>
      <c r="R20" s="15">
        <v>3702</v>
      </c>
      <c r="S20" s="15">
        <v>4382</v>
      </c>
      <c r="T20" s="15">
        <v>4729</v>
      </c>
      <c r="U20" s="15">
        <v>4991</v>
      </c>
      <c r="V20" s="15">
        <v>5452</v>
      </c>
      <c r="W20" s="1"/>
      <c r="X20" s="3">
        <v>15151059</v>
      </c>
      <c r="Y20" s="3">
        <v>221709.98</v>
      </c>
      <c r="Z20" s="103">
        <v>1996941.53</v>
      </c>
      <c r="AA20" s="3">
        <f>X20-Y20-Z20</f>
        <v>12932407</v>
      </c>
      <c r="AB20" s="3">
        <f>AA20/1000</f>
        <v>12932</v>
      </c>
    </row>
    <row r="21" spans="1:28" ht="12.75">
      <c r="A21" s="1" t="s">
        <v>14</v>
      </c>
      <c r="B21" s="15">
        <v>9675</v>
      </c>
      <c r="C21" s="15">
        <v>10183</v>
      </c>
      <c r="D21" s="15">
        <v>9847</v>
      </c>
      <c r="E21" s="15">
        <v>10035</v>
      </c>
      <c r="F21" s="15">
        <v>10903</v>
      </c>
      <c r="G21" s="15">
        <v>11852</v>
      </c>
      <c r="H21" s="1">
        <v>13117</v>
      </c>
      <c r="I21" s="1">
        <v>13986</v>
      </c>
      <c r="J21" s="1">
        <v>15176</v>
      </c>
      <c r="K21" s="1">
        <v>16613</v>
      </c>
      <c r="L21" s="105">
        <f>(K21-J21)*100/J21</f>
        <v>9.5</v>
      </c>
      <c r="M21" s="17">
        <f>(K21-V21)*100/V21</f>
        <v>80.6</v>
      </c>
      <c r="N21" s="15">
        <v>4413</v>
      </c>
      <c r="O21" s="15">
        <v>4646</v>
      </c>
      <c r="P21" s="15">
        <v>5140</v>
      </c>
      <c r="Q21" s="15">
        <v>5593</v>
      </c>
      <c r="R21" s="15">
        <v>6183</v>
      </c>
      <c r="S21" s="15">
        <v>6934</v>
      </c>
      <c r="T21" s="15">
        <v>7950</v>
      </c>
      <c r="U21" s="15">
        <v>8476</v>
      </c>
      <c r="V21" s="15">
        <v>9200</v>
      </c>
      <c r="W21" s="1"/>
      <c r="X21" s="3">
        <v>19107735</v>
      </c>
      <c r="Y21" s="3">
        <v>41218.94</v>
      </c>
      <c r="Z21" s="103">
        <v>2453526.58</v>
      </c>
      <c r="AA21" s="3">
        <f>X21-Y21-Z21</f>
        <v>16612989</v>
      </c>
      <c r="AB21" s="3">
        <f>AA21/1000</f>
        <v>16613</v>
      </c>
    </row>
    <row r="22" spans="1:28" ht="12.75">
      <c r="A22" s="1" t="s">
        <v>15</v>
      </c>
      <c r="B22" s="15">
        <v>2156</v>
      </c>
      <c r="C22" s="15">
        <v>2275</v>
      </c>
      <c r="D22" s="15">
        <v>2453</v>
      </c>
      <c r="E22" s="15">
        <v>2656</v>
      </c>
      <c r="F22" s="15">
        <v>2630</v>
      </c>
      <c r="G22" s="15">
        <v>2660</v>
      </c>
      <c r="H22" s="1">
        <v>2655</v>
      </c>
      <c r="I22" s="1">
        <v>3063</v>
      </c>
      <c r="J22" s="1">
        <v>2944</v>
      </c>
      <c r="K22" s="1">
        <v>3383</v>
      </c>
      <c r="L22" s="105">
        <f>(K22-J22)*100/J22</f>
        <v>14.9</v>
      </c>
      <c r="M22" s="17">
        <f>(K22-V22)*100/V22</f>
        <v>72.6</v>
      </c>
      <c r="N22" s="15">
        <v>1058</v>
      </c>
      <c r="O22" s="15">
        <v>1039</v>
      </c>
      <c r="P22" s="15">
        <v>1149</v>
      </c>
      <c r="Q22" s="15">
        <v>1296</v>
      </c>
      <c r="R22" s="15">
        <v>1511</v>
      </c>
      <c r="S22" s="15">
        <v>1717</v>
      </c>
      <c r="T22" s="15">
        <v>1811</v>
      </c>
      <c r="U22" s="15">
        <v>1846</v>
      </c>
      <c r="V22" s="15">
        <v>1960</v>
      </c>
      <c r="W22" s="1"/>
      <c r="X22" s="3">
        <v>3472758.11</v>
      </c>
      <c r="Y22" s="3">
        <v>89976.9</v>
      </c>
      <c r="Z22" s="103">
        <v>0</v>
      </c>
      <c r="AA22" s="3">
        <f>X22-Y22-Z22</f>
        <v>3382781</v>
      </c>
      <c r="AB22" s="3">
        <f>AA22/1000</f>
        <v>3383</v>
      </c>
    </row>
    <row r="23" spans="2:26" ht="12.75">
      <c r="B23" s="15"/>
      <c r="C23" s="15"/>
      <c r="D23" s="15"/>
      <c r="E23" s="15"/>
      <c r="F23" s="15"/>
      <c r="G23" s="15"/>
      <c r="L23" s="16"/>
      <c r="M23" s="17"/>
      <c r="N23" s="15"/>
      <c r="P23" s="15"/>
      <c r="Q23" s="15"/>
      <c r="R23" s="15"/>
      <c r="S23" s="15"/>
      <c r="T23" s="15"/>
      <c r="U23" s="15"/>
      <c r="V23" s="15"/>
      <c r="W23" s="1"/>
      <c r="Z23" s="103"/>
    </row>
    <row r="24" spans="1:28" ht="12.75">
      <c r="A24" s="1" t="s">
        <v>16</v>
      </c>
      <c r="B24" s="15">
        <v>11429</v>
      </c>
      <c r="C24" s="15">
        <v>12814</v>
      </c>
      <c r="D24" s="15">
        <v>13466</v>
      </c>
      <c r="E24" s="15">
        <v>14021</v>
      </c>
      <c r="F24" s="15">
        <v>14858</v>
      </c>
      <c r="G24" s="15">
        <v>16115</v>
      </c>
      <c r="H24" s="1">
        <v>17517</v>
      </c>
      <c r="I24" s="1">
        <v>18572</v>
      </c>
      <c r="J24" s="1">
        <v>21129</v>
      </c>
      <c r="K24" s="1">
        <v>22231</v>
      </c>
      <c r="L24" s="105">
        <f>(K24-J24)*100/J24</f>
        <v>5.2</v>
      </c>
      <c r="M24" s="17">
        <f>(K24-V24)*100/V24</f>
        <v>119</v>
      </c>
      <c r="N24" s="15">
        <v>4233</v>
      </c>
      <c r="O24" s="15">
        <v>4298</v>
      </c>
      <c r="P24" s="15">
        <v>4746</v>
      </c>
      <c r="Q24" s="15">
        <v>5306</v>
      </c>
      <c r="R24" s="15">
        <v>6563</v>
      </c>
      <c r="S24" s="15">
        <v>7771</v>
      </c>
      <c r="T24" s="15">
        <v>8814</v>
      </c>
      <c r="U24" s="15">
        <v>9353</v>
      </c>
      <c r="V24" s="15">
        <v>10151</v>
      </c>
      <c r="W24" s="1"/>
      <c r="X24" s="3">
        <v>25063912</v>
      </c>
      <c r="Y24" s="3">
        <v>203310.74</v>
      </c>
      <c r="Z24" s="103">
        <v>2629812.05</v>
      </c>
      <c r="AA24" s="3">
        <f>X24-Y24-Z24</f>
        <v>22230789</v>
      </c>
      <c r="AB24" s="3">
        <f>AA24/1000</f>
        <v>22231</v>
      </c>
    </row>
    <row r="25" spans="1:28" ht="12.75">
      <c r="A25" s="1" t="s">
        <v>17</v>
      </c>
      <c r="B25" s="15">
        <v>2039</v>
      </c>
      <c r="C25" s="15">
        <v>2162</v>
      </c>
      <c r="D25" s="15">
        <v>2167</v>
      </c>
      <c r="E25" s="15">
        <v>2289</v>
      </c>
      <c r="F25" s="15">
        <v>2460</v>
      </c>
      <c r="G25" s="15">
        <v>2579</v>
      </c>
      <c r="H25" s="1">
        <v>2563</v>
      </c>
      <c r="I25" s="1">
        <v>2677</v>
      </c>
      <c r="J25" s="1">
        <v>2862</v>
      </c>
      <c r="K25" s="1">
        <v>2931</v>
      </c>
      <c r="L25" s="105">
        <f>(K25-J25)*100/J25</f>
        <v>2.4</v>
      </c>
      <c r="M25" s="17">
        <f>(K25-V25)*100/V25</f>
        <v>58.8</v>
      </c>
      <c r="N25" s="15">
        <v>995</v>
      </c>
      <c r="O25" s="15">
        <v>1045</v>
      </c>
      <c r="P25" s="15">
        <v>1276</v>
      </c>
      <c r="Q25" s="15">
        <v>1406</v>
      </c>
      <c r="R25" s="15">
        <v>1626</v>
      </c>
      <c r="S25" s="15">
        <v>1707</v>
      </c>
      <c r="T25" s="15">
        <v>1781</v>
      </c>
      <c r="U25" s="15">
        <v>1775</v>
      </c>
      <c r="V25" s="15">
        <v>1846</v>
      </c>
      <c r="W25" s="1"/>
      <c r="X25" s="3">
        <v>3090667.63</v>
      </c>
      <c r="Y25" s="3">
        <v>12318.4</v>
      </c>
      <c r="Z25" s="103">
        <v>147840.74</v>
      </c>
      <c r="AA25" s="3">
        <f>X25-Y25-Z25</f>
        <v>2930508</v>
      </c>
      <c r="AB25" s="3">
        <f>AA25/1000</f>
        <v>2931</v>
      </c>
    </row>
    <row r="26" spans="1:28" ht="12.75">
      <c r="A26" s="1" t="s">
        <v>18</v>
      </c>
      <c r="B26" s="15">
        <v>12030</v>
      </c>
      <c r="C26" s="15">
        <v>13951</v>
      </c>
      <c r="D26" s="15">
        <v>14821</v>
      </c>
      <c r="E26" s="15">
        <v>15918</v>
      </c>
      <c r="F26" s="15">
        <v>17303</v>
      </c>
      <c r="G26" s="15">
        <v>17898</v>
      </c>
      <c r="H26" s="1">
        <v>19645</v>
      </c>
      <c r="I26" s="1">
        <v>21363</v>
      </c>
      <c r="J26" s="1">
        <v>23806</v>
      </c>
      <c r="K26" s="1">
        <v>24120</v>
      </c>
      <c r="L26" s="105">
        <f>(K26-J26)*100/J26</f>
        <v>1.3</v>
      </c>
      <c r="M26" s="17">
        <f>(K26-V26)*100/V26</f>
        <v>131</v>
      </c>
      <c r="N26" s="15">
        <v>4614</v>
      </c>
      <c r="O26" s="15">
        <v>4704</v>
      </c>
      <c r="P26" s="15">
        <v>5343</v>
      </c>
      <c r="Q26" s="15">
        <v>5979</v>
      </c>
      <c r="R26" s="15">
        <v>6927</v>
      </c>
      <c r="S26" s="15">
        <v>7707</v>
      </c>
      <c r="T26" s="15">
        <v>8932</v>
      </c>
      <c r="U26" s="15">
        <v>9621</v>
      </c>
      <c r="V26" s="15">
        <v>10440</v>
      </c>
      <c r="W26" s="1"/>
      <c r="X26" s="3">
        <v>29993847</v>
      </c>
      <c r="Y26" s="3">
        <v>202079.29</v>
      </c>
      <c r="Z26" s="103">
        <v>5671475</v>
      </c>
      <c r="AA26" s="3">
        <f>X26-Y26-Z26</f>
        <v>24120293</v>
      </c>
      <c r="AB26" s="3">
        <f>AA26/1000</f>
        <v>24120</v>
      </c>
    </row>
    <row r="27" spans="1:28" ht="12.75">
      <c r="A27" s="1" t="s">
        <v>19</v>
      </c>
      <c r="B27" s="15">
        <v>18682</v>
      </c>
      <c r="C27" s="15">
        <v>20517</v>
      </c>
      <c r="D27" s="15">
        <v>22237</v>
      </c>
      <c r="E27" s="15">
        <v>23576</v>
      </c>
      <c r="F27" s="15">
        <v>25977</v>
      </c>
      <c r="G27" s="15">
        <v>28449</v>
      </c>
      <c r="H27" s="1">
        <v>35578</v>
      </c>
      <c r="I27" s="1">
        <v>39298</v>
      </c>
      <c r="J27" s="1">
        <v>44978</v>
      </c>
      <c r="K27" s="1">
        <v>51812</v>
      </c>
      <c r="L27" s="105">
        <f>(K27-J27)*100/J27</f>
        <v>15.2</v>
      </c>
      <c r="M27" s="17">
        <f>(K27-V27)*100/V27</f>
        <v>210.5</v>
      </c>
      <c r="N27" s="15">
        <v>7187</v>
      </c>
      <c r="O27" s="15">
        <v>6957</v>
      </c>
      <c r="P27" s="15">
        <v>8121</v>
      </c>
      <c r="Q27" s="15">
        <v>9202</v>
      </c>
      <c r="R27" s="15">
        <v>10972</v>
      </c>
      <c r="S27" s="15">
        <v>12786</v>
      </c>
      <c r="T27" s="15">
        <v>15245</v>
      </c>
      <c r="U27" s="15">
        <v>15876</v>
      </c>
      <c r="V27" s="15">
        <v>16684</v>
      </c>
      <c r="W27" s="1"/>
      <c r="X27" s="3">
        <v>59537211</v>
      </c>
      <c r="Y27" s="3">
        <v>184313.11</v>
      </c>
      <c r="Z27" s="103">
        <v>7540486</v>
      </c>
      <c r="AA27" s="3">
        <f>X27-Y27-Z27</f>
        <v>51812412</v>
      </c>
      <c r="AB27" s="3">
        <f>AA27/1000</f>
        <v>51812</v>
      </c>
    </row>
    <row r="28" spans="1:28" ht="12.75">
      <c r="A28" s="1" t="s">
        <v>20</v>
      </c>
      <c r="B28" s="15">
        <v>1162</v>
      </c>
      <c r="C28" s="15">
        <v>1289</v>
      </c>
      <c r="D28" s="15">
        <v>1337</v>
      </c>
      <c r="E28" s="15">
        <v>1386</v>
      </c>
      <c r="F28" s="15">
        <v>1653</v>
      </c>
      <c r="G28" s="15">
        <v>1505</v>
      </c>
      <c r="H28" s="1">
        <v>1643</v>
      </c>
      <c r="I28" s="1">
        <v>1850</v>
      </c>
      <c r="J28" s="1">
        <v>1981</v>
      </c>
      <c r="K28" s="1">
        <v>2206</v>
      </c>
      <c r="L28" s="105">
        <f>(K28-J28)*100/J28</f>
        <v>11.4</v>
      </c>
      <c r="M28" s="17">
        <f>(K28-V28)*100/V28</f>
        <v>101.1</v>
      </c>
      <c r="N28" s="15">
        <v>576</v>
      </c>
      <c r="O28" s="15">
        <v>625</v>
      </c>
      <c r="P28" s="15">
        <v>717</v>
      </c>
      <c r="Q28" s="15">
        <v>772</v>
      </c>
      <c r="R28" s="15">
        <v>841</v>
      </c>
      <c r="S28" s="15">
        <v>904</v>
      </c>
      <c r="T28" s="15">
        <v>1002</v>
      </c>
      <c r="U28" s="15">
        <v>970</v>
      </c>
      <c r="V28" s="15">
        <v>1097</v>
      </c>
      <c r="W28" s="1"/>
      <c r="X28" s="3">
        <v>2298989.71</v>
      </c>
      <c r="Y28" s="3">
        <v>27384.35</v>
      </c>
      <c r="Z28" s="103">
        <v>65223</v>
      </c>
      <c r="AA28" s="3">
        <f>X28-Y28-Z28</f>
        <v>2206382</v>
      </c>
      <c r="AB28" s="3">
        <f>AA28/1000</f>
        <v>2206</v>
      </c>
    </row>
    <row r="29" spans="2:26" ht="12.75">
      <c r="B29" s="15"/>
      <c r="C29" s="15"/>
      <c r="D29" s="15"/>
      <c r="E29" s="15"/>
      <c r="F29" s="15"/>
      <c r="G29" s="15"/>
      <c r="L29" s="16"/>
      <c r="M29" s="17"/>
      <c r="N29" s="15"/>
      <c r="O29" s="15"/>
      <c r="P29" s="15"/>
      <c r="Q29" s="15"/>
      <c r="R29" s="15"/>
      <c r="S29" s="15"/>
      <c r="T29" s="15"/>
      <c r="U29" s="15"/>
      <c r="V29" s="15"/>
      <c r="W29" s="1"/>
      <c r="Z29" s="103"/>
    </row>
    <row r="30" spans="1:28" ht="12.75">
      <c r="A30" s="1" t="s">
        <v>21</v>
      </c>
      <c r="B30" s="15">
        <v>70805</v>
      </c>
      <c r="C30" s="15">
        <v>76286</v>
      </c>
      <c r="D30" s="15">
        <v>79832</v>
      </c>
      <c r="E30" s="15">
        <v>84710</v>
      </c>
      <c r="F30" s="15">
        <v>93711</v>
      </c>
      <c r="G30" s="15">
        <v>103122</v>
      </c>
      <c r="H30" s="1">
        <v>109753</v>
      </c>
      <c r="I30" s="1">
        <v>120506</v>
      </c>
      <c r="J30" s="1">
        <v>130693</v>
      </c>
      <c r="K30" s="1">
        <v>140568</v>
      </c>
      <c r="L30" s="105">
        <f>(K30-J30)*100/J30</f>
        <v>7.6</v>
      </c>
      <c r="M30" s="17">
        <f>(K30-V30)*100/V30</f>
        <v>111.2</v>
      </c>
      <c r="N30" s="15">
        <v>41206</v>
      </c>
      <c r="O30" s="15">
        <v>38568</v>
      </c>
      <c r="P30" s="15">
        <v>41858</v>
      </c>
      <c r="Q30" s="15">
        <v>47379</v>
      </c>
      <c r="R30" s="15">
        <v>51935</v>
      </c>
      <c r="S30" s="15">
        <v>57575</v>
      </c>
      <c r="T30" s="15">
        <v>63257</v>
      </c>
      <c r="U30" s="15">
        <v>64542</v>
      </c>
      <c r="V30" s="15">
        <v>66567</v>
      </c>
      <c r="W30" s="1"/>
      <c r="X30" s="3">
        <v>170429775</v>
      </c>
      <c r="Y30" s="3">
        <v>188456.29</v>
      </c>
      <c r="Z30" s="103">
        <v>29673573</v>
      </c>
      <c r="AA30" s="3">
        <f>X30-Y30-Z30</f>
        <v>140567746</v>
      </c>
      <c r="AB30" s="3">
        <f>AA30/1000</f>
        <v>140568</v>
      </c>
    </row>
    <row r="31" spans="1:28" ht="12.75">
      <c r="A31" s="1" t="s">
        <v>22</v>
      </c>
      <c r="B31" s="15">
        <v>60467</v>
      </c>
      <c r="C31" s="15">
        <v>65650</v>
      </c>
      <c r="D31" s="15">
        <v>67823</v>
      </c>
      <c r="E31" s="15">
        <v>70093</v>
      </c>
      <c r="F31" s="15">
        <v>75130</v>
      </c>
      <c r="G31" s="15">
        <v>81906</v>
      </c>
      <c r="H31" s="1">
        <v>86529</v>
      </c>
      <c r="I31" s="1">
        <v>93259</v>
      </c>
      <c r="J31" s="1">
        <v>101191</v>
      </c>
      <c r="K31" s="1">
        <v>108284</v>
      </c>
      <c r="L31" s="105">
        <f>(K31-J31)*100/J31</f>
        <v>7</v>
      </c>
      <c r="M31" s="17">
        <f>(K31-V31)*100/V31</f>
        <v>92.7</v>
      </c>
      <c r="N31" s="15">
        <v>32147</v>
      </c>
      <c r="O31" s="15">
        <v>31320</v>
      </c>
      <c r="P31" s="15">
        <v>34223</v>
      </c>
      <c r="Q31" s="15">
        <v>38782</v>
      </c>
      <c r="R31" s="15">
        <v>43033</v>
      </c>
      <c r="S31" s="15">
        <v>45925</v>
      </c>
      <c r="T31" s="15">
        <v>50300</v>
      </c>
      <c r="U31" s="15">
        <v>50951</v>
      </c>
      <c r="V31" s="15">
        <v>56192</v>
      </c>
      <c r="W31" s="1"/>
      <c r="X31" s="3">
        <v>155716090</v>
      </c>
      <c r="Y31" s="3">
        <v>247407.6</v>
      </c>
      <c r="Z31" s="103">
        <v>47184734</v>
      </c>
      <c r="AA31" s="3">
        <f>X31-Y31-Z31</f>
        <v>108283948</v>
      </c>
      <c r="AB31" s="3">
        <f>AA31/1000</f>
        <v>108284</v>
      </c>
    </row>
    <row r="32" spans="1:28" ht="12.75">
      <c r="A32" s="1" t="s">
        <v>23</v>
      </c>
      <c r="B32" s="15">
        <v>2463</v>
      </c>
      <c r="C32" s="15">
        <v>2492</v>
      </c>
      <c r="D32" s="15">
        <v>2685</v>
      </c>
      <c r="E32" s="15">
        <v>2921</v>
      </c>
      <c r="F32" s="15">
        <v>3093</v>
      </c>
      <c r="G32" s="15">
        <v>3590</v>
      </c>
      <c r="H32" s="1">
        <v>3791</v>
      </c>
      <c r="I32" s="1">
        <v>4206</v>
      </c>
      <c r="J32" s="1">
        <v>4774</v>
      </c>
      <c r="K32" s="1">
        <v>5165</v>
      </c>
      <c r="L32" s="105">
        <f>(K32-J32)*100/J32</f>
        <v>8.2</v>
      </c>
      <c r="M32" s="17">
        <f>(K32-V32)*100/V32</f>
        <v>120.4</v>
      </c>
      <c r="N32" s="15">
        <v>918</v>
      </c>
      <c r="O32" s="15">
        <v>1130</v>
      </c>
      <c r="P32" s="15">
        <v>1451</v>
      </c>
      <c r="Q32" s="15">
        <v>1574</v>
      </c>
      <c r="R32" s="15">
        <v>1454</v>
      </c>
      <c r="S32" s="15">
        <v>1602</v>
      </c>
      <c r="T32" s="15">
        <v>1863</v>
      </c>
      <c r="U32" s="15">
        <v>1895</v>
      </c>
      <c r="V32" s="15">
        <v>2343</v>
      </c>
      <c r="W32" s="1"/>
      <c r="X32" s="3">
        <v>5770395</v>
      </c>
      <c r="Y32" s="3">
        <v>94787.89</v>
      </c>
      <c r="Z32" s="103">
        <v>510747.9</v>
      </c>
      <c r="AA32" s="3">
        <f>X32-Y32-Z32</f>
        <v>5164859</v>
      </c>
      <c r="AB32" s="3">
        <f>AA32/1000</f>
        <v>5165</v>
      </c>
    </row>
    <row r="33" spans="1:28" ht="12.75">
      <c r="A33" s="1" t="s">
        <v>24</v>
      </c>
      <c r="B33" s="15">
        <v>6222</v>
      </c>
      <c r="C33" s="15">
        <v>6568</v>
      </c>
      <c r="D33" s="15">
        <v>6891</v>
      </c>
      <c r="E33" s="15">
        <v>7410</v>
      </c>
      <c r="F33" s="15">
        <v>8050</v>
      </c>
      <c r="G33" s="15">
        <v>9129</v>
      </c>
      <c r="H33" s="1">
        <v>9729</v>
      </c>
      <c r="I33" s="1">
        <v>10405</v>
      </c>
      <c r="J33" s="1">
        <v>11463</v>
      </c>
      <c r="K33" s="1">
        <v>12344</v>
      </c>
      <c r="L33" s="105">
        <f>(K33-J33)*100/J33</f>
        <v>7.7</v>
      </c>
      <c r="M33" s="17">
        <f>(K33-V33)*100/V33</f>
        <v>104.8</v>
      </c>
      <c r="N33" s="15">
        <v>2918</v>
      </c>
      <c r="O33" s="15">
        <v>3758</v>
      </c>
      <c r="P33" s="15">
        <v>3773</v>
      </c>
      <c r="Q33" s="15">
        <v>4201</v>
      </c>
      <c r="R33" s="15">
        <v>4643</v>
      </c>
      <c r="S33" s="15">
        <v>4977</v>
      </c>
      <c r="T33" s="15">
        <v>5540</v>
      </c>
      <c r="U33" s="15">
        <v>5831</v>
      </c>
      <c r="V33" s="15">
        <v>6027</v>
      </c>
      <c r="W33" s="1"/>
      <c r="X33" s="3">
        <v>13846141</v>
      </c>
      <c r="Y33" s="3">
        <v>14903.1</v>
      </c>
      <c r="Z33" s="103">
        <v>1487632.99</v>
      </c>
      <c r="AA33" s="3">
        <f>X33-Y33-Z33</f>
        <v>12343605</v>
      </c>
      <c r="AB33" s="3">
        <f>AA33/1000</f>
        <v>12344</v>
      </c>
    </row>
    <row r="34" spans="1:28" ht="12.75">
      <c r="A34" s="1" t="s">
        <v>25</v>
      </c>
      <c r="B34" s="15">
        <v>1541</v>
      </c>
      <c r="C34" s="15">
        <v>1523</v>
      </c>
      <c r="D34" s="15">
        <v>1572</v>
      </c>
      <c r="E34" s="15">
        <v>1532</v>
      </c>
      <c r="F34" s="15">
        <v>1505</v>
      </c>
      <c r="G34" s="15">
        <v>1684</v>
      </c>
      <c r="H34" s="1">
        <v>1761</v>
      </c>
      <c r="I34" s="1">
        <v>1844</v>
      </c>
      <c r="J34" s="1">
        <v>2036</v>
      </c>
      <c r="K34" s="1">
        <v>2234</v>
      </c>
      <c r="L34" s="105">
        <f>(K34-J34)*100/J34</f>
        <v>9.7</v>
      </c>
      <c r="M34" s="17">
        <f>(K34-V34)*100/V34</f>
        <v>52.8</v>
      </c>
      <c r="N34" s="15">
        <v>650</v>
      </c>
      <c r="O34" s="15">
        <v>742</v>
      </c>
      <c r="P34" s="15">
        <v>802</v>
      </c>
      <c r="Q34" s="15">
        <v>964</v>
      </c>
      <c r="R34" s="15">
        <v>1091</v>
      </c>
      <c r="S34" s="15">
        <v>1232</v>
      </c>
      <c r="T34" s="15">
        <v>1349</v>
      </c>
      <c r="U34" s="15">
        <v>1365</v>
      </c>
      <c r="V34" s="15">
        <v>1462</v>
      </c>
      <c r="W34" s="1"/>
      <c r="X34" s="3">
        <v>2378614.2</v>
      </c>
      <c r="Y34" s="3">
        <v>15872.03</v>
      </c>
      <c r="Z34" s="103">
        <v>128346.6</v>
      </c>
      <c r="AA34" s="3">
        <f>X34-Y34-Z34</f>
        <v>2234396</v>
      </c>
      <c r="AB34" s="3">
        <f>AA34/1000</f>
        <v>2234</v>
      </c>
    </row>
    <row r="35" spans="2:26" ht="12.75">
      <c r="B35" s="15"/>
      <c r="C35" s="15"/>
      <c r="D35" s="15"/>
      <c r="E35" s="15"/>
      <c r="F35" s="15"/>
      <c r="G35" s="15"/>
      <c r="L35" s="16"/>
      <c r="M35" s="17"/>
      <c r="O35" s="15"/>
      <c r="P35" s="15"/>
      <c r="R35" s="15"/>
      <c r="S35" s="15"/>
      <c r="T35" s="15"/>
      <c r="U35" s="15"/>
      <c r="V35" s="15"/>
      <c r="W35" s="1"/>
      <c r="Z35" s="103"/>
    </row>
    <row r="36" spans="1:28" ht="12.75">
      <c r="A36" s="1" t="s">
        <v>26</v>
      </c>
      <c r="B36" s="15">
        <v>1802</v>
      </c>
      <c r="C36" s="15">
        <v>1765</v>
      </c>
      <c r="D36" s="15">
        <v>1903</v>
      </c>
      <c r="E36" s="15">
        <v>2076</v>
      </c>
      <c r="F36" s="15">
        <v>2328</v>
      </c>
      <c r="G36" s="15">
        <v>2660</v>
      </c>
      <c r="H36" s="1">
        <v>2521</v>
      </c>
      <c r="I36" s="1">
        <v>2587</v>
      </c>
      <c r="J36" s="1">
        <v>2905</v>
      </c>
      <c r="K36" s="1">
        <v>2903</v>
      </c>
      <c r="L36" s="105">
        <f>(K36-J36)*100/J36</f>
        <v>-0.1</v>
      </c>
      <c r="M36" s="17">
        <f>(K36-V36)*100/V36</f>
        <v>75.2</v>
      </c>
      <c r="N36" s="15">
        <v>902</v>
      </c>
      <c r="O36" s="15">
        <v>857</v>
      </c>
      <c r="P36" s="15">
        <v>926</v>
      </c>
      <c r="Q36" s="15">
        <v>1185</v>
      </c>
      <c r="R36" s="15">
        <v>1378</v>
      </c>
      <c r="S36" s="15">
        <v>1513</v>
      </c>
      <c r="T36" s="15">
        <v>1549</v>
      </c>
      <c r="U36" s="15">
        <v>1609</v>
      </c>
      <c r="V36" s="15">
        <v>1657</v>
      </c>
      <c r="W36" s="1"/>
      <c r="X36" s="3">
        <v>3038779.89</v>
      </c>
      <c r="Y36" s="3">
        <v>72068.15</v>
      </c>
      <c r="Z36" s="103">
        <v>63542.88</v>
      </c>
      <c r="AA36" s="3">
        <f>X36-Y36-Z36</f>
        <v>2903169</v>
      </c>
      <c r="AB36" s="3">
        <f>AA36/1000</f>
        <v>2903</v>
      </c>
    </row>
    <row r="37" spans="1:28" ht="12.75">
      <c r="A37" s="1" t="s">
        <v>27</v>
      </c>
      <c r="B37" s="15">
        <v>7373</v>
      </c>
      <c r="C37" s="15">
        <v>8329</v>
      </c>
      <c r="D37" s="15">
        <v>8521</v>
      </c>
      <c r="E37" s="15">
        <v>8663</v>
      </c>
      <c r="F37" s="15">
        <v>8643</v>
      </c>
      <c r="G37" s="15">
        <v>9784</v>
      </c>
      <c r="H37" s="1">
        <v>10600</v>
      </c>
      <c r="I37" s="1">
        <v>11293</v>
      </c>
      <c r="J37" s="1">
        <v>12418</v>
      </c>
      <c r="K37" s="1">
        <v>13270</v>
      </c>
      <c r="L37" s="105">
        <f>(K37-J37)*100/J37</f>
        <v>6.9</v>
      </c>
      <c r="M37" s="17">
        <f>(K37-V37)*100/V37</f>
        <v>97.7</v>
      </c>
      <c r="N37" s="15">
        <v>3562</v>
      </c>
      <c r="O37" s="15">
        <v>3557</v>
      </c>
      <c r="P37" s="15">
        <v>3872</v>
      </c>
      <c r="Q37" s="15">
        <v>4256</v>
      </c>
      <c r="R37" s="15">
        <v>4739</v>
      </c>
      <c r="S37" s="15">
        <v>5239</v>
      </c>
      <c r="T37" s="15">
        <v>5902</v>
      </c>
      <c r="U37" s="15">
        <v>6384</v>
      </c>
      <c r="V37" s="15">
        <v>6712</v>
      </c>
      <c r="W37" s="1"/>
      <c r="X37" s="3">
        <v>16869840</v>
      </c>
      <c r="Y37" s="3">
        <v>10013.55</v>
      </c>
      <c r="Z37" s="103">
        <v>3590133</v>
      </c>
      <c r="AA37" s="3">
        <f>X37-Y37-Z37</f>
        <v>13269693</v>
      </c>
      <c r="AB37" s="3">
        <f>AA37/1000</f>
        <v>13270</v>
      </c>
    </row>
    <row r="38" spans="1:28" ht="12.75">
      <c r="A38" s="1" t="s">
        <v>28</v>
      </c>
      <c r="B38" s="15">
        <v>5223</v>
      </c>
      <c r="C38" s="15">
        <v>5368</v>
      </c>
      <c r="D38" s="15">
        <v>5553</v>
      </c>
      <c r="E38" s="15">
        <v>6102</v>
      </c>
      <c r="F38" s="15">
        <v>6712</v>
      </c>
      <c r="G38" s="15">
        <v>7664</v>
      </c>
      <c r="H38" s="1">
        <v>8416</v>
      </c>
      <c r="I38" s="1">
        <v>9151</v>
      </c>
      <c r="J38" s="1">
        <v>10026</v>
      </c>
      <c r="K38" s="1">
        <v>10580</v>
      </c>
      <c r="L38" s="105">
        <f>(K38-J38)*100/J38</f>
        <v>5.5</v>
      </c>
      <c r="M38" s="17">
        <f>(K38-V38)*100/V38</f>
        <v>110.6</v>
      </c>
      <c r="N38" s="15">
        <v>1940</v>
      </c>
      <c r="O38" s="15">
        <v>2249</v>
      </c>
      <c r="P38" s="15">
        <v>2394</v>
      </c>
      <c r="Q38" s="15">
        <v>3065</v>
      </c>
      <c r="R38" s="15">
        <v>3655</v>
      </c>
      <c r="S38" s="15">
        <v>4138</v>
      </c>
      <c r="T38" s="15">
        <v>4705</v>
      </c>
      <c r="U38" s="15">
        <v>4846</v>
      </c>
      <c r="V38" s="15">
        <v>5023</v>
      </c>
      <c r="W38" s="1"/>
      <c r="X38" s="3">
        <v>11102149</v>
      </c>
      <c r="Y38" s="3">
        <v>19265.54</v>
      </c>
      <c r="Z38" s="103">
        <v>503097.74</v>
      </c>
      <c r="AA38" s="3">
        <f>X38-Y38-Z38</f>
        <v>10579786</v>
      </c>
      <c r="AB38" s="3">
        <f>AA38/1000</f>
        <v>10580</v>
      </c>
    </row>
    <row r="39" spans="1:28" ht="12.75">
      <c r="A39" s="18" t="s">
        <v>29</v>
      </c>
      <c r="B39" s="15">
        <v>2329</v>
      </c>
      <c r="C39" s="15">
        <v>2607</v>
      </c>
      <c r="D39" s="15">
        <v>2806</v>
      </c>
      <c r="E39" s="15">
        <v>3122</v>
      </c>
      <c r="F39" s="15">
        <v>3286</v>
      </c>
      <c r="G39" s="15">
        <v>3474</v>
      </c>
      <c r="H39" s="1">
        <v>3909</v>
      </c>
      <c r="I39" s="1">
        <v>4495</v>
      </c>
      <c r="J39" s="1">
        <v>5172</v>
      </c>
      <c r="K39" s="1">
        <v>5576</v>
      </c>
      <c r="L39" s="105">
        <f>(K39-J39)*100/J39</f>
        <v>7.8</v>
      </c>
      <c r="M39" s="17">
        <f>(K39-V39)*100/V39</f>
        <v>157.1</v>
      </c>
      <c r="N39" s="15">
        <v>1148</v>
      </c>
      <c r="O39" s="15">
        <v>1350</v>
      </c>
      <c r="P39" s="15">
        <v>1482</v>
      </c>
      <c r="Q39" s="15">
        <v>1651</v>
      </c>
      <c r="R39" s="15">
        <v>1797</v>
      </c>
      <c r="S39" s="15">
        <v>1985</v>
      </c>
      <c r="T39" s="15">
        <v>2123</v>
      </c>
      <c r="U39" s="15">
        <v>2177</v>
      </c>
      <c r="V39" s="15">
        <v>2169</v>
      </c>
      <c r="W39" s="1"/>
      <c r="X39" s="3">
        <v>5629276</v>
      </c>
      <c r="Y39" s="3">
        <v>53525.86</v>
      </c>
      <c r="Z39" s="120">
        <v>0</v>
      </c>
      <c r="AA39" s="3">
        <f>X39-Y39-Z39</f>
        <v>5575750</v>
      </c>
      <c r="AB39" s="3">
        <f>AA39/1000</f>
        <v>5576</v>
      </c>
    </row>
    <row r="40" spans="1:22" ht="12.75">
      <c r="A40" s="1" t="s">
        <v>63</v>
      </c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V40" s="19"/>
    </row>
    <row r="41" spans="1:3" ht="12.75">
      <c r="A41" s="1" t="s">
        <v>128</v>
      </c>
      <c r="C41" s="15"/>
    </row>
    <row r="42" spans="1:17" ht="12.75">
      <c r="A42" s="3"/>
      <c r="B42" s="15"/>
      <c r="C42" s="15"/>
      <c r="O42" s="15"/>
      <c r="P42" s="15"/>
      <c r="Q42" s="15"/>
    </row>
    <row r="43" spans="2:17" ht="12.75">
      <c r="B43" s="15"/>
      <c r="C43" s="15"/>
      <c r="O43" s="15"/>
      <c r="P43" s="15"/>
      <c r="Q43" s="15"/>
    </row>
    <row r="44" spans="2:17" ht="12.75">
      <c r="B44" s="15"/>
      <c r="C44" s="15"/>
      <c r="O44" s="15"/>
      <c r="P44" s="15"/>
      <c r="Q44" s="15"/>
    </row>
    <row r="45" spans="2:17" ht="12.75">
      <c r="B45" s="15"/>
      <c r="C45" s="15"/>
      <c r="O45" s="15"/>
      <c r="P45" s="15"/>
      <c r="Q45" s="15"/>
    </row>
    <row r="46" spans="2:17" ht="12.75">
      <c r="B46" s="15"/>
      <c r="C46" s="15"/>
      <c r="O46" s="15"/>
      <c r="P46" s="15"/>
      <c r="Q46" s="15"/>
    </row>
    <row r="47" spans="2:3" ht="12.75">
      <c r="B47" s="15"/>
      <c r="C47" s="15"/>
    </row>
    <row r="48" spans="2:3" ht="12.75">
      <c r="B48" s="15"/>
      <c r="C48" s="15"/>
    </row>
    <row r="49" spans="2:3" ht="12.75">
      <c r="B49" s="15"/>
      <c r="C49" s="15"/>
    </row>
    <row r="50" spans="2:3" ht="12.75">
      <c r="B50" s="15"/>
      <c r="C50" s="15"/>
    </row>
    <row r="51" spans="2:3" ht="12.75">
      <c r="B51" s="15"/>
      <c r="C51" s="15"/>
    </row>
    <row r="52" ht="12.75">
      <c r="C52" s="15"/>
    </row>
    <row r="53" ht="12.75">
      <c r="C53" s="15"/>
    </row>
  </sheetData>
  <mergeCells count="3">
    <mergeCell ref="A3:M3"/>
    <mergeCell ref="A4:M4"/>
    <mergeCell ref="A1:M1"/>
  </mergeCells>
  <printOptions/>
  <pageMargins left="0.48" right="0.54" top="1" bottom="1" header="0.5" footer="0.5"/>
  <pageSetup fitToHeight="1" fitToWidth="1" orientation="landscape" scale="78" r:id="rId1"/>
  <headerFooter alignWithMargins="0">
    <oddFooter>&amp;L&amp;"Lucida Sans,Italic"&amp;10MSDE-DBS  11 / 2004&amp;C- 9 -&amp;R&amp;"Lucida Sans,Italic"&amp;10Selected Financial Data - Part 4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SFD2003 PART 4 FY 2003 Released 11-30-2004</dc:title>
  <dc:subject/>
  <dc:creator>Hiatt/Finn/Ieng</dc:creator>
  <cp:keywords/>
  <dc:description/>
  <cp:lastModifiedBy>Ron Ieng</cp:lastModifiedBy>
  <cp:lastPrinted>2005-01-31T23:52:31Z</cp:lastPrinted>
  <dcterms:created xsi:type="dcterms:W3CDTF">1997-05-28T15:16:37Z</dcterms:created>
  <dcterms:modified xsi:type="dcterms:W3CDTF">2005-01-31T23:53:43Z</dcterms:modified>
  <cp:category/>
  <cp:version/>
  <cp:contentType/>
  <cp:contentStatus/>
</cp:coreProperties>
</file>