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</sheets>
  <definedNames>
    <definedName name="_xlnm.Print_Area" localSheetId="0">'1'!$A$1:$M$41</definedName>
    <definedName name="_xlnm.Print_Area" localSheetId="9">'10'!$A$1:$M$42</definedName>
    <definedName name="_xlnm.Print_Area" localSheetId="10">'11'!$A$1:$M$41</definedName>
    <definedName name="_xlnm.Print_Area" localSheetId="11">'12'!$A$1:$M$42</definedName>
    <definedName name="_xlnm.Print_Area" localSheetId="12">'13'!$A$1:$M$41</definedName>
    <definedName name="_xlnm.Print_Area" localSheetId="13">'14'!$A$1:$N$42</definedName>
    <definedName name="_xlnm.Print_Area" localSheetId="14">'15'!$A$1:$M$43</definedName>
    <definedName name="_xlnm.Print_Area" localSheetId="15">'16'!$A$1:$N$45</definedName>
    <definedName name="_xlnm.Print_Area" localSheetId="16">'17'!$A$1:$M$41</definedName>
    <definedName name="_xlnm.Print_Area" localSheetId="17">'18'!$A$1:$N$42</definedName>
    <definedName name="_xlnm.Print_Area" localSheetId="18">'19'!$A$1:$M$41</definedName>
    <definedName name="_xlnm.Print_Area" localSheetId="1">'2'!$A$1:$M$40</definedName>
    <definedName name="_xlnm.Print_Area" localSheetId="2">'3'!$A$1:$M$42</definedName>
    <definedName name="_xlnm.Print_Area" localSheetId="3">'4'!$A$1:$M$42</definedName>
    <definedName name="_xlnm.Print_Area" localSheetId="4">'5'!$A$1:$M$42</definedName>
    <definedName name="_xlnm.Print_Area" localSheetId="5">'6'!$A$1:$M$42</definedName>
    <definedName name="_xlnm.Print_Area" localSheetId="6">'7'!$A$1:$M$42</definedName>
    <definedName name="_xlnm.Print_Area" localSheetId="7">'8'!$A$1:$M$43</definedName>
    <definedName name="_xlnm.Print_Area" localSheetId="8">'9'!$A$1:$M$42</definedName>
  </definedNames>
  <calcPr fullCalcOnLoad="1"/>
</workbook>
</file>

<file path=xl/sharedStrings.xml><?xml version="1.0" encoding="utf-8"?>
<sst xmlns="http://schemas.openxmlformats.org/spreadsheetml/2006/main" count="1088" uniqueCount="197">
  <si>
    <t>Expenditures for Elementary/Secondary Instructional Salaries* in Thousands of Dollars</t>
  </si>
  <si>
    <t>Local Unit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</si>
  <si>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</si>
  <si>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</si>
  <si>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</si>
  <si>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</si>
  <si>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</si>
  <si>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</si>
  <si>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</si>
  <si>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</si>
  <si>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</si>
  <si>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</si>
  <si>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</si>
  <si>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</si>
  <si>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</si>
  <si>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</si>
  <si>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</si>
  <si>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</si>
  <si>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</si>
  <si>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</si>
  <si>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</si>
  <si>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</si>
  <si>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</si>
  <si>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</si>
  <si>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</si>
  <si>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</si>
  <si>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</si>
  <si>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/>
  </si>
  <si>
    <t>Percent Change</t>
  </si>
  <si>
    <t>NOTE:  Includes State share of teachers' retirement</t>
  </si>
  <si>
    <t>::</t>
  </si>
  <si>
    <t xml:space="preserve">Revenue From All Sources for Current Expenses in Thousands of Dollars </t>
  </si>
  <si>
    <t>Revenue From the State for Current Expenses in Thousands of Dollars</t>
  </si>
  <si>
    <t>Local Appropriations for Current Expenses in Thousands of Dollars</t>
  </si>
  <si>
    <t>Revenue From the Federal Government for Current Expenses in Thousands of Dollars</t>
  </si>
  <si>
    <t>NOTE:  Excludes value of U.S.D.A. commodities</t>
  </si>
  <si>
    <t>Total Current Expenditures* in Thousands of Dollars</t>
  </si>
  <si>
    <t>*Includes all local expenditures except tuition payments by one Maryland LEA to another;  excludes State share of teachers' retirement</t>
  </si>
  <si>
    <t>Expenditures for Prekindergarten - Grade 12 Instruction* in Thousands of Dollars</t>
  </si>
  <si>
    <t>* Excludes expenditures for adult education and equipment</t>
  </si>
  <si>
    <t>Expenditures for Special Education* in Thousands of Dollars</t>
  </si>
  <si>
    <t>*Outgoing transfers and equipment are not included</t>
  </si>
  <si>
    <t>Expenditures for Elementary/Secondary Materials of Instruction* in Thousands of Dollars</t>
  </si>
  <si>
    <t>* Includes regular and special education for prekindergarten - grade 12</t>
  </si>
  <si>
    <t>Expenditures for Elementary/Secondary Textbooks*</t>
  </si>
  <si>
    <t>Expendiutres for Elementary/Secondary Library Books*</t>
  </si>
  <si>
    <t>Cost per Pupil Belonging for Prekindergarten - Grade 12 Current Expenses*</t>
  </si>
  <si>
    <t>Cost per Pupil Belonging for Prekindergarten - Grade 12 Instruction*</t>
  </si>
  <si>
    <t>Assessed Property Valuation per Pupil in Prekindergarten - Grade 12*</t>
  </si>
  <si>
    <t>* Includes local special education costs</t>
  </si>
  <si>
    <t>Table 8</t>
  </si>
  <si>
    <t>Table 16</t>
  </si>
  <si>
    <t>* Half-time kindergarten pupils are expressed in full-time equivalents in arriving at per pupil costs.</t>
  </si>
  <si>
    <t xml:space="preserve">* Includes expenditures for administration, instruction, student personnel services, health services, transportation services, operation and maintenance of plant, and fixed </t>
  </si>
  <si>
    <t xml:space="preserve">   charges; excludes adult education, food services, community services, equipment, school construction and debt</t>
  </si>
  <si>
    <t>Table 2</t>
  </si>
  <si>
    <t>Table 3</t>
  </si>
  <si>
    <t>Table 4</t>
  </si>
  <si>
    <t>Year</t>
  </si>
  <si>
    <t>One</t>
  </si>
  <si>
    <t>Ten</t>
  </si>
  <si>
    <t xml:space="preserve">Expenditures for Special Education Nonpublic Placements* </t>
  </si>
  <si>
    <t xml:space="preserve">  excludes adult education</t>
  </si>
  <si>
    <t>* Includes salaries for regular and special education teachers, aides, principals, guidance counselors, school psychologists, and others providing instructional services;</t>
  </si>
  <si>
    <t>Table 12</t>
  </si>
  <si>
    <t>Table 11</t>
  </si>
  <si>
    <t>Table 10</t>
  </si>
  <si>
    <t>Table 9</t>
  </si>
  <si>
    <t>Table 7</t>
  </si>
  <si>
    <t>Table 6</t>
  </si>
  <si>
    <t>Table 5</t>
  </si>
  <si>
    <t>Table 1</t>
  </si>
  <si>
    <t>Table 13</t>
  </si>
  <si>
    <t>Table 14</t>
  </si>
  <si>
    <t>Table 15</t>
  </si>
  <si>
    <t>Table 17</t>
  </si>
  <si>
    <t>Table 18</t>
  </si>
  <si>
    <t>Assessed Valuation Taxable at Full Rate for County Purposes in Millions of Dollars</t>
  </si>
  <si>
    <t xml:space="preserve">NOTE:  Beginning July 1, 1997, Instructional expenditures were redefined to exclude expenditures for the Office of the Principal and to include expenditures for </t>
  </si>
  <si>
    <t xml:space="preserve">            instructional staff development.</t>
  </si>
  <si>
    <t>**Percent change cannot be calculated</t>
  </si>
  <si>
    <t>Note:  1997-98 amounts corrected from prior year presentation to exclude equipment costs.</t>
  </si>
  <si>
    <t>1999-2000</t>
  </si>
  <si>
    <t>2000-2001</t>
  </si>
  <si>
    <t>Retirement</t>
  </si>
  <si>
    <t>Less State</t>
  </si>
  <si>
    <t xml:space="preserve">Instruction </t>
  </si>
  <si>
    <t>Adult Ed</t>
  </si>
  <si>
    <t>Equipment</t>
  </si>
  <si>
    <t>Instuction</t>
  </si>
  <si>
    <t>Total</t>
  </si>
  <si>
    <t>Prek -12</t>
  </si>
  <si>
    <t xml:space="preserve">Special Ed </t>
  </si>
  <si>
    <t>Other Transfer</t>
  </si>
  <si>
    <t>Part 4</t>
  </si>
  <si>
    <t>Part 2</t>
  </si>
  <si>
    <t>**</t>
  </si>
  <si>
    <t xml:space="preserve">Part 1 </t>
  </si>
  <si>
    <t>Column 1</t>
  </si>
  <si>
    <t>Part 1</t>
  </si>
  <si>
    <t>Col. 3</t>
  </si>
  <si>
    <t>Instructional</t>
  </si>
  <si>
    <t>Salaries</t>
  </si>
  <si>
    <t>and Wages</t>
  </si>
  <si>
    <t>Textbooks and</t>
  </si>
  <si>
    <t>Supplies</t>
  </si>
  <si>
    <t>Other</t>
  </si>
  <si>
    <t>Costs</t>
  </si>
  <si>
    <t>Special</t>
  </si>
  <si>
    <t>Education</t>
  </si>
  <si>
    <t>Including State</t>
  </si>
  <si>
    <t>Share of Teachers'</t>
  </si>
  <si>
    <t>Cost</t>
  </si>
  <si>
    <t>Rank</t>
  </si>
  <si>
    <t>Library</t>
  </si>
  <si>
    <t>Media and</t>
  </si>
  <si>
    <t xml:space="preserve"> Books</t>
  </si>
  <si>
    <t>Books</t>
  </si>
  <si>
    <t>Textbooks</t>
  </si>
  <si>
    <t>Instruction</t>
  </si>
  <si>
    <t>Special Ed</t>
  </si>
  <si>
    <t>* Includes regular and special education for prekindergarten - grade 12; excludes expenditures for Adult Education and instructional equipment</t>
  </si>
  <si>
    <t xml:space="preserve">Textbooks </t>
  </si>
  <si>
    <t>and Supplies</t>
  </si>
  <si>
    <t>Supplies and</t>
  </si>
  <si>
    <t xml:space="preserve">  Materials</t>
  </si>
  <si>
    <t>Adult Ed.</t>
  </si>
  <si>
    <t>Materials</t>
  </si>
  <si>
    <t>Special Ed.</t>
  </si>
  <si>
    <t>Less Adult Ed.</t>
  </si>
  <si>
    <t>PlusSpecial Ed.</t>
  </si>
  <si>
    <t xml:space="preserve"> Salaries and Wages</t>
  </si>
  <si>
    <t>Adult Educ.</t>
  </si>
  <si>
    <t>Special Education</t>
  </si>
  <si>
    <t>From Part 2 Tables 4,4A,and 5</t>
  </si>
  <si>
    <t>Adjusted Total</t>
  </si>
  <si>
    <t>for Part 4 Table 11</t>
  </si>
  <si>
    <t>Part 2 Table 5</t>
  </si>
  <si>
    <t>Column N</t>
  </si>
  <si>
    <t>Other Transfers</t>
  </si>
  <si>
    <t>2001-2002</t>
  </si>
  <si>
    <t>Table 19</t>
  </si>
  <si>
    <t>Special Educ.</t>
  </si>
  <si>
    <t xml:space="preserve">Part 4 </t>
  </si>
  <si>
    <t>ADM</t>
  </si>
  <si>
    <t>FY 2002</t>
  </si>
  <si>
    <t>SFD Part 3</t>
  </si>
  <si>
    <t xml:space="preserve">*Half-day kindergarten and prekindergarten pupils have been equated to full-time. </t>
  </si>
  <si>
    <t>Full-time Equivalent Average Daily Membership*</t>
  </si>
  <si>
    <t>2002-2003</t>
  </si>
  <si>
    <t>SFD Pt2 Tbl 4</t>
  </si>
  <si>
    <t>Col B</t>
  </si>
  <si>
    <t>Col R</t>
  </si>
  <si>
    <t>SFD Pt2 Tbl 4A</t>
  </si>
  <si>
    <t>Col D</t>
  </si>
  <si>
    <t>Col L</t>
  </si>
  <si>
    <t>Total Per Thousand</t>
  </si>
  <si>
    <t>FY 2003</t>
  </si>
  <si>
    <t xml:space="preserve">     1993-1994</t>
  </si>
  <si>
    <t xml:space="preserve">     1994-1995</t>
  </si>
  <si>
    <t xml:space="preserve">     1995-1996</t>
  </si>
  <si>
    <t xml:space="preserve">     1996-1997</t>
  </si>
  <si>
    <t xml:space="preserve">     1997-1998</t>
  </si>
  <si>
    <t>1998-1999</t>
  </si>
  <si>
    <t>Maryland Public Schools: 1994-1995 to 2003-2004</t>
  </si>
  <si>
    <t>2003-2004</t>
  </si>
  <si>
    <t>FY 2004 Part 3- Table 2 Col. 1</t>
  </si>
  <si>
    <t>In Thousands</t>
  </si>
  <si>
    <t>Maryland Public Schools:  1994-1995 to 2003-2004</t>
  </si>
  <si>
    <t>Maryland Public Schools:  1994 -1995 to 2003 - 2004</t>
  </si>
  <si>
    <t>Expenditures for Current Expenses, Food Service, School Construction and Debt Service in Thousands of Dollars</t>
  </si>
  <si>
    <t>FY 2003- 2004</t>
  </si>
  <si>
    <t>Selected Financial Data FY 2004</t>
  </si>
  <si>
    <t>in Thousands</t>
  </si>
  <si>
    <t>FY2004</t>
  </si>
  <si>
    <t>SFD 2004 Part 3 : Table 3  Cost Per Pupil Belonging</t>
  </si>
  <si>
    <t>FY 2004</t>
  </si>
  <si>
    <t>SFD Part 1 Table 1 Col 2</t>
  </si>
  <si>
    <t>Total Revenue &amp; Non revenues</t>
  </si>
  <si>
    <t>Revenue From All Sources for Current Expenses, Food Service, School Construction and Debt Service in Thousands of Dollars</t>
  </si>
  <si>
    <t>In Full Amount</t>
  </si>
  <si>
    <t>Working Data (Hidden)</t>
  </si>
  <si>
    <t>SFD Part 1 Table 2 Col 2</t>
  </si>
  <si>
    <t>SFD Part 1 Table 7 Col 3</t>
  </si>
  <si>
    <t>Total Current Expense Fund</t>
  </si>
  <si>
    <t>SFD Part 1 Table 2 Col 3</t>
  </si>
  <si>
    <t>SFD Part 1 Table 3 Col 6</t>
  </si>
  <si>
    <t>Federal Revenue</t>
  </si>
  <si>
    <t>SFD Part 2 Table1 Col 2</t>
  </si>
  <si>
    <t>Expenditures from All Funds</t>
  </si>
  <si>
    <t>Excludes Debt Principal repayment and Student Activity Fund Expenditures.</t>
  </si>
  <si>
    <t>Includes State share of teachers' retirement</t>
  </si>
  <si>
    <t>SFD Pt2 Table 1 Col3</t>
  </si>
  <si>
    <t>Total Current Expenses</t>
  </si>
  <si>
    <t>SFD Pt2 Table 9 Col 11</t>
  </si>
  <si>
    <t xml:space="preserve">Current Expenditures for SFD </t>
  </si>
  <si>
    <t>FY2003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</si>
</sst>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&quot;$&quot;#,##0"/>
    <numFmt numFmtId="173" formatCode="_(&quot;$&quot;* #,##0_);_(&quot;$&quot;* \(#,##0\);_(&quot;$&quot;* &quot;-&quot;??_);_(@_)"/>
    <numFmt numFmtId="174" formatCode="_(* #,##0_);_(* \(#,##0\);_(* &quot;-&quot;??_);_(@_)"/>
    <numFmt numFmtId="175" formatCode="&quot;$&quot;#,##0.0\ ;\(&quot;$&quot;#,##0.0\)"/>
    <numFmt numFmtId="176" formatCode="&quot;$&quot;#,##0.00"/>
    <numFmt numFmtId="177" formatCode="0.000%"/>
    <numFmt numFmtId="178" formatCode="#,##0.000"/>
    <numFmt numFmtId="179" formatCode="#,##0.0000"/>
    <numFmt numFmtId="180" formatCode="0.0000%"/>
    <numFmt numFmtId="181" formatCode="0.00000%"/>
    <numFmt numFmtId="182" formatCode="0.000000%"/>
    <numFmt numFmtId="183" formatCode="_(* #,##0.0_);_(* \(#,##0.0\);_(* &quot;-&quot;????_);_(@_)"/>
    <numFmt numFmtId="184" formatCode="_(* #,##0.0_);_(* \(#,##0.0\);_(* &quot;-&quot;??_);_(@_)"/>
    <numFmt numFmtId="185" formatCode="_(* #,##0.000_);_(* \(#,##0.000\);_(* &quot;-&quot;??_);_(@_)"/>
    <numFmt numFmtId="186" formatCode="0.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.0_);_(&quot;$&quot;* \(#,##0.0\);_(&quot;$&quot;* &quot;-&quot;??_);_(@_)"/>
    <numFmt numFmtId="191" formatCode="0.0000"/>
    <numFmt numFmtId="192" formatCode="_(* #,##0.0_);_(* \(#,##0.0\);_(* &quot;-&quot;?_);_(@_)"/>
    <numFmt numFmtId="193" formatCode="&quot;$&quot;#,##0.000\ ;\(&quot;$&quot;#,##0.000\)"/>
  </numFmts>
  <fonts count="13">
    <font>
      <sz val="12"/>
      <name val="Times New Roman"/>
      <family val="0"/>
    </font>
    <font>
      <sz val="18"/>
      <name val="Times New Roman"/>
      <family val="0"/>
    </font>
    <font>
      <sz val="8"/>
      <name val="Times New Roman"/>
      <family val="0"/>
    </font>
    <font>
      <i/>
      <sz val="12"/>
      <name val="Times New Roman"/>
      <family val="0"/>
    </font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10"/>
      <name val="MS Sans Serif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2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51">
    <xf numFmtId="3" fontId="0" fillId="0" borderId="0" xfId="0" applyAlignment="1">
      <alignment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5" fillId="0" borderId="0" xfId="0" applyFont="1" applyAlignment="1">
      <alignment/>
    </xf>
    <xf numFmtId="3" fontId="4" fillId="0" borderId="0" xfId="0" applyFont="1" applyAlignment="1">
      <alignment shrinkToFit="1"/>
    </xf>
    <xf numFmtId="3" fontId="4" fillId="0" borderId="1" xfId="0" applyFont="1" applyBorder="1" applyAlignment="1">
      <alignment/>
    </xf>
    <xf numFmtId="3" fontId="4" fillId="0" borderId="2" xfId="0" applyFont="1" applyBorder="1" applyAlignment="1">
      <alignment horizontal="centerContinuous"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3" fontId="4" fillId="0" borderId="3" xfId="0" applyFont="1" applyBorder="1" applyAlignment="1">
      <alignment horizontal="center"/>
    </xf>
    <xf numFmtId="3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4" fillId="0" borderId="2" xfId="0" applyFont="1" applyBorder="1" applyAlignment="1">
      <alignment/>
    </xf>
    <xf numFmtId="3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" fontId="4" fillId="0" borderId="5" xfId="0" applyFont="1" applyBorder="1" applyAlignment="1">
      <alignment/>
    </xf>
    <xf numFmtId="172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4" fillId="0" borderId="0" xfId="0" applyFont="1" applyAlignment="1">
      <alignment horizontal="center"/>
    </xf>
    <xf numFmtId="3" fontId="4" fillId="0" borderId="0" xfId="0" applyFont="1" applyAlignment="1">
      <alignment/>
    </xf>
    <xf numFmtId="3" fontId="4" fillId="0" borderId="0" xfId="0" applyFont="1" applyAlignment="1">
      <alignment horizontal="centerContinuous"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3" fontId="4" fillId="0" borderId="3" xfId="0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4" xfId="0" applyFont="1" applyBorder="1" applyAlignment="1">
      <alignment/>
    </xf>
    <xf numFmtId="3" fontId="4" fillId="0" borderId="0" xfId="0" applyFont="1" applyBorder="1" applyAlignment="1">
      <alignment horizontal="center"/>
    </xf>
    <xf numFmtId="3" fontId="4" fillId="0" borderId="3" xfId="0" applyFont="1" applyBorder="1" applyAlignment="1">
      <alignment horizontal="center"/>
    </xf>
    <xf numFmtId="174" fontId="4" fillId="0" borderId="0" xfId="15" applyNumberFormat="1" applyFont="1" applyBorder="1" applyAlignment="1">
      <alignment/>
    </xf>
    <xf numFmtId="3" fontId="4" fillId="0" borderId="2" xfId="0" applyFont="1" applyBorder="1" applyAlignment="1">
      <alignment/>
    </xf>
    <xf numFmtId="3" fontId="4" fillId="0" borderId="4" xfId="0" applyNumberFormat="1" applyFont="1" applyBorder="1" applyAlignment="1">
      <alignment/>
    </xf>
    <xf numFmtId="166" fontId="4" fillId="0" borderId="0" xfId="19" applyFont="1" applyBorder="1" applyAlignment="1">
      <alignment/>
    </xf>
    <xf numFmtId="166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9" applyNumberFormat="1" applyFont="1" applyAlignment="1">
      <alignment/>
    </xf>
    <xf numFmtId="166" fontId="4" fillId="0" borderId="0" xfId="19" applyFont="1" applyBorder="1" applyAlignment="1">
      <alignment/>
    </xf>
    <xf numFmtId="166" fontId="4" fillId="0" borderId="0" xfId="19" applyFont="1" applyBorder="1" applyAlignment="1">
      <alignment horizontal="center"/>
    </xf>
    <xf numFmtId="166" fontId="4" fillId="0" borderId="0" xfId="0" applyNumberFormat="1" applyFont="1" applyBorder="1" applyAlignment="1">
      <alignment/>
    </xf>
    <xf numFmtId="166" fontId="4" fillId="0" borderId="0" xfId="19" applyFont="1" applyAlignment="1">
      <alignment/>
    </xf>
    <xf numFmtId="4" fontId="4" fillId="0" borderId="0" xfId="0" applyNumberFormat="1" applyFont="1" applyAlignment="1">
      <alignment/>
    </xf>
    <xf numFmtId="4" fontId="4" fillId="0" borderId="0" xfId="19" applyNumberFormat="1" applyFont="1" applyAlignment="1">
      <alignment/>
    </xf>
    <xf numFmtId="4" fontId="4" fillId="0" borderId="0" xfId="15" applyFont="1" applyAlignment="1">
      <alignment/>
    </xf>
    <xf numFmtId="4" fontId="4" fillId="0" borderId="2" xfId="15" applyFont="1" applyBorder="1" applyAlignment="1">
      <alignment/>
    </xf>
    <xf numFmtId="166" fontId="4" fillId="0" borderId="0" xfId="19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1" xfId="15" applyNumberFormat="1" applyFont="1" applyBorder="1" applyAlignment="1">
      <alignment/>
    </xf>
    <xf numFmtId="3" fontId="4" fillId="0" borderId="0" xfId="15" applyNumberFormat="1" applyFont="1" applyAlignment="1">
      <alignment/>
    </xf>
    <xf numFmtId="3" fontId="4" fillId="0" borderId="0" xfId="15" applyNumberFormat="1" applyFont="1" applyBorder="1" applyAlignment="1">
      <alignment/>
    </xf>
    <xf numFmtId="3" fontId="4" fillId="0" borderId="0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164" fontId="4" fillId="0" borderId="0" xfId="19" applyNumberFormat="1" applyFont="1" applyBorder="1" applyAlignment="1">
      <alignment/>
    </xf>
    <xf numFmtId="3" fontId="4" fillId="0" borderId="0" xfId="0" applyFont="1" applyAlignment="1">
      <alignment horizontal="left"/>
    </xf>
    <xf numFmtId="174" fontId="4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74" fontId="0" fillId="0" borderId="0" xfId="15" applyNumberFormat="1" applyBorder="1" applyAlignment="1">
      <alignment horizontal="left"/>
    </xf>
    <xf numFmtId="174" fontId="0" fillId="0" borderId="2" xfId="15" applyNumberFormat="1" applyBorder="1" applyAlignment="1">
      <alignment horizontal="left"/>
    </xf>
    <xf numFmtId="41" fontId="4" fillId="0" borderId="0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4" fontId="4" fillId="0" borderId="0" xfId="15" applyFont="1" applyBorder="1" applyAlignment="1">
      <alignment/>
    </xf>
    <xf numFmtId="176" fontId="4" fillId="0" borderId="0" xfId="15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4" xfId="15" applyNumberFormat="1" applyFont="1" applyBorder="1" applyAlignment="1">
      <alignment/>
    </xf>
    <xf numFmtId="174" fontId="4" fillId="0" borderId="0" xfId="15" applyNumberFormat="1" applyFont="1" applyAlignment="1">
      <alignment/>
    </xf>
    <xf numFmtId="171" fontId="4" fillId="0" borderId="0" xfId="0" applyNumberFormat="1" applyFont="1" applyAlignment="1">
      <alignment/>
    </xf>
    <xf numFmtId="169" fontId="4" fillId="0" borderId="0" xfId="0" applyNumberFormat="1" applyFont="1" applyAlignment="1" quotePrefix="1">
      <alignment horizontal="left"/>
    </xf>
    <xf numFmtId="172" fontId="4" fillId="0" borderId="0" xfId="0" applyNumberFormat="1" applyFont="1" applyAlignment="1">
      <alignment/>
    </xf>
    <xf numFmtId="3" fontId="0" fillId="0" borderId="0" xfId="0" applyAlignment="1">
      <alignment/>
    </xf>
    <xf numFmtId="176" fontId="4" fillId="0" borderId="0" xfId="0" applyNumberFormat="1" applyFont="1" applyAlignment="1">
      <alignment/>
    </xf>
    <xf numFmtId="4" fontId="4" fillId="0" borderId="2" xfId="0" applyNumberFormat="1" applyFont="1" applyBorder="1" applyAlignment="1">
      <alignment/>
    </xf>
    <xf numFmtId="170" fontId="4" fillId="0" borderId="2" xfId="0" applyNumberFormat="1" applyFont="1" applyBorder="1" applyAlignment="1">
      <alignment/>
    </xf>
    <xf numFmtId="10" fontId="4" fillId="0" borderId="0" xfId="30" applyFont="1" applyAlignment="1">
      <alignment/>
    </xf>
    <xf numFmtId="4" fontId="4" fillId="0" borderId="0" xfId="15" applyFont="1" applyBorder="1" applyAlignment="1">
      <alignment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Border="1" applyAlignment="1">
      <alignment/>
    </xf>
    <xf numFmtId="170" fontId="4" fillId="0" borderId="0" xfId="15" applyNumberFormat="1" applyFont="1" applyAlignment="1">
      <alignment/>
    </xf>
    <xf numFmtId="3" fontId="4" fillId="0" borderId="0" xfId="0" applyFont="1" applyAlignment="1">
      <alignment/>
    </xf>
    <xf numFmtId="166" fontId="0" fillId="0" borderId="0" xfId="19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3" fontId="0" fillId="0" borderId="1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" xfId="0" applyBorder="1" applyAlignment="1">
      <alignment horizontal="center"/>
    </xf>
    <xf numFmtId="2" fontId="5" fillId="0" borderId="0" xfId="0" applyNumberFormat="1" applyFont="1" applyAlignment="1">
      <alignment/>
    </xf>
    <xf numFmtId="3" fontId="4" fillId="0" borderId="0" xfId="0" applyFont="1" applyBorder="1" applyAlignment="1">
      <alignment horizontal="right"/>
    </xf>
    <xf numFmtId="3" fontId="6" fillId="0" borderId="0" xfId="0" applyFont="1" applyAlignment="1">
      <alignment horizontal="center"/>
    </xf>
    <xf numFmtId="172" fontId="4" fillId="0" borderId="0" xfId="19" applyNumberFormat="1" applyFont="1" applyFill="1" applyBorder="1" applyAlignment="1">
      <alignment/>
    </xf>
    <xf numFmtId="3" fontId="4" fillId="0" borderId="0" xfId="0" applyFont="1" applyFill="1" applyBorder="1" applyAlignment="1">
      <alignment/>
    </xf>
    <xf numFmtId="173" fontId="4" fillId="0" borderId="0" xfId="19" applyNumberFormat="1" applyFont="1" applyAlignment="1">
      <alignment/>
    </xf>
    <xf numFmtId="174" fontId="4" fillId="0" borderId="2" xfId="15" applyNumberFormat="1" applyFont="1" applyFill="1" applyBorder="1" applyAlignment="1">
      <alignment/>
    </xf>
    <xf numFmtId="3" fontId="4" fillId="0" borderId="3" xfId="0" applyFont="1" applyBorder="1" applyAlignment="1">
      <alignment horizontal="left" indent="2"/>
    </xf>
    <xf numFmtId="3" fontId="7" fillId="0" borderId="0" xfId="0" applyFont="1" applyAlignment="1">
      <alignment/>
    </xf>
    <xf numFmtId="3" fontId="7" fillId="0" borderId="0" xfId="0" applyFont="1" applyAlignment="1">
      <alignment horizontal="center"/>
    </xf>
    <xf numFmtId="3" fontId="5" fillId="0" borderId="0" xfId="0" applyFont="1" applyBorder="1" applyAlignment="1">
      <alignment/>
    </xf>
    <xf numFmtId="3" fontId="5" fillId="0" borderId="2" xfId="0" applyFont="1" applyBorder="1" applyAlignment="1">
      <alignment horizontal="center"/>
    </xf>
    <xf numFmtId="3" fontId="4" fillId="0" borderId="0" xfId="0" applyFont="1" applyAlignment="1">
      <alignment horizontal="centerContinuous" vertical="center"/>
    </xf>
    <xf numFmtId="3" fontId="4" fillId="0" borderId="0" xfId="0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4" fillId="0" borderId="0" xfId="15" applyNumberFormat="1" applyFont="1" applyAlignment="1">
      <alignment horizontal="centerContinuous" vertical="center"/>
    </xf>
    <xf numFmtId="3" fontId="0" fillId="0" borderId="0" xfId="0" applyAlignment="1">
      <alignment horizontal="centerContinuous" vertical="center"/>
    </xf>
    <xf numFmtId="171" fontId="4" fillId="0" borderId="0" xfId="30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3" fontId="5" fillId="0" borderId="0" xfId="0" applyFont="1" applyAlignment="1">
      <alignment/>
    </xf>
    <xf numFmtId="174" fontId="4" fillId="0" borderId="0" xfId="15" applyNumberFormat="1" applyFont="1" applyFill="1" applyBorder="1" applyAlignment="1">
      <alignment/>
    </xf>
    <xf numFmtId="174" fontId="4" fillId="0" borderId="2" xfId="15" applyNumberFormat="1" applyFont="1" applyFill="1" applyBorder="1" applyAlignment="1">
      <alignment/>
    </xf>
    <xf numFmtId="164" fontId="9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0" fontId="4" fillId="0" borderId="0" xfId="29" applyFont="1" applyAlignment="1">
      <alignment horizontal="centerContinuous" vertical="center"/>
      <protection/>
    </xf>
    <xf numFmtId="0" fontId="4" fillId="0" borderId="0" xfId="29" applyFont="1">
      <alignment/>
      <protection/>
    </xf>
    <xf numFmtId="0" fontId="4" fillId="0" borderId="0" xfId="29">
      <alignment/>
      <protection/>
    </xf>
    <xf numFmtId="0" fontId="4" fillId="0" borderId="1" xfId="29" applyFont="1" applyBorder="1">
      <alignment/>
      <protection/>
    </xf>
    <xf numFmtId="0" fontId="4" fillId="0" borderId="0" xfId="29" applyFont="1" applyBorder="1">
      <alignment/>
      <protection/>
    </xf>
    <xf numFmtId="0" fontId="4" fillId="0" borderId="0" xfId="29" applyFont="1">
      <alignment/>
      <protection/>
    </xf>
    <xf numFmtId="0" fontId="4" fillId="0" borderId="0" xfId="29" applyFont="1" applyBorder="1">
      <alignment/>
      <protection/>
    </xf>
    <xf numFmtId="0" fontId="4" fillId="0" borderId="0" xfId="29" applyFont="1" applyAlignment="1">
      <alignment horizontal="center"/>
      <protection/>
    </xf>
    <xf numFmtId="0" fontId="4" fillId="0" borderId="3" xfId="29" applyFont="1" applyBorder="1">
      <alignment/>
      <protection/>
    </xf>
    <xf numFmtId="0" fontId="4" fillId="0" borderId="3" xfId="29" applyFont="1" applyBorder="1" applyAlignment="1">
      <alignment horizontal="center"/>
      <protection/>
    </xf>
    <xf numFmtId="0" fontId="4" fillId="0" borderId="3" xfId="29" applyFont="1" applyBorder="1" applyAlignment="1">
      <alignment horizontal="center"/>
      <protection/>
    </xf>
    <xf numFmtId="170" fontId="4" fillId="0" borderId="0" xfId="17" applyNumberFormat="1" applyFont="1" applyAlignment="1">
      <alignment/>
    </xf>
    <xf numFmtId="171" fontId="4" fillId="0" borderId="0" xfId="29" applyNumberFormat="1" applyFont="1" applyBorder="1">
      <alignment/>
      <protection/>
    </xf>
    <xf numFmtId="3" fontId="4" fillId="0" borderId="0" xfId="29" applyNumberFormat="1" applyFont="1">
      <alignment/>
      <protection/>
    </xf>
    <xf numFmtId="184" fontId="4" fillId="0" borderId="0" xfId="17" applyNumberFormat="1" applyFont="1" applyAlignment="1">
      <alignment/>
    </xf>
    <xf numFmtId="170" fontId="4" fillId="0" borderId="0" xfId="21" applyNumberFormat="1" applyFont="1" applyAlignment="1">
      <alignment/>
    </xf>
    <xf numFmtId="170" fontId="4" fillId="0" borderId="0" xfId="29" applyNumberFormat="1" applyFont="1">
      <alignment/>
      <protection/>
    </xf>
    <xf numFmtId="183" fontId="4" fillId="0" borderId="0" xfId="17" applyNumberFormat="1" applyFont="1" applyBorder="1" applyAlignment="1">
      <alignment/>
    </xf>
    <xf numFmtId="169" fontId="4" fillId="0" borderId="0" xfId="29" applyNumberFormat="1" applyFont="1">
      <alignment/>
      <protection/>
    </xf>
    <xf numFmtId="4" fontId="4" fillId="0" borderId="0" xfId="21" applyNumberFormat="1" applyFont="1" applyAlignment="1">
      <alignment/>
    </xf>
    <xf numFmtId="183" fontId="4" fillId="0" borderId="0" xfId="17" applyNumberFormat="1" applyFont="1" applyAlignment="1">
      <alignment/>
    </xf>
    <xf numFmtId="184" fontId="4" fillId="0" borderId="0" xfId="29" applyNumberFormat="1" applyFont="1">
      <alignment/>
      <protection/>
    </xf>
    <xf numFmtId="0" fontId="4" fillId="0" borderId="2" xfId="29" applyFont="1" applyBorder="1">
      <alignment/>
      <protection/>
    </xf>
    <xf numFmtId="184" fontId="4" fillId="0" borderId="2" xfId="17" applyNumberFormat="1" applyFont="1" applyBorder="1" applyAlignment="1">
      <alignment/>
    </xf>
    <xf numFmtId="4" fontId="4" fillId="0" borderId="2" xfId="21" applyNumberFormat="1" applyFont="1" applyBorder="1" applyAlignment="1">
      <alignment/>
    </xf>
    <xf numFmtId="170" fontId="4" fillId="0" borderId="2" xfId="29" applyNumberFormat="1" applyFont="1" applyBorder="1">
      <alignment/>
      <protection/>
    </xf>
    <xf numFmtId="170" fontId="4" fillId="0" borderId="2" xfId="17" applyNumberFormat="1" applyFont="1" applyBorder="1" applyAlignment="1">
      <alignment/>
    </xf>
    <xf numFmtId="183" fontId="4" fillId="0" borderId="2" xfId="17" applyNumberFormat="1" applyFont="1" applyBorder="1" applyAlignment="1">
      <alignment/>
    </xf>
    <xf numFmtId="169" fontId="4" fillId="0" borderId="2" xfId="29" applyNumberFormat="1" applyFont="1" applyBorder="1">
      <alignment/>
      <protection/>
    </xf>
    <xf numFmtId="173" fontId="4" fillId="0" borderId="0" xfId="19" applyNumberFormat="1" applyFont="1" applyFill="1" applyAlignment="1">
      <alignment horizontal="right"/>
    </xf>
    <xf numFmtId="174" fontId="4" fillId="0" borderId="0" xfId="15" applyNumberFormat="1" applyFont="1" applyFill="1" applyAlignment="1">
      <alignment/>
    </xf>
    <xf numFmtId="4" fontId="4" fillId="0" borderId="0" xfId="15" applyFont="1" applyBorder="1" applyAlignment="1">
      <alignment horizontal="center"/>
    </xf>
    <xf numFmtId="174" fontId="4" fillId="0" borderId="0" xfId="15" applyNumberFormat="1" applyFont="1" applyBorder="1" applyAlignment="1">
      <alignment horizontal="center" vertical="center"/>
    </xf>
    <xf numFmtId="174" fontId="4" fillId="0" borderId="0" xfId="15" applyNumberFormat="1" applyFont="1" applyFill="1" applyAlignment="1">
      <alignment/>
    </xf>
    <xf numFmtId="174" fontId="10" fillId="0" borderId="0" xfId="15" applyNumberFormat="1" applyFont="1" applyFill="1" applyBorder="1" applyAlignment="1">
      <alignment/>
    </xf>
    <xf numFmtId="174" fontId="4" fillId="0" borderId="0" xfId="15" applyNumberFormat="1" applyFont="1" applyFill="1" applyAlignment="1">
      <alignment/>
    </xf>
    <xf numFmtId="174" fontId="4" fillId="0" borderId="0" xfId="15" applyNumberFormat="1" applyFont="1" applyFill="1" applyAlignment="1" applyProtection="1">
      <alignment/>
      <protection locked="0"/>
    </xf>
    <xf numFmtId="174" fontId="4" fillId="0" borderId="2" xfId="15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166" fontId="5" fillId="0" borderId="0" xfId="19" applyFont="1" applyAlignment="1">
      <alignment/>
    </xf>
    <xf numFmtId="4" fontId="5" fillId="0" borderId="0" xfId="15" applyFont="1" applyAlignment="1">
      <alignment/>
    </xf>
    <xf numFmtId="174" fontId="4" fillId="0" borderId="0" xfId="15" applyNumberFormat="1" applyFont="1" applyFill="1" applyAlignment="1">
      <alignment/>
    </xf>
    <xf numFmtId="184" fontId="0" fillId="0" borderId="0" xfId="15" applyNumberFormat="1" applyAlignment="1">
      <alignment horizontal="right"/>
    </xf>
    <xf numFmtId="184" fontId="0" fillId="0" borderId="0" xfId="15" applyNumberFormat="1" applyAlignment="1">
      <alignment/>
    </xf>
    <xf numFmtId="184" fontId="4" fillId="0" borderId="0" xfId="15" applyNumberFormat="1" applyFont="1" applyBorder="1" applyAlignment="1">
      <alignment/>
    </xf>
    <xf numFmtId="184" fontId="4" fillId="0" borderId="0" xfId="15" applyNumberFormat="1" applyFont="1" applyAlignment="1">
      <alignment/>
    </xf>
    <xf numFmtId="184" fontId="4" fillId="0" borderId="2" xfId="15" applyNumberFormat="1" applyFont="1" applyBorder="1" applyAlignment="1">
      <alignment/>
    </xf>
    <xf numFmtId="0" fontId="4" fillId="0" borderId="0" xfId="29" applyFont="1" applyAlignment="1">
      <alignment horizontal="center"/>
      <protection/>
    </xf>
    <xf numFmtId="3" fontId="8" fillId="0" borderId="0" xfId="0" applyFont="1" applyBorder="1" applyAlignment="1">
      <alignment/>
    </xf>
    <xf numFmtId="3" fontId="4" fillId="0" borderId="1" xfId="0" applyFont="1" applyBorder="1" applyAlignment="1">
      <alignment/>
    </xf>
    <xf numFmtId="3" fontId="4" fillId="0" borderId="0" xfId="0" applyFont="1" applyBorder="1" applyAlignment="1">
      <alignment/>
    </xf>
    <xf numFmtId="170" fontId="4" fillId="0" borderId="0" xfId="15" applyNumberFormat="1" applyAlignment="1">
      <alignment/>
    </xf>
    <xf numFmtId="10" fontId="4" fillId="0" borderId="0" xfId="30" applyFont="1" applyAlignment="1">
      <alignment/>
    </xf>
    <xf numFmtId="169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4" fontId="4" fillId="0" borderId="2" xfId="0" applyNumberFormat="1" applyFont="1" applyBorder="1" applyAlignment="1">
      <alignment/>
    </xf>
    <xf numFmtId="174" fontId="4" fillId="0" borderId="0" xfId="0" applyNumberFormat="1" applyFont="1" applyBorder="1" applyAlignment="1">
      <alignment/>
    </xf>
    <xf numFmtId="184" fontId="4" fillId="0" borderId="0" xfId="15" applyNumberFormat="1" applyFont="1" applyAlignment="1">
      <alignment horizontal="right"/>
    </xf>
    <xf numFmtId="183" fontId="4" fillId="0" borderId="0" xfId="29" applyNumberFormat="1" applyFont="1">
      <alignment/>
      <protection/>
    </xf>
    <xf numFmtId="169" fontId="4" fillId="0" borderId="2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170" fontId="4" fillId="0" borderId="0" xfId="15" applyNumberFormat="1" applyFont="1" applyBorder="1" applyAlignment="1">
      <alignment/>
    </xf>
    <xf numFmtId="170" fontId="4" fillId="0" borderId="2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3" fontId="6" fillId="0" borderId="0" xfId="0" applyFont="1" applyAlignment="1">
      <alignment/>
    </xf>
    <xf numFmtId="3" fontId="4" fillId="0" borderId="0" xfId="18" applyFont="1" applyAlignment="1">
      <alignment/>
    </xf>
    <xf numFmtId="3" fontId="4" fillId="0" borderId="0" xfId="18" applyFont="1" applyAlignment="1">
      <alignment/>
    </xf>
    <xf numFmtId="3" fontId="4" fillId="0" borderId="0" xfId="0" applyFont="1" applyAlignment="1" quotePrefix="1">
      <alignment/>
    </xf>
    <xf numFmtId="3" fontId="5" fillId="0" borderId="6" xfId="0" applyFont="1" applyBorder="1" applyAlignment="1">
      <alignment/>
    </xf>
    <xf numFmtId="3" fontId="5" fillId="0" borderId="7" xfId="0" applyFont="1" applyBorder="1" applyAlignment="1">
      <alignment/>
    </xf>
    <xf numFmtId="3" fontId="5" fillId="0" borderId="8" xfId="0" applyFont="1" applyBorder="1" applyAlignment="1">
      <alignment/>
    </xf>
    <xf numFmtId="3" fontId="5" fillId="0" borderId="2" xfId="0" applyFont="1" applyBorder="1" applyAlignment="1">
      <alignment/>
    </xf>
    <xf numFmtId="4" fontId="0" fillId="0" borderId="1" xfId="15" applyBorder="1" applyAlignment="1">
      <alignment horizontal="center"/>
    </xf>
    <xf numFmtId="4" fontId="0" fillId="0" borderId="0" xfId="15" applyBorder="1" applyAlignment="1">
      <alignment horizontal="center"/>
    </xf>
    <xf numFmtId="4" fontId="0" fillId="0" borderId="2" xfId="15" applyBorder="1" applyAlignment="1">
      <alignment horizontal="center"/>
    </xf>
    <xf numFmtId="166" fontId="5" fillId="0" borderId="0" xfId="19" applyNumberFormat="1" applyFont="1" applyAlignment="1">
      <alignment/>
    </xf>
    <xf numFmtId="166" fontId="5" fillId="0" borderId="0" xfId="0" applyNumberFormat="1" applyFont="1" applyAlignment="1">
      <alignment/>
    </xf>
    <xf numFmtId="166" fontId="4" fillId="0" borderId="0" xfId="19" applyFont="1" applyBorder="1" applyAlignment="1">
      <alignment horizontal="center"/>
    </xf>
    <xf numFmtId="0" fontId="4" fillId="0" borderId="0" xfId="29" applyBorder="1">
      <alignment/>
      <protection/>
    </xf>
    <xf numFmtId="3" fontId="0" fillId="0" borderId="2" xfId="0" applyBorder="1" applyAlignment="1">
      <alignment/>
    </xf>
    <xf numFmtId="174" fontId="4" fillId="0" borderId="0" xfId="17" applyNumberFormat="1" applyFont="1" applyBorder="1" applyAlignment="1">
      <alignment horizontal="center"/>
    </xf>
    <xf numFmtId="3" fontId="5" fillId="0" borderId="0" xfId="0" applyFont="1" applyAlignment="1">
      <alignment horizontal="centerContinuous" vertical="center"/>
    </xf>
    <xf numFmtId="164" fontId="4" fillId="0" borderId="0" xfId="19" applyNumberFormat="1" applyFont="1" applyAlignment="1">
      <alignment/>
    </xf>
    <xf numFmtId="3" fontId="4" fillId="0" borderId="0" xfId="0" applyFont="1" applyAlignment="1">
      <alignment horizontal="left" vertical="center"/>
    </xf>
    <xf numFmtId="3" fontId="5" fillId="0" borderId="9" xfId="0" applyFont="1" applyBorder="1" applyAlignment="1">
      <alignment horizontal="centerContinuous" vertical="center"/>
    </xf>
    <xf numFmtId="3" fontId="5" fillId="0" borderId="10" xfId="0" applyFont="1" applyBorder="1" applyAlignment="1">
      <alignment horizontal="centerContinuous" vertical="center"/>
    </xf>
    <xf numFmtId="3" fontId="5" fillId="0" borderId="6" xfId="0" applyFont="1" applyBorder="1" applyAlignment="1">
      <alignment horizontal="centerContinuous" vertical="center"/>
    </xf>
    <xf numFmtId="3" fontId="5" fillId="0" borderId="7" xfId="0" applyFont="1" applyBorder="1" applyAlignment="1">
      <alignment horizontal="centerContinuous" vertical="center"/>
    </xf>
    <xf numFmtId="3" fontId="5" fillId="0" borderId="8" xfId="0" applyFont="1" applyBorder="1" applyAlignment="1">
      <alignment horizontal="centerContinuous" vertical="center"/>
    </xf>
    <xf numFmtId="3" fontId="5" fillId="0" borderId="11" xfId="0" applyFont="1" applyBorder="1" applyAlignment="1">
      <alignment horizontal="centerContinuous" vertical="center"/>
    </xf>
    <xf numFmtId="3" fontId="4" fillId="0" borderId="0" xfId="0" applyFont="1" applyBorder="1" applyAlignment="1">
      <alignment horizontal="centerContinuous"/>
    </xf>
    <xf numFmtId="3" fontId="4" fillId="0" borderId="0" xfId="0" applyFont="1" applyBorder="1" applyAlignment="1">
      <alignment horizontal="centerContinuous"/>
    </xf>
    <xf numFmtId="3" fontId="0" fillId="0" borderId="0" xfId="0" applyBorder="1" applyAlignment="1">
      <alignment/>
    </xf>
    <xf numFmtId="3" fontId="4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4" fillId="0" borderId="0" xfId="0" applyFont="1" applyBorder="1" applyAlignment="1">
      <alignment horizontal="left"/>
    </xf>
    <xf numFmtId="3" fontId="4" fillId="0" borderId="2" xfId="0" applyFont="1" applyBorder="1" applyAlignment="1">
      <alignment horizontal="centerContinuous" vertical="center"/>
    </xf>
    <xf numFmtId="3" fontId="4" fillId="0" borderId="0" xfId="0" applyFont="1" applyBorder="1" applyAlignment="1">
      <alignment horizontal="left" vertical="center"/>
    </xf>
    <xf numFmtId="10" fontId="4" fillId="0" borderId="0" xfId="30" applyFont="1" applyBorder="1" applyAlignment="1">
      <alignment/>
    </xf>
    <xf numFmtId="3" fontId="6" fillId="0" borderId="0" xfId="0" applyFont="1" applyAlignment="1">
      <alignment horizontal="left" vertical="center"/>
    </xf>
    <xf numFmtId="170" fontId="4" fillId="0" borderId="0" xfId="0" applyNumberFormat="1" applyFont="1" applyBorder="1" applyAlignment="1">
      <alignment/>
    </xf>
    <xf numFmtId="0" fontId="4" fillId="0" borderId="0" xfId="29" applyFont="1" applyBorder="1" applyAlignment="1">
      <alignment horizontal="centerContinuous"/>
      <protection/>
    </xf>
    <xf numFmtId="41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15" applyNumberFormat="1" applyFont="1" applyAlignment="1">
      <alignment horizontal="left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Alignment="1">
      <alignment horizontal="center"/>
    </xf>
    <xf numFmtId="3" fontId="4" fillId="0" borderId="2" xfId="0" applyFont="1" applyBorder="1" applyAlignment="1">
      <alignment horizontal="center"/>
    </xf>
    <xf numFmtId="3" fontId="4" fillId="0" borderId="0" xfId="0" applyFont="1" applyAlignment="1">
      <alignment horizontal="center" vertical="center"/>
    </xf>
    <xf numFmtId="3" fontId="5" fillId="0" borderId="0" xfId="0" applyFont="1" applyAlignment="1">
      <alignment horizontal="center"/>
    </xf>
    <xf numFmtId="3" fontId="7" fillId="0" borderId="3" xfId="0" applyFont="1" applyBorder="1" applyAlignment="1">
      <alignment horizontal="center"/>
    </xf>
    <xf numFmtId="3" fontId="7" fillId="0" borderId="12" xfId="0" applyFont="1" applyBorder="1" applyAlignment="1">
      <alignment horizontal="center" vertical="center" wrapText="1"/>
    </xf>
    <xf numFmtId="3" fontId="7" fillId="0" borderId="3" xfId="0" applyFont="1" applyBorder="1" applyAlignment="1">
      <alignment horizontal="center" vertical="center" wrapText="1"/>
    </xf>
    <xf numFmtId="3" fontId="7" fillId="0" borderId="0" xfId="0" applyFont="1" applyAlignment="1">
      <alignment horizontal="center" vertical="center" wrapText="1"/>
    </xf>
    <xf numFmtId="3" fontId="5" fillId="0" borderId="13" xfId="0" applyFont="1" applyBorder="1" applyAlignment="1">
      <alignment horizontal="center"/>
    </xf>
    <xf numFmtId="3" fontId="5" fillId="0" borderId="14" xfId="0" applyFont="1" applyBorder="1" applyAlignment="1">
      <alignment horizontal="center"/>
    </xf>
    <xf numFmtId="3" fontId="5" fillId="0" borderId="15" xfId="0" applyFont="1" applyBorder="1" applyAlignment="1">
      <alignment horizontal="center"/>
    </xf>
    <xf numFmtId="3" fontId="4" fillId="0" borderId="0" xfId="0" applyFont="1" applyAlignment="1">
      <alignment horizontal="center"/>
    </xf>
    <xf numFmtId="3" fontId="0" fillId="0" borderId="0" xfId="0" applyAlignment="1">
      <alignment/>
    </xf>
    <xf numFmtId="3" fontId="4" fillId="0" borderId="2" xfId="0" applyFont="1" applyBorder="1" applyAlignment="1">
      <alignment horizontal="center"/>
    </xf>
    <xf numFmtId="3" fontId="5" fillId="0" borderId="16" xfId="0" applyFont="1" applyBorder="1" applyAlignment="1">
      <alignment horizontal="center"/>
    </xf>
    <xf numFmtId="3" fontId="5" fillId="0" borderId="4" xfId="0" applyFont="1" applyBorder="1" applyAlignment="1">
      <alignment horizontal="center" vertical="center" wrapText="1"/>
    </xf>
    <xf numFmtId="3" fontId="5" fillId="0" borderId="0" xfId="0" applyFont="1" applyBorder="1" applyAlignment="1">
      <alignment horizontal="center" vertical="center" wrapText="1"/>
    </xf>
    <xf numFmtId="3" fontId="5" fillId="0" borderId="2" xfId="0" applyFont="1" applyBorder="1" applyAlignment="1">
      <alignment horizontal="center" vertical="center" wrapText="1"/>
    </xf>
    <xf numFmtId="3" fontId="4" fillId="0" borderId="0" xfId="0" applyFont="1" applyAlignment="1">
      <alignment horizontal="center" vertical="center"/>
    </xf>
    <xf numFmtId="3" fontId="4" fillId="0" borderId="3" xfId="0" applyFont="1" applyBorder="1" applyAlignment="1">
      <alignment horizontal="center"/>
    </xf>
    <xf numFmtId="3" fontId="4" fillId="0" borderId="0" xfId="0" applyFont="1" applyBorder="1" applyAlignment="1">
      <alignment horizontal="center"/>
    </xf>
    <xf numFmtId="3" fontId="4" fillId="0" borderId="0" xfId="15" applyNumberFormat="1" applyFont="1" applyAlignment="1">
      <alignment horizontal="center" vertical="center"/>
    </xf>
    <xf numFmtId="174" fontId="4" fillId="0" borderId="0" xfId="17" applyNumberFormat="1" applyFont="1" applyBorder="1" applyAlignment="1">
      <alignment horizontal="center"/>
    </xf>
    <xf numFmtId="0" fontId="4" fillId="0" borderId="2" xfId="29" applyFont="1" applyBorder="1" applyAlignment="1">
      <alignment horizontal="center"/>
      <protection/>
    </xf>
    <xf numFmtId="0" fontId="4" fillId="0" borderId="0" xfId="29" applyFont="1" applyAlignment="1">
      <alignment horizontal="center" vertical="center"/>
      <protection/>
    </xf>
  </cellXfs>
  <cellStyles count="18">
    <cellStyle name="Normal" xfId="0"/>
    <cellStyle name="Comma" xfId="15"/>
    <cellStyle name="Comma [0]" xfId="16"/>
    <cellStyle name="Comma_SFD2001PT4 TB19" xfId="17"/>
    <cellStyle name="Comma0" xfId="18"/>
    <cellStyle name="Currency" xfId="19"/>
    <cellStyle name="Currency [0]" xfId="20"/>
    <cellStyle name="Currency_SFD2001PT4 TB19" xfId="21"/>
    <cellStyle name="Currency0" xfId="22"/>
    <cellStyle name="Date" xfId="23"/>
    <cellStyle name="Fixed" xfId="24"/>
    <cellStyle name="Followed Hyperlink" xfId="25"/>
    <cellStyle name="Heading 1" xfId="26"/>
    <cellStyle name="Heading 2" xfId="27"/>
    <cellStyle name="Hyperlink" xfId="28"/>
    <cellStyle name="Normal_SFD2001PT4 TB19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view="pageBreakPreview" zoomScale="60" workbookViewId="0" topLeftCell="A5">
      <selection activeCell="A3" sqref="A3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875" style="1" customWidth="1"/>
    <col min="13" max="13" width="8.625" style="1" customWidth="1"/>
    <col min="14" max="14" width="5.00390625" style="1" customWidth="1"/>
    <col min="15" max="15" width="12.625" style="1" customWidth="1"/>
    <col min="16" max="16" width="5.50390625" style="3" customWidth="1"/>
    <col min="17" max="17" width="12.375" style="3" customWidth="1"/>
    <col min="18" max="18" width="12.75390625" style="3" customWidth="1"/>
    <col min="19" max="16384" width="12.00390625" style="3" customWidth="1"/>
  </cols>
  <sheetData>
    <row r="1" spans="1:15" ht="15.75" customHeight="1">
      <c r="A1" s="108" t="s">
        <v>71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17"/>
      <c r="O1" s="203"/>
    </row>
    <row r="2" spans="1:15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217"/>
      <c r="O2" s="203"/>
    </row>
    <row r="3" spans="1:15" s="115" customFormat="1" ht="12.75">
      <c r="A3" s="108" t="s">
        <v>179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217"/>
      <c r="O3" s="219" t="s">
        <v>181</v>
      </c>
    </row>
    <row r="4" spans="1:15" ht="12.75">
      <c r="A4" s="108" t="s">
        <v>168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217"/>
      <c r="O4" s="217"/>
    </row>
    <row r="5" spans="1:15" ht="13.5" thickBot="1">
      <c r="A5" s="4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170"/>
      <c r="O5" s="170"/>
    </row>
    <row r="6" spans="1:2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7"/>
      <c r="Q6" s="204" t="s">
        <v>177</v>
      </c>
      <c r="R6" s="205"/>
      <c r="S6" s="204" t="s">
        <v>177</v>
      </c>
      <c r="T6" s="205"/>
    </row>
    <row r="7" spans="12:20" ht="12.75">
      <c r="L7" s="216" t="s">
        <v>28</v>
      </c>
      <c r="M7" s="216"/>
      <c r="N7" s="215"/>
      <c r="Q7" s="206" t="s">
        <v>178</v>
      </c>
      <c r="R7" s="207"/>
      <c r="S7" s="206" t="s">
        <v>178</v>
      </c>
      <c r="T7" s="207"/>
    </row>
    <row r="8" spans="1:2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59</v>
      </c>
      <c r="M8" s="10" t="s">
        <v>60</v>
      </c>
      <c r="N8" s="25"/>
      <c r="O8" s="7"/>
      <c r="Q8" s="208" t="s">
        <v>149</v>
      </c>
      <c r="R8" s="209"/>
      <c r="S8" s="208" t="s">
        <v>165</v>
      </c>
      <c r="T8" s="209"/>
    </row>
    <row r="9" spans="1:20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38" t="s">
        <v>58</v>
      </c>
      <c r="M9" s="38" t="s">
        <v>58</v>
      </c>
      <c r="N9" s="37"/>
      <c r="O9" s="33" t="s">
        <v>158</v>
      </c>
      <c r="Q9" s="3" t="s">
        <v>180</v>
      </c>
      <c r="R9" s="20" t="s">
        <v>167</v>
      </c>
      <c r="S9" s="3" t="s">
        <v>180</v>
      </c>
      <c r="T9" s="20" t="s">
        <v>167</v>
      </c>
    </row>
    <row r="10" spans="1:20" ht="12.75">
      <c r="A10" s="7" t="s">
        <v>2</v>
      </c>
      <c r="B10" s="34">
        <f aca="true" t="shared" si="0" ref="B10:K10">SUM(B12:B43)</f>
        <v>5617081</v>
      </c>
      <c r="C10" s="34">
        <f t="shared" si="0"/>
        <v>5825906</v>
      </c>
      <c r="D10" s="34">
        <f t="shared" si="0"/>
        <v>6192537</v>
      </c>
      <c r="E10" s="34">
        <f t="shared" si="0"/>
        <v>6508317</v>
      </c>
      <c r="F10" s="34">
        <f t="shared" si="0"/>
        <v>6888280</v>
      </c>
      <c r="G10" s="34">
        <f t="shared" si="0"/>
        <v>7380283</v>
      </c>
      <c r="H10" s="34">
        <f t="shared" si="0"/>
        <v>7970074</v>
      </c>
      <c r="I10" s="34">
        <f t="shared" si="0"/>
        <v>8486727</v>
      </c>
      <c r="J10" s="34">
        <f t="shared" si="0"/>
        <v>8850582</v>
      </c>
      <c r="K10" s="34">
        <f t="shared" si="0"/>
        <v>9003039</v>
      </c>
      <c r="L10" s="172">
        <f>(K10-J10)/J10</f>
        <v>0.017225646855766094</v>
      </c>
      <c r="M10" s="172">
        <f>(K10-O10)/O10</f>
        <v>0.7206844177535332</v>
      </c>
      <c r="N10" s="218"/>
      <c r="O10" s="34">
        <f>SUM(O12:O43)</f>
        <v>5232243</v>
      </c>
      <c r="Q10" s="59">
        <f>SUM(Q12:Q43)</f>
        <v>8850583944</v>
      </c>
      <c r="R10" s="3">
        <f>SUM(R12:R39)</f>
        <v>8850583.944</v>
      </c>
      <c r="S10" s="3">
        <f>SUM(S12:S39)</f>
        <v>9003038090</v>
      </c>
      <c r="T10" s="3">
        <f>SUM(T12:T39)</f>
        <v>9003038.090000004</v>
      </c>
    </row>
    <row r="11" spans="2:15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173"/>
      <c r="M11" s="174"/>
      <c r="N11" s="174"/>
      <c r="O11" s="29"/>
    </row>
    <row r="12" spans="1:20" ht="12.75">
      <c r="A12" s="1" t="s">
        <v>3</v>
      </c>
      <c r="B12" s="35">
        <v>69064</v>
      </c>
      <c r="C12" s="35">
        <v>73297</v>
      </c>
      <c r="D12" s="35">
        <v>77600</v>
      </c>
      <c r="E12" s="35">
        <v>78292</v>
      </c>
      <c r="F12" s="35">
        <v>84288</v>
      </c>
      <c r="G12" s="71">
        <v>88134</v>
      </c>
      <c r="H12" s="71">
        <v>86729</v>
      </c>
      <c r="I12" s="71">
        <v>89967</v>
      </c>
      <c r="J12" s="71">
        <v>98185</v>
      </c>
      <c r="K12" s="71">
        <v>97244</v>
      </c>
      <c r="L12" s="173">
        <f>(K12-J12)*100/J12</f>
        <v>-0.9583948668330193</v>
      </c>
      <c r="M12" s="174">
        <f>(K12-O12)*100/O12</f>
        <v>48.49586171090004</v>
      </c>
      <c r="N12" s="174"/>
      <c r="O12" s="35">
        <v>65486</v>
      </c>
      <c r="Q12" s="3">
        <v>98184995</v>
      </c>
      <c r="R12" s="3">
        <f>Q12/1000</f>
        <v>98184.995</v>
      </c>
      <c r="S12" s="3">
        <v>97244376</v>
      </c>
      <c r="T12" s="3">
        <f>S12/1000</f>
        <v>97244.376</v>
      </c>
    </row>
    <row r="13" spans="1:20" ht="12.75">
      <c r="A13" s="1" t="s">
        <v>4</v>
      </c>
      <c r="B13" s="35">
        <v>491436</v>
      </c>
      <c r="C13" s="35">
        <v>507045</v>
      </c>
      <c r="D13" s="35">
        <v>535596</v>
      </c>
      <c r="E13" s="35">
        <v>550200</v>
      </c>
      <c r="F13" s="35">
        <v>564022</v>
      </c>
      <c r="G13" s="71">
        <v>619799</v>
      </c>
      <c r="H13" s="71">
        <v>681194</v>
      </c>
      <c r="I13" s="71">
        <v>712514</v>
      </c>
      <c r="J13" s="71">
        <v>708914</v>
      </c>
      <c r="K13" s="71">
        <v>742213</v>
      </c>
      <c r="L13" s="173">
        <f>(K13-J13)*100/J13</f>
        <v>4.697184707877119</v>
      </c>
      <c r="M13" s="174">
        <f>(K13-O13)*100/O13</f>
        <v>64.08843199027248</v>
      </c>
      <c r="N13" s="174"/>
      <c r="O13" s="35">
        <v>452325</v>
      </c>
      <c r="Q13" s="3">
        <v>708914341</v>
      </c>
      <c r="R13" s="3">
        <f>Q13/1000</f>
        <v>708914.341</v>
      </c>
      <c r="S13" s="3">
        <v>742213137</v>
      </c>
      <c r="T13" s="3">
        <f>S13/1000</f>
        <v>742213.137</v>
      </c>
    </row>
    <row r="14" spans="1:20" ht="12.75">
      <c r="A14" s="1" t="s">
        <v>5</v>
      </c>
      <c r="B14" s="35">
        <v>698404</v>
      </c>
      <c r="C14" s="35">
        <v>733243</v>
      </c>
      <c r="D14" s="35">
        <v>762726</v>
      </c>
      <c r="E14" s="35">
        <v>830744</v>
      </c>
      <c r="F14" s="35">
        <v>888189</v>
      </c>
      <c r="G14" s="71">
        <v>921335</v>
      </c>
      <c r="H14" s="71">
        <v>997820</v>
      </c>
      <c r="I14" s="71">
        <v>1001470</v>
      </c>
      <c r="J14" s="71">
        <v>1076252</v>
      </c>
      <c r="K14" s="71">
        <v>957892</v>
      </c>
      <c r="L14" s="173">
        <f>(K14-J14)*100/J14</f>
        <v>-10.99742439503016</v>
      </c>
      <c r="M14" s="174">
        <f>(K14-O14)*100/O14</f>
        <v>39.84825191875039</v>
      </c>
      <c r="N14" s="174"/>
      <c r="O14" s="35">
        <v>684951</v>
      </c>
      <c r="Q14" s="3">
        <v>1076251894</v>
      </c>
      <c r="R14" s="3">
        <f>Q14/1000</f>
        <v>1076251.894</v>
      </c>
      <c r="S14" s="3">
        <v>957891794</v>
      </c>
      <c r="T14" s="3">
        <f>S14/1000</f>
        <v>957891.794</v>
      </c>
    </row>
    <row r="15" spans="1:20" ht="12.75">
      <c r="A15" s="1" t="s">
        <v>6</v>
      </c>
      <c r="B15" s="35">
        <v>704416</v>
      </c>
      <c r="C15" s="35">
        <v>709758</v>
      </c>
      <c r="D15" s="35">
        <v>760873</v>
      </c>
      <c r="E15" s="35">
        <v>819191</v>
      </c>
      <c r="F15" s="35">
        <v>849132</v>
      </c>
      <c r="G15" s="71">
        <v>898621</v>
      </c>
      <c r="H15" s="71">
        <v>1017545</v>
      </c>
      <c r="I15" s="71">
        <v>1117149</v>
      </c>
      <c r="J15" s="71">
        <v>1102295</v>
      </c>
      <c r="K15" s="71">
        <v>1073412</v>
      </c>
      <c r="L15" s="173">
        <f>(K15-J15)*100/J15</f>
        <v>-2.620260456592836</v>
      </c>
      <c r="M15" s="174">
        <f>(K15-O15)*100/O15</f>
        <v>68.19656872807272</v>
      </c>
      <c r="N15" s="174"/>
      <c r="O15" s="35">
        <v>638189</v>
      </c>
      <c r="Q15" s="3">
        <v>1102295339</v>
      </c>
      <c r="R15" s="3">
        <f>Q15/1000</f>
        <v>1102295.339</v>
      </c>
      <c r="S15" s="3">
        <v>1073411984</v>
      </c>
      <c r="T15" s="3">
        <f>S15/1000</f>
        <v>1073411.984</v>
      </c>
    </row>
    <row r="16" spans="1:20" ht="12.75">
      <c r="A16" s="1" t="s">
        <v>7</v>
      </c>
      <c r="B16" s="35">
        <v>83839</v>
      </c>
      <c r="C16" s="35">
        <v>95631</v>
      </c>
      <c r="D16" s="35">
        <v>100862</v>
      </c>
      <c r="E16" s="35">
        <v>98672</v>
      </c>
      <c r="F16" s="35">
        <v>110946</v>
      </c>
      <c r="G16" s="71">
        <v>124370</v>
      </c>
      <c r="H16" s="71">
        <v>125232</v>
      </c>
      <c r="I16" s="71">
        <v>137158</v>
      </c>
      <c r="J16" s="71">
        <v>184379</v>
      </c>
      <c r="K16" s="71">
        <v>160638</v>
      </c>
      <c r="L16" s="173">
        <f>(K16-J16)*100/J16</f>
        <v>-12.876195228306912</v>
      </c>
      <c r="M16" s="174">
        <f>(K16-O16)*100/O16</f>
        <v>74.02957586262933</v>
      </c>
      <c r="N16" s="174"/>
      <c r="O16" s="35">
        <v>92305</v>
      </c>
      <c r="Q16" s="3">
        <v>184378688</v>
      </c>
      <c r="R16" s="3">
        <f>Q16/1000</f>
        <v>184378.688</v>
      </c>
      <c r="S16" s="3">
        <v>160637666</v>
      </c>
      <c r="T16" s="3">
        <f>S16/1000</f>
        <v>160637.666</v>
      </c>
    </row>
    <row r="17" spans="2:15" ht="12.75">
      <c r="B17" s="35"/>
      <c r="C17" s="35"/>
      <c r="D17" s="35"/>
      <c r="E17" s="35"/>
      <c r="F17" s="35"/>
      <c r="G17" s="71"/>
      <c r="H17" s="71"/>
      <c r="I17" s="71"/>
      <c r="J17" s="71"/>
      <c r="K17" s="71"/>
      <c r="L17" s="173"/>
      <c r="M17" s="174"/>
      <c r="N17" s="174"/>
      <c r="O17" s="35"/>
    </row>
    <row r="18" spans="1:20" ht="12.75">
      <c r="A18" s="1" t="s">
        <v>8</v>
      </c>
      <c r="B18" s="35">
        <v>32190</v>
      </c>
      <c r="C18" s="35">
        <v>33055</v>
      </c>
      <c r="D18" s="35">
        <v>35188</v>
      </c>
      <c r="E18" s="35">
        <v>37083</v>
      </c>
      <c r="F18" s="35">
        <v>39270</v>
      </c>
      <c r="G18" s="71">
        <v>41059</v>
      </c>
      <c r="H18" s="71">
        <v>41718</v>
      </c>
      <c r="I18" s="71">
        <v>49947</v>
      </c>
      <c r="J18" s="71">
        <v>47195</v>
      </c>
      <c r="K18" s="71">
        <v>49083</v>
      </c>
      <c r="L18" s="173">
        <f>(K18-J18)*100/J18</f>
        <v>4.000423773704842</v>
      </c>
      <c r="M18" s="174">
        <f>(K18-O18)*100/O18</f>
        <v>72.45098728128733</v>
      </c>
      <c r="N18" s="174"/>
      <c r="O18" s="35">
        <v>28462</v>
      </c>
      <c r="Q18" s="3">
        <v>47195199</v>
      </c>
      <c r="R18" s="3">
        <f>Q18/1000</f>
        <v>47195.199</v>
      </c>
      <c r="S18" s="3">
        <v>49083362</v>
      </c>
      <c r="T18" s="3">
        <f>S18/1000</f>
        <v>49083.362</v>
      </c>
    </row>
    <row r="19" spans="1:20" ht="12.75">
      <c r="A19" s="1" t="s">
        <v>9</v>
      </c>
      <c r="B19" s="35">
        <v>165651</v>
      </c>
      <c r="C19" s="35">
        <v>167603</v>
      </c>
      <c r="D19" s="35">
        <v>185377</v>
      </c>
      <c r="E19" s="35">
        <v>197513</v>
      </c>
      <c r="F19" s="35">
        <v>208721</v>
      </c>
      <c r="G19" s="71">
        <v>227382</v>
      </c>
      <c r="H19" s="71">
        <v>241049</v>
      </c>
      <c r="I19" s="71">
        <v>230735</v>
      </c>
      <c r="J19" s="71">
        <v>244464</v>
      </c>
      <c r="K19" s="71">
        <v>269083</v>
      </c>
      <c r="L19" s="173">
        <f>(K19-J19)*100/J19</f>
        <v>10.070603442633681</v>
      </c>
      <c r="M19" s="174">
        <f>(K19-O19)*100/O19</f>
        <v>82.92646448990136</v>
      </c>
      <c r="N19" s="174"/>
      <c r="O19" s="35">
        <v>147099</v>
      </c>
      <c r="Q19" s="3">
        <v>244464376</v>
      </c>
      <c r="R19" s="3">
        <f>Q19/1000</f>
        <v>244464.376</v>
      </c>
      <c r="S19" s="3">
        <v>269083450</v>
      </c>
      <c r="T19" s="3">
        <f>S19/1000</f>
        <v>269083.45</v>
      </c>
    </row>
    <row r="20" spans="1:20" ht="12.75">
      <c r="A20" s="1" t="s">
        <v>10</v>
      </c>
      <c r="B20" s="35">
        <v>92745</v>
      </c>
      <c r="C20" s="35">
        <v>97954</v>
      </c>
      <c r="D20" s="35">
        <v>101723</v>
      </c>
      <c r="E20" s="35">
        <v>106122</v>
      </c>
      <c r="F20" s="35">
        <v>114794</v>
      </c>
      <c r="G20" s="71">
        <v>122521</v>
      </c>
      <c r="H20" s="71">
        <v>132351</v>
      </c>
      <c r="I20" s="71">
        <v>133875</v>
      </c>
      <c r="J20" s="71">
        <v>142449</v>
      </c>
      <c r="K20" s="71">
        <v>146678</v>
      </c>
      <c r="L20" s="173">
        <f>(K20-J20)*100/J20</f>
        <v>2.968781809630113</v>
      </c>
      <c r="M20" s="174">
        <f>(K20-O20)*100/O20</f>
        <v>80.63125746585717</v>
      </c>
      <c r="N20" s="174"/>
      <c r="O20" s="35">
        <v>81203</v>
      </c>
      <c r="Q20" s="3">
        <v>142448528</v>
      </c>
      <c r="R20" s="3">
        <f>Q20/1000</f>
        <v>142448.528</v>
      </c>
      <c r="S20" s="3">
        <v>146677507</v>
      </c>
      <c r="T20" s="3">
        <f>S20/1000</f>
        <v>146677.507</v>
      </c>
    </row>
    <row r="21" spans="1:20" ht="12.75">
      <c r="A21" s="1" t="s">
        <v>11</v>
      </c>
      <c r="B21" s="35">
        <v>146710</v>
      </c>
      <c r="C21" s="35">
        <v>142478</v>
      </c>
      <c r="D21" s="35">
        <v>155131</v>
      </c>
      <c r="E21" s="35">
        <v>158622</v>
      </c>
      <c r="F21" s="35">
        <v>162290</v>
      </c>
      <c r="G21" s="71">
        <v>178448</v>
      </c>
      <c r="H21" s="71">
        <v>183411</v>
      </c>
      <c r="I21" s="71">
        <v>202299</v>
      </c>
      <c r="J21" s="71">
        <v>213818</v>
      </c>
      <c r="K21" s="71">
        <v>246301</v>
      </c>
      <c r="L21" s="173">
        <f>(K21-J21)*100/J21</f>
        <v>15.191892169976335</v>
      </c>
      <c r="M21" s="174">
        <f>(K21-O21)*100/O21</f>
        <v>95.18266106664554</v>
      </c>
      <c r="N21" s="174"/>
      <c r="O21" s="35">
        <v>126190</v>
      </c>
      <c r="Q21" s="3">
        <v>213818258</v>
      </c>
      <c r="R21" s="3">
        <f>Q21/1000</f>
        <v>213818.258</v>
      </c>
      <c r="S21" s="3">
        <v>246301055</v>
      </c>
      <c r="T21" s="3">
        <f>S21/1000</f>
        <v>246301.055</v>
      </c>
    </row>
    <row r="22" spans="1:20" ht="12.75">
      <c r="A22" s="1" t="s">
        <v>12</v>
      </c>
      <c r="B22" s="35">
        <v>32284</v>
      </c>
      <c r="C22" s="35">
        <v>34087</v>
      </c>
      <c r="D22" s="35">
        <v>39956</v>
      </c>
      <c r="E22" s="35">
        <v>38844</v>
      </c>
      <c r="F22" s="35">
        <v>38234</v>
      </c>
      <c r="G22" s="71">
        <v>40215</v>
      </c>
      <c r="H22" s="71">
        <v>48463</v>
      </c>
      <c r="I22" s="71">
        <v>44172</v>
      </c>
      <c r="J22" s="71">
        <v>51230</v>
      </c>
      <c r="K22" s="71">
        <v>52920</v>
      </c>
      <c r="L22" s="173">
        <f>(K22-J22)*100/J22</f>
        <v>3.2988483310560217</v>
      </c>
      <c r="M22" s="174">
        <f>(K22-O22)*100/O22</f>
        <v>75.94839910895368</v>
      </c>
      <c r="N22" s="174"/>
      <c r="O22" s="35">
        <v>30077</v>
      </c>
      <c r="Q22" s="3">
        <v>51230499</v>
      </c>
      <c r="R22" s="3">
        <f>Q22/1000</f>
        <v>51230.499</v>
      </c>
      <c r="S22" s="3">
        <v>52919904</v>
      </c>
      <c r="T22" s="3">
        <f>S22/1000</f>
        <v>52919.904</v>
      </c>
    </row>
    <row r="23" spans="2:15" ht="12.75">
      <c r="B23" s="35"/>
      <c r="C23" s="35"/>
      <c r="D23" s="35"/>
      <c r="E23" s="35"/>
      <c r="F23" s="35"/>
      <c r="G23" s="71"/>
      <c r="H23" s="71"/>
      <c r="I23" s="71"/>
      <c r="J23" s="71"/>
      <c r="K23" s="71"/>
      <c r="L23" s="173"/>
      <c r="M23" s="174"/>
      <c r="N23" s="174"/>
      <c r="O23" s="35"/>
    </row>
    <row r="24" spans="1:20" ht="12.75">
      <c r="A24" s="1" t="s">
        <v>13</v>
      </c>
      <c r="B24" s="35">
        <v>223325</v>
      </c>
      <c r="C24" s="35">
        <v>221656</v>
      </c>
      <c r="D24" s="35">
        <v>223304</v>
      </c>
      <c r="E24" s="35">
        <v>246399</v>
      </c>
      <c r="F24" s="35">
        <v>253938</v>
      </c>
      <c r="G24" s="71">
        <v>295404</v>
      </c>
      <c r="H24" s="71">
        <v>349660</v>
      </c>
      <c r="I24" s="71">
        <v>361907</v>
      </c>
      <c r="J24" s="71">
        <v>356240</v>
      </c>
      <c r="K24" s="71">
        <v>395228</v>
      </c>
      <c r="L24" s="173">
        <f>(K24-J24)*100/J24</f>
        <v>10.9443072086234</v>
      </c>
      <c r="M24" s="174">
        <f>(K24-O24)*100/O24</f>
        <v>114.13099424076111</v>
      </c>
      <c r="N24" s="174"/>
      <c r="O24" s="35">
        <v>184573</v>
      </c>
      <c r="Q24" s="3">
        <v>356239926</v>
      </c>
      <c r="R24" s="3">
        <f>Q24/1000</f>
        <v>356239.926</v>
      </c>
      <c r="S24" s="3">
        <v>395228108</v>
      </c>
      <c r="T24" s="3">
        <f>S24/1000</f>
        <v>395228.108</v>
      </c>
    </row>
    <row r="25" spans="1:20" ht="12.75">
      <c r="A25" s="1" t="s">
        <v>14</v>
      </c>
      <c r="B25" s="35">
        <v>31887</v>
      </c>
      <c r="C25" s="35">
        <v>33506</v>
      </c>
      <c r="D25" s="35">
        <v>34557</v>
      </c>
      <c r="E25" s="35">
        <v>35762</v>
      </c>
      <c r="F25" s="35">
        <v>37874</v>
      </c>
      <c r="G25" s="71">
        <v>38969</v>
      </c>
      <c r="H25" s="71">
        <v>41581</v>
      </c>
      <c r="I25" s="71">
        <v>41953</v>
      </c>
      <c r="J25" s="71">
        <v>44551</v>
      </c>
      <c r="K25" s="71">
        <v>47026</v>
      </c>
      <c r="L25" s="173">
        <f>(K25-J25)*100/J25</f>
        <v>5.555430854526273</v>
      </c>
      <c r="M25" s="174">
        <f>(K25-O25)*100/O25</f>
        <v>53.504161906316305</v>
      </c>
      <c r="N25" s="174"/>
      <c r="O25" s="35">
        <v>30635</v>
      </c>
      <c r="Q25" s="3">
        <v>44550907</v>
      </c>
      <c r="R25" s="3">
        <f>Q25/1000</f>
        <v>44550.907</v>
      </c>
      <c r="S25" s="3">
        <v>47026421</v>
      </c>
      <c r="T25" s="3">
        <f>S25/1000</f>
        <v>47026.421</v>
      </c>
    </row>
    <row r="26" spans="1:20" ht="12.75">
      <c r="A26" s="1" t="s">
        <v>15</v>
      </c>
      <c r="B26" s="35">
        <v>219788</v>
      </c>
      <c r="C26" s="35">
        <v>232610</v>
      </c>
      <c r="D26" s="35">
        <v>247380</v>
      </c>
      <c r="E26" s="35">
        <v>257645</v>
      </c>
      <c r="F26" s="35">
        <v>269878</v>
      </c>
      <c r="G26" s="71">
        <v>284858</v>
      </c>
      <c r="H26" s="71">
        <v>305934</v>
      </c>
      <c r="I26" s="71">
        <v>324907</v>
      </c>
      <c r="J26" s="71">
        <v>376886</v>
      </c>
      <c r="K26" s="71">
        <v>353437</v>
      </c>
      <c r="L26" s="173">
        <f>(K26-J26)*100/J26</f>
        <v>-6.221775284834141</v>
      </c>
      <c r="M26" s="174">
        <f>(K26-O26)*100/O26</f>
        <v>70.31302705255347</v>
      </c>
      <c r="N26" s="174"/>
      <c r="O26" s="35">
        <v>207522</v>
      </c>
      <c r="Q26" s="3">
        <v>376886304</v>
      </c>
      <c r="R26" s="3">
        <f>Q26/1000</f>
        <v>376886.304</v>
      </c>
      <c r="S26" s="3">
        <v>353436943</v>
      </c>
      <c r="T26" s="3">
        <f>S26/1000</f>
        <v>353436.943</v>
      </c>
    </row>
    <row r="27" spans="1:20" ht="12.75">
      <c r="A27" s="1" t="s">
        <v>16</v>
      </c>
      <c r="B27" s="35">
        <v>303793</v>
      </c>
      <c r="C27" s="35">
        <v>327273</v>
      </c>
      <c r="D27" s="35">
        <v>331368</v>
      </c>
      <c r="E27" s="35">
        <v>338686</v>
      </c>
      <c r="F27" s="35">
        <v>370505</v>
      </c>
      <c r="G27" s="71">
        <v>390008</v>
      </c>
      <c r="H27" s="71">
        <v>475042</v>
      </c>
      <c r="I27" s="71">
        <v>493745</v>
      </c>
      <c r="J27" s="71">
        <v>494928</v>
      </c>
      <c r="K27" s="71">
        <v>559437</v>
      </c>
      <c r="L27" s="173">
        <f>(K27-J27)*100/J27</f>
        <v>13.034017069149453</v>
      </c>
      <c r="M27" s="174">
        <f>(K27-O27)*100/O27</f>
        <v>100.15133789135871</v>
      </c>
      <c r="N27" s="174"/>
      <c r="O27" s="35">
        <v>279507</v>
      </c>
      <c r="Q27" s="3">
        <v>494928414</v>
      </c>
      <c r="R27" s="3">
        <f>Q27/1000</f>
        <v>494928.414</v>
      </c>
      <c r="S27" s="3">
        <v>559436815</v>
      </c>
      <c r="T27" s="3">
        <f>S27/1000</f>
        <v>559436.815</v>
      </c>
    </row>
    <row r="28" spans="1:20" ht="12.75">
      <c r="A28" s="1" t="s">
        <v>17</v>
      </c>
      <c r="B28" s="35">
        <v>19408</v>
      </c>
      <c r="C28" s="35">
        <v>20272</v>
      </c>
      <c r="D28" s="35">
        <v>20487</v>
      </c>
      <c r="E28" s="35">
        <v>21847</v>
      </c>
      <c r="F28" s="35">
        <v>23100</v>
      </c>
      <c r="G28" s="71">
        <v>23824</v>
      </c>
      <c r="H28" s="71">
        <v>25269</v>
      </c>
      <c r="I28" s="71">
        <v>28095</v>
      </c>
      <c r="J28" s="71">
        <v>28065</v>
      </c>
      <c r="K28" s="71">
        <v>27472</v>
      </c>
      <c r="L28" s="173">
        <f>(K28-J28)*100/J28</f>
        <v>-2.1129520755389275</v>
      </c>
      <c r="M28" s="174">
        <f>(K28-O28)*100/O28</f>
        <v>46.86982090350174</v>
      </c>
      <c r="N28" s="174"/>
      <c r="O28" s="35">
        <v>18705</v>
      </c>
      <c r="Q28" s="3">
        <v>28065018</v>
      </c>
      <c r="R28" s="3">
        <f>Q28/1000</f>
        <v>28065.018</v>
      </c>
      <c r="S28" s="3">
        <v>27471607</v>
      </c>
      <c r="T28" s="3">
        <f>S28/1000</f>
        <v>27471.607</v>
      </c>
    </row>
    <row r="29" spans="2:15" ht="12.75">
      <c r="B29" s="35"/>
      <c r="C29" s="35"/>
      <c r="D29" s="35"/>
      <c r="E29" s="35"/>
      <c r="F29" s="35"/>
      <c r="G29" s="71"/>
      <c r="H29" s="71"/>
      <c r="I29" s="71"/>
      <c r="J29" s="71"/>
      <c r="K29" s="71"/>
      <c r="L29" s="173"/>
      <c r="M29" s="174"/>
      <c r="N29" s="174"/>
      <c r="O29" s="35"/>
    </row>
    <row r="30" spans="1:20" ht="12.75">
      <c r="A30" s="1" t="s">
        <v>18</v>
      </c>
      <c r="B30" s="35">
        <v>1040473</v>
      </c>
      <c r="C30" s="35">
        <v>1132305</v>
      </c>
      <c r="D30" s="35">
        <v>1213594</v>
      </c>
      <c r="E30" s="35">
        <v>1215231</v>
      </c>
      <c r="F30" s="35">
        <v>1274645</v>
      </c>
      <c r="G30" s="71">
        <v>1418909</v>
      </c>
      <c r="H30" s="71">
        <v>1461746</v>
      </c>
      <c r="I30" s="71">
        <v>1637600</v>
      </c>
      <c r="J30" s="71">
        <v>1687194</v>
      </c>
      <c r="K30" s="71">
        <v>1749383</v>
      </c>
      <c r="L30" s="173">
        <f>(K30-J30)*100/J30</f>
        <v>3.6859424583065135</v>
      </c>
      <c r="M30" s="174">
        <f>(K30-O30)*100/O30</f>
        <v>75.5997843877888</v>
      </c>
      <c r="N30" s="174"/>
      <c r="O30" s="35">
        <v>996233</v>
      </c>
      <c r="Q30" s="3">
        <v>1687193911</v>
      </c>
      <c r="R30" s="3">
        <f>Q30/1000</f>
        <v>1687193.911</v>
      </c>
      <c r="S30" s="3">
        <v>1749383051</v>
      </c>
      <c r="T30" s="3">
        <f>S30/1000</f>
        <v>1749383.051</v>
      </c>
    </row>
    <row r="31" spans="1:20" ht="12.75">
      <c r="A31" s="1" t="s">
        <v>19</v>
      </c>
      <c r="B31" s="35">
        <v>831351</v>
      </c>
      <c r="C31" s="35">
        <v>826167</v>
      </c>
      <c r="D31" s="35">
        <v>862397</v>
      </c>
      <c r="E31" s="35">
        <v>957375</v>
      </c>
      <c r="F31" s="35">
        <v>1034618</v>
      </c>
      <c r="G31" s="71">
        <v>1090606</v>
      </c>
      <c r="H31" s="71">
        <v>1154200</v>
      </c>
      <c r="I31" s="71">
        <v>1240972</v>
      </c>
      <c r="J31" s="71">
        <v>1294042</v>
      </c>
      <c r="K31" s="71">
        <v>1360942</v>
      </c>
      <c r="L31" s="173">
        <f>(K31-J31)*100/J31</f>
        <v>5.169847655640234</v>
      </c>
      <c r="M31" s="174">
        <f>(K31-O31)*100/O31</f>
        <v>77.60699287192698</v>
      </c>
      <c r="N31" s="174"/>
      <c r="O31" s="35">
        <v>766266</v>
      </c>
      <c r="Q31" s="3">
        <v>1294042279</v>
      </c>
      <c r="R31" s="3">
        <f>Q31/1000</f>
        <v>1294042.279</v>
      </c>
      <c r="S31" s="3">
        <v>1360941685</v>
      </c>
      <c r="T31" s="3">
        <f>S31/1000</f>
        <v>1360941.685</v>
      </c>
    </row>
    <row r="32" spans="1:20" ht="12.75">
      <c r="A32" s="1" t="s">
        <v>20</v>
      </c>
      <c r="B32" s="35">
        <v>44542</v>
      </c>
      <c r="C32" s="35">
        <v>42347</v>
      </c>
      <c r="D32" s="35">
        <v>51200</v>
      </c>
      <c r="E32" s="35">
        <v>60333</v>
      </c>
      <c r="F32" s="35">
        <v>57843</v>
      </c>
      <c r="G32" s="71">
        <v>54864</v>
      </c>
      <c r="H32" s="71">
        <v>67190</v>
      </c>
      <c r="I32" s="71">
        <v>66235</v>
      </c>
      <c r="J32" s="71">
        <v>81773</v>
      </c>
      <c r="K32" s="71">
        <v>81327</v>
      </c>
      <c r="L32" s="173">
        <f>(K32-J32)*100/J32</f>
        <v>-0.5454122999033911</v>
      </c>
      <c r="M32" s="174">
        <f>(K32-O32)*100/O32</f>
        <v>114.76444491391148</v>
      </c>
      <c r="N32" s="174"/>
      <c r="O32" s="35">
        <v>37868</v>
      </c>
      <c r="Q32" s="3">
        <v>81773266</v>
      </c>
      <c r="R32" s="3">
        <f>Q32/1000</f>
        <v>81773.266</v>
      </c>
      <c r="S32" s="3">
        <v>81326789</v>
      </c>
      <c r="T32" s="3">
        <f>S32/1000</f>
        <v>81326.789</v>
      </c>
    </row>
    <row r="33" spans="1:20" ht="12.75">
      <c r="A33" s="1" t="s">
        <v>21</v>
      </c>
      <c r="B33" s="35">
        <v>84891</v>
      </c>
      <c r="C33" s="35">
        <v>92725</v>
      </c>
      <c r="D33" s="35">
        <v>107660</v>
      </c>
      <c r="E33" s="35">
        <v>112297</v>
      </c>
      <c r="F33" s="35">
        <v>119745</v>
      </c>
      <c r="G33" s="71">
        <v>129322</v>
      </c>
      <c r="H33" s="71">
        <v>135038</v>
      </c>
      <c r="I33" s="71">
        <v>158477</v>
      </c>
      <c r="J33" s="71">
        <v>147632</v>
      </c>
      <c r="K33" s="71">
        <v>157898</v>
      </c>
      <c r="L33" s="173">
        <f>(K33-J33)*100/J33</f>
        <v>6.953776958924895</v>
      </c>
      <c r="M33" s="174">
        <f>(K33-O33)*100/O33</f>
        <v>88.62276164422836</v>
      </c>
      <c r="N33" s="174"/>
      <c r="O33" s="35">
        <v>83711</v>
      </c>
      <c r="Q33" s="3">
        <v>147631560</v>
      </c>
      <c r="R33" s="3">
        <f>Q33/1000</f>
        <v>147631.56</v>
      </c>
      <c r="S33" s="3">
        <v>157897783</v>
      </c>
      <c r="T33" s="3">
        <f>S33/1000</f>
        <v>157897.783</v>
      </c>
    </row>
    <row r="34" spans="1:20" ht="12.75">
      <c r="A34" s="1" t="s">
        <v>22</v>
      </c>
      <c r="B34" s="35">
        <v>21504</v>
      </c>
      <c r="C34" s="35">
        <v>24092</v>
      </c>
      <c r="D34" s="35">
        <v>24917</v>
      </c>
      <c r="E34" s="35">
        <v>25084</v>
      </c>
      <c r="F34" s="35">
        <v>25351</v>
      </c>
      <c r="G34" s="71">
        <v>26133</v>
      </c>
      <c r="H34" s="71">
        <v>26872</v>
      </c>
      <c r="I34" s="71">
        <v>27993</v>
      </c>
      <c r="J34" s="71">
        <v>29284</v>
      </c>
      <c r="K34" s="71">
        <v>29776</v>
      </c>
      <c r="L34" s="173">
        <f>(K34-J34)*100/J34</f>
        <v>1.680098347220325</v>
      </c>
      <c r="M34" s="174">
        <f>(K34-O34)*100/O34</f>
        <v>46.4561507058187</v>
      </c>
      <c r="N34" s="174"/>
      <c r="O34" s="35">
        <v>20331</v>
      </c>
      <c r="Q34" s="3">
        <v>29283953</v>
      </c>
      <c r="R34" s="3">
        <f>Q34/1000</f>
        <v>29283.953</v>
      </c>
      <c r="S34" s="3">
        <v>29775925</v>
      </c>
      <c r="T34" s="3">
        <f>S34/1000</f>
        <v>29775.925</v>
      </c>
    </row>
    <row r="35" spans="2:15" ht="12.75">
      <c r="B35" s="35"/>
      <c r="C35" s="35"/>
      <c r="D35" s="35"/>
      <c r="E35" s="35"/>
      <c r="F35" s="35"/>
      <c r="G35" s="71"/>
      <c r="H35" s="71"/>
      <c r="I35" s="71"/>
      <c r="J35" s="71"/>
      <c r="K35" s="71"/>
      <c r="L35" s="173"/>
      <c r="M35" s="174"/>
      <c r="N35" s="174"/>
      <c r="O35" s="35"/>
    </row>
    <row r="36" spans="1:20" ht="12.75">
      <c r="A36" s="1" t="s">
        <v>23</v>
      </c>
      <c r="B36" s="35">
        <v>28246</v>
      </c>
      <c r="C36" s="35">
        <v>29745</v>
      </c>
      <c r="D36" s="35">
        <v>35255</v>
      </c>
      <c r="E36" s="35">
        <v>34685</v>
      </c>
      <c r="F36" s="35">
        <v>34231</v>
      </c>
      <c r="G36" s="71">
        <v>33549</v>
      </c>
      <c r="H36" s="71">
        <v>39166</v>
      </c>
      <c r="I36" s="71">
        <v>41303</v>
      </c>
      <c r="J36" s="71">
        <v>46683</v>
      </c>
      <c r="K36" s="71">
        <v>43808</v>
      </c>
      <c r="L36" s="173">
        <f>(K36-J36)*100/J36</f>
        <v>-6.158558790137738</v>
      </c>
      <c r="M36" s="174">
        <f>(K36-O36)*100/O36</f>
        <v>52.16923130362291</v>
      </c>
      <c r="N36" s="174"/>
      <c r="O36" s="35">
        <v>28789</v>
      </c>
      <c r="Q36" s="3">
        <v>46682687</v>
      </c>
      <c r="R36" s="3">
        <f>Q36/1000</f>
        <v>46682.687</v>
      </c>
      <c r="S36" s="3">
        <v>43808220</v>
      </c>
      <c r="T36" s="3">
        <f>S36/1000</f>
        <v>43808.22</v>
      </c>
    </row>
    <row r="37" spans="1:20" ht="12.75">
      <c r="A37" s="1" t="s">
        <v>24</v>
      </c>
      <c r="B37" s="35">
        <v>125303</v>
      </c>
      <c r="C37" s="35">
        <v>124531</v>
      </c>
      <c r="D37" s="35">
        <v>133691</v>
      </c>
      <c r="E37" s="35">
        <v>136896</v>
      </c>
      <c r="F37" s="35">
        <v>144029</v>
      </c>
      <c r="G37" s="71">
        <v>155275</v>
      </c>
      <c r="H37" s="71">
        <v>155567</v>
      </c>
      <c r="I37" s="71">
        <v>160302</v>
      </c>
      <c r="J37" s="71">
        <v>179357</v>
      </c>
      <c r="K37" s="71">
        <v>186242</v>
      </c>
      <c r="L37" s="173">
        <f>(K37-J37)*100/J37</f>
        <v>3.8387127349364674</v>
      </c>
      <c r="M37" s="174">
        <f>(K37-O37)*100/O37</f>
        <v>62.75200335567537</v>
      </c>
      <c r="N37" s="174"/>
      <c r="O37" s="35">
        <v>114433</v>
      </c>
      <c r="Q37" s="3">
        <v>179357358</v>
      </c>
      <c r="R37" s="3">
        <f>Q37/1000</f>
        <v>179357.358</v>
      </c>
      <c r="S37" s="3">
        <v>186241817</v>
      </c>
      <c r="T37" s="3">
        <f>S37/1000</f>
        <v>186241.817</v>
      </c>
    </row>
    <row r="38" spans="1:20" ht="12.75">
      <c r="A38" s="1" t="s">
        <v>25</v>
      </c>
      <c r="B38" s="35">
        <v>83378</v>
      </c>
      <c r="C38" s="35">
        <v>80904</v>
      </c>
      <c r="D38" s="35">
        <v>97738</v>
      </c>
      <c r="E38" s="35">
        <v>98556</v>
      </c>
      <c r="F38" s="35">
        <v>126669</v>
      </c>
      <c r="G38" s="71">
        <v>111711</v>
      </c>
      <c r="H38" s="71">
        <v>115354</v>
      </c>
      <c r="I38" s="71">
        <v>118450</v>
      </c>
      <c r="J38" s="71">
        <v>140570</v>
      </c>
      <c r="K38" s="71">
        <v>137772</v>
      </c>
      <c r="L38" s="173">
        <f>(K38-J38)*100/J38</f>
        <v>-1.9904673827986057</v>
      </c>
      <c r="M38" s="174">
        <f>(K38-O38)*100/O38</f>
        <v>79.93652617968577</v>
      </c>
      <c r="N38" s="174"/>
      <c r="O38" s="35">
        <v>76567</v>
      </c>
      <c r="Q38" s="3">
        <v>140570380</v>
      </c>
      <c r="R38" s="3">
        <f>Q38/1000</f>
        <v>140570.38</v>
      </c>
      <c r="S38" s="3">
        <v>137771988</v>
      </c>
      <c r="T38" s="3">
        <f>S38/1000</f>
        <v>137771.988</v>
      </c>
    </row>
    <row r="39" spans="1:20" ht="12.75">
      <c r="A39" s="17" t="s">
        <v>26</v>
      </c>
      <c r="B39" s="35">
        <v>42453</v>
      </c>
      <c r="C39" s="35">
        <v>43622</v>
      </c>
      <c r="D39" s="35">
        <v>53957</v>
      </c>
      <c r="E39" s="35">
        <v>52238</v>
      </c>
      <c r="F39" s="35">
        <v>55968</v>
      </c>
      <c r="G39" s="175">
        <v>64967</v>
      </c>
      <c r="H39" s="176">
        <v>61943</v>
      </c>
      <c r="I39" s="176">
        <v>65502</v>
      </c>
      <c r="J39" s="176">
        <v>74196</v>
      </c>
      <c r="K39" s="176">
        <v>77827</v>
      </c>
      <c r="L39" s="173">
        <f>(K39-J39)*100/J39</f>
        <v>4.89379481373659</v>
      </c>
      <c r="M39" s="174">
        <f>(K39-O39)*100/O39</f>
        <v>90.67767542140336</v>
      </c>
      <c r="N39" s="174"/>
      <c r="O39" s="35">
        <v>40816</v>
      </c>
      <c r="Q39" s="3">
        <v>74195864</v>
      </c>
      <c r="R39" s="3">
        <f>Q39/1000</f>
        <v>74195.864</v>
      </c>
      <c r="S39" s="3">
        <v>77826703</v>
      </c>
      <c r="T39" s="3">
        <f>S39/1000</f>
        <v>77826.703</v>
      </c>
    </row>
    <row r="40" spans="1:15" ht="12.75">
      <c r="A40" s="1" t="s">
        <v>29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</row>
    <row r="41" spans="12:15" ht="12.75">
      <c r="L41" s="15"/>
      <c r="O41" s="14"/>
    </row>
    <row r="42" spans="1:15" ht="12.75">
      <c r="A42" s="3" t="s">
        <v>30</v>
      </c>
      <c r="O42" s="14"/>
    </row>
    <row r="43" ht="12.75">
      <c r="O43" s="14"/>
    </row>
    <row r="44" ht="12.75">
      <c r="O44" s="14"/>
    </row>
    <row r="45" ht="12.75">
      <c r="O45" s="14"/>
    </row>
    <row r="46" ht="12.75">
      <c r="O46" s="14"/>
    </row>
    <row r="47" ht="12.75">
      <c r="O47" s="14"/>
    </row>
    <row r="48" ht="12.75">
      <c r="O48" s="14"/>
    </row>
    <row r="49" ht="12.75">
      <c r="O49" s="14"/>
    </row>
    <row r="50" ht="12.75">
      <c r="O50" s="14"/>
    </row>
    <row r="51" ht="12.75">
      <c r="O51" s="14"/>
    </row>
    <row r="52" ht="12.75">
      <c r="O52" s="14"/>
    </row>
    <row r="53" ht="12.75">
      <c r="O53" s="14"/>
    </row>
  </sheetData>
  <printOptions horizontalCentered="1"/>
  <pageMargins left="0.34" right="0.36" top="1" bottom="0.93" header="0.5" footer="0.52"/>
  <pageSetup fitToHeight="1" fitToWidth="1" horizontalDpi="600" verticalDpi="600" orientation="landscape" scale="79" r:id="rId1"/>
  <headerFooter alignWithMargins="0">
    <oddFooter>&amp;L&amp;"Lucida Sans,Italic"&amp;10MSDE-DBS 1 / 2006&amp;C- 1 -&amp;R&amp;"Lucida Sans,Italic"&amp;10Selected Financial Data - Part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H2">
      <selection activeCell="O2" sqref="O2"/>
    </sheetView>
  </sheetViews>
  <sheetFormatPr defaultColWidth="9.00390625" defaultRowHeight="15.75"/>
  <cols>
    <col min="1" max="1" width="12.875" style="29" customWidth="1"/>
    <col min="2" max="11" width="12.625" style="29" customWidth="1"/>
    <col min="12" max="14" width="7.125" style="29" customWidth="1"/>
    <col min="15" max="15" width="11.625" style="29" bestFit="1" customWidth="1"/>
    <col min="16" max="16" width="11.625" style="29" customWidth="1"/>
    <col min="17" max="17" width="12.875" style="29" customWidth="1"/>
    <col min="18" max="46" width="10.125" style="29" customWidth="1"/>
    <col min="47" max="16384" width="10.00390625" style="29" customWidth="1"/>
  </cols>
  <sheetData>
    <row r="1" spans="1:14" ht="15.75" customHeight="1">
      <c r="A1" s="237" t="s">
        <v>66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8"/>
    </row>
    <row r="2" spans="6:15" ht="12.75">
      <c r="F2" s="30"/>
      <c r="G2" s="30"/>
      <c r="H2" s="30"/>
      <c r="I2" s="30"/>
      <c r="J2" s="30"/>
      <c r="K2" s="30"/>
      <c r="L2" s="30"/>
      <c r="O2" s="29" t="s">
        <v>181</v>
      </c>
    </row>
    <row r="3" spans="1:13" s="80" customFormat="1" ht="12.75" customHeight="1">
      <c r="A3" s="237" t="s">
        <v>61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4" ht="12.75" customHeight="1">
      <c r="A4" s="226" t="s">
        <v>168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0"/>
    </row>
    <row r="5" ht="13.5" thickBot="1">
      <c r="Q5" s="38" t="s">
        <v>165</v>
      </c>
    </row>
    <row r="6" spans="1:17" ht="13.5" thickTop="1">
      <c r="A6" s="31"/>
      <c r="B6" s="31"/>
      <c r="C6" s="31"/>
      <c r="D6" s="31"/>
      <c r="E6" s="31"/>
      <c r="F6" s="31"/>
      <c r="G6" s="31"/>
      <c r="H6" s="31"/>
      <c r="I6" s="5"/>
      <c r="J6" s="5"/>
      <c r="K6" s="5"/>
      <c r="L6" s="31"/>
      <c r="M6" s="31"/>
      <c r="N6" s="31"/>
      <c r="O6" s="31"/>
      <c r="P6" s="32"/>
      <c r="Q6" s="29" t="s">
        <v>137</v>
      </c>
    </row>
    <row r="7" spans="1:17" ht="12.75">
      <c r="A7" s="32"/>
      <c r="B7" s="32"/>
      <c r="C7" s="32"/>
      <c r="D7" s="32"/>
      <c r="I7" s="1"/>
      <c r="J7" s="1"/>
      <c r="K7" s="1"/>
      <c r="L7" s="239" t="s">
        <v>28</v>
      </c>
      <c r="M7" s="239"/>
      <c r="N7" s="211"/>
      <c r="O7" s="32"/>
      <c r="P7" s="32"/>
      <c r="Q7" s="29" t="s">
        <v>138</v>
      </c>
    </row>
    <row r="8" spans="1:17" ht="12.75">
      <c r="A8" s="32"/>
      <c r="B8" s="32"/>
      <c r="C8" s="32"/>
      <c r="D8" s="32"/>
      <c r="E8" s="32"/>
      <c r="F8" s="32"/>
      <c r="G8" s="32"/>
      <c r="H8" s="32"/>
      <c r="I8" s="7"/>
      <c r="J8" s="7"/>
      <c r="K8" s="7"/>
      <c r="L8" s="37" t="s">
        <v>59</v>
      </c>
      <c r="M8" s="37" t="s">
        <v>60</v>
      </c>
      <c r="N8" s="37"/>
      <c r="O8" s="32"/>
      <c r="P8" s="32"/>
      <c r="Q8" s="29" t="s">
        <v>139</v>
      </c>
    </row>
    <row r="9" spans="1:16" ht="13.5" thickBot="1">
      <c r="A9" s="33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38" t="s">
        <v>58</v>
      </c>
      <c r="M9" s="38" t="s">
        <v>58</v>
      </c>
      <c r="N9" s="38"/>
      <c r="O9" s="33" t="s">
        <v>158</v>
      </c>
      <c r="P9" s="32"/>
    </row>
    <row r="10" spans="1:17" ht="12.75">
      <c r="A10" s="32" t="s">
        <v>2</v>
      </c>
      <c r="B10" s="34">
        <f aca="true" t="shared" si="0" ref="B10:K10">SUM(B12:B43)</f>
        <v>89974121</v>
      </c>
      <c r="C10" s="34">
        <f t="shared" si="0"/>
        <v>103377197</v>
      </c>
      <c r="D10" s="34">
        <f t="shared" si="0"/>
        <v>116431397</v>
      </c>
      <c r="E10" s="34">
        <f t="shared" si="0"/>
        <v>140544581</v>
      </c>
      <c r="F10" s="34">
        <f t="shared" si="0"/>
        <v>149634198</v>
      </c>
      <c r="G10" s="34">
        <f t="shared" si="0"/>
        <v>156732080</v>
      </c>
      <c r="H10" s="34">
        <f t="shared" si="0"/>
        <v>161235753.71000004</v>
      </c>
      <c r="I10" s="34">
        <f t="shared" si="0"/>
        <v>178761000.96</v>
      </c>
      <c r="J10" s="34">
        <f t="shared" si="0"/>
        <v>203920664.82</v>
      </c>
      <c r="K10" s="34">
        <f t="shared" si="0"/>
        <v>213000797.39999998</v>
      </c>
      <c r="L10" s="12">
        <f>(K10-J10)/J10</f>
        <v>0.044527770581833784</v>
      </c>
      <c r="M10" s="12">
        <f>(L10-O10)/O10</f>
        <v>-0.9999999994698364</v>
      </c>
      <c r="N10" s="12"/>
      <c r="O10" s="34">
        <f>SUM(O12:O43)</f>
        <v>83988741</v>
      </c>
      <c r="P10" s="34"/>
      <c r="Q10" s="34">
        <f>SUM(Q12:Q43)</f>
        <v>213000797.39999998</v>
      </c>
    </row>
    <row r="11" spans="2:17" ht="12.75">
      <c r="B11" s="35"/>
      <c r="C11" s="35"/>
      <c r="D11" s="39"/>
      <c r="E11" s="32"/>
      <c r="F11" s="32"/>
      <c r="G11" s="32"/>
      <c r="H11" s="32"/>
      <c r="I11" s="32"/>
      <c r="J11" s="32"/>
      <c r="K11" s="32"/>
      <c r="L11" s="1"/>
      <c r="M11" s="14"/>
      <c r="N11" s="14"/>
      <c r="Q11" s="32"/>
    </row>
    <row r="12" spans="1:17" ht="12.75">
      <c r="A12" s="29" t="s">
        <v>3</v>
      </c>
      <c r="B12" s="35">
        <v>191126</v>
      </c>
      <c r="C12" s="35">
        <v>160311</v>
      </c>
      <c r="D12" s="39">
        <v>281020</v>
      </c>
      <c r="E12" s="69">
        <v>643797</v>
      </c>
      <c r="F12" s="69">
        <v>976023</v>
      </c>
      <c r="G12" s="69">
        <v>1522014</v>
      </c>
      <c r="H12" s="69">
        <v>1241064.67</v>
      </c>
      <c r="I12" s="69">
        <v>1341555.09</v>
      </c>
      <c r="J12" s="69">
        <v>1468133</v>
      </c>
      <c r="K12" s="69">
        <v>1771864.05</v>
      </c>
      <c r="L12" s="85">
        <f>(K12-J12)*100/J12</f>
        <v>20.68825167747064</v>
      </c>
      <c r="M12" s="16">
        <f>(K12-O12)*100/O12</f>
        <v>1825.5415185994198</v>
      </c>
      <c r="N12" s="16"/>
      <c r="O12" s="35">
        <v>92019</v>
      </c>
      <c r="P12" s="35"/>
      <c r="Q12" s="76">
        <v>1771864.05</v>
      </c>
    </row>
    <row r="13" spans="1:17" ht="12.75">
      <c r="A13" s="29" t="s">
        <v>4</v>
      </c>
      <c r="B13" s="35">
        <v>7649506</v>
      </c>
      <c r="C13" s="35">
        <v>8006561</v>
      </c>
      <c r="D13" s="39">
        <v>8361332</v>
      </c>
      <c r="E13" s="69">
        <v>10846922</v>
      </c>
      <c r="F13" s="69">
        <v>10128026</v>
      </c>
      <c r="G13" s="69">
        <v>9809359</v>
      </c>
      <c r="H13" s="69">
        <v>9411406</v>
      </c>
      <c r="I13" s="69">
        <v>16227234</v>
      </c>
      <c r="J13" s="69">
        <v>16779698</v>
      </c>
      <c r="K13" s="69">
        <v>16638996.42</v>
      </c>
      <c r="L13" s="85">
        <f>(K13-J13)*100/J13</f>
        <v>-0.8385227195388145</v>
      </c>
      <c r="M13" s="16">
        <f>(K13-O13)*100/O13</f>
        <v>129.13195229857033</v>
      </c>
      <c r="N13" s="16"/>
      <c r="O13" s="35">
        <v>7261753</v>
      </c>
      <c r="P13" s="35"/>
      <c r="Q13" s="86">
        <v>16638996.42</v>
      </c>
    </row>
    <row r="14" spans="1:17" ht="12.75">
      <c r="A14" s="29" t="s">
        <v>5</v>
      </c>
      <c r="B14" s="35">
        <v>23868338</v>
      </c>
      <c r="C14" s="35">
        <v>30556484</v>
      </c>
      <c r="D14" s="39">
        <v>37170905</v>
      </c>
      <c r="E14" s="69">
        <v>51823235</v>
      </c>
      <c r="F14" s="69">
        <v>49125659</v>
      </c>
      <c r="G14" s="69">
        <v>49291512</v>
      </c>
      <c r="H14" s="69">
        <v>47103119</v>
      </c>
      <c r="I14" s="69">
        <v>44372489</v>
      </c>
      <c r="J14" s="69">
        <v>46173731</v>
      </c>
      <c r="K14" s="69">
        <v>50888720.33</v>
      </c>
      <c r="L14" s="85">
        <f>(K14-J14)*100/J14</f>
        <v>10.211410747812426</v>
      </c>
      <c r="M14" s="16">
        <f>(K14-O14)*100/O14</f>
        <v>123.70426444944333</v>
      </c>
      <c r="N14" s="16"/>
      <c r="O14" s="35">
        <v>22748212</v>
      </c>
      <c r="P14" s="35"/>
      <c r="Q14" s="86">
        <v>50888720.33</v>
      </c>
    </row>
    <row r="15" spans="1:17" ht="12.75">
      <c r="A15" s="29" t="s">
        <v>6</v>
      </c>
      <c r="B15" s="35">
        <v>7312671</v>
      </c>
      <c r="C15" s="35">
        <v>9065154</v>
      </c>
      <c r="D15" s="39">
        <v>10411190</v>
      </c>
      <c r="E15" s="69">
        <v>15428413</v>
      </c>
      <c r="F15" s="69">
        <v>22378649</v>
      </c>
      <c r="G15" s="69">
        <v>17660925</v>
      </c>
      <c r="H15" s="69">
        <v>19995561</v>
      </c>
      <c r="I15" s="69">
        <v>22906210</v>
      </c>
      <c r="J15" s="69">
        <v>28000070</v>
      </c>
      <c r="K15" s="69">
        <v>27857478.12</v>
      </c>
      <c r="L15" s="85">
        <f>(K15-J15)*100/J15</f>
        <v>-0.5092554411471077</v>
      </c>
      <c r="M15" s="16">
        <f>(K15-O15)*100/O15</f>
        <v>240.45449681378582</v>
      </c>
      <c r="N15" s="16"/>
      <c r="O15" s="35">
        <v>8182438</v>
      </c>
      <c r="P15" s="35"/>
      <c r="Q15" s="86">
        <v>27857478.12</v>
      </c>
    </row>
    <row r="16" spans="1:17" ht="12.75">
      <c r="A16" s="29" t="s">
        <v>7</v>
      </c>
      <c r="B16" s="35">
        <v>449857</v>
      </c>
      <c r="C16" s="35">
        <v>584576</v>
      </c>
      <c r="D16" s="39">
        <v>663875</v>
      </c>
      <c r="E16" s="69">
        <v>820639</v>
      </c>
      <c r="F16" s="69">
        <v>864468</v>
      </c>
      <c r="G16" s="69">
        <v>1114523</v>
      </c>
      <c r="H16" s="69">
        <v>1664781.9</v>
      </c>
      <c r="I16" s="69">
        <v>2052000.04</v>
      </c>
      <c r="J16" s="69">
        <v>2241887.14</v>
      </c>
      <c r="K16" s="69">
        <v>2198223.53</v>
      </c>
      <c r="L16" s="85">
        <f>(K16-J16)*100/J16</f>
        <v>-1.9476274795884834</v>
      </c>
      <c r="M16" s="16">
        <f>(K16-O16)*100/O16</f>
        <v>379.01807575473623</v>
      </c>
      <c r="N16" s="16"/>
      <c r="O16" s="35">
        <v>458902</v>
      </c>
      <c r="P16" s="35"/>
      <c r="Q16" s="86">
        <v>2198223.53</v>
      </c>
    </row>
    <row r="17" spans="2:17" ht="12.75">
      <c r="B17" s="35"/>
      <c r="C17" s="35"/>
      <c r="D17" s="39"/>
      <c r="E17" s="69"/>
      <c r="F17" s="69"/>
      <c r="G17" s="69"/>
      <c r="H17" s="69"/>
      <c r="I17" s="69"/>
      <c r="J17" s="69"/>
      <c r="K17" s="69"/>
      <c r="L17" s="15"/>
      <c r="M17" s="16"/>
      <c r="N17" s="16"/>
      <c r="O17" s="35"/>
      <c r="P17" s="35"/>
      <c r="Q17" s="86"/>
    </row>
    <row r="18" spans="1:17" ht="12.75">
      <c r="A18" s="29" t="s">
        <v>8</v>
      </c>
      <c r="B18" s="35">
        <v>157339</v>
      </c>
      <c r="C18" s="35">
        <v>143878</v>
      </c>
      <c r="D18" s="39">
        <v>143053</v>
      </c>
      <c r="E18" s="69">
        <v>199524</v>
      </c>
      <c r="F18" s="69">
        <v>224303</v>
      </c>
      <c r="G18" s="69">
        <v>200873</v>
      </c>
      <c r="H18" s="69">
        <v>262868.63</v>
      </c>
      <c r="I18" s="69">
        <v>322174.26</v>
      </c>
      <c r="J18" s="69">
        <v>338090.18</v>
      </c>
      <c r="K18" s="69">
        <v>534149</v>
      </c>
      <c r="L18" s="85">
        <f>(K18-J18)*100/J18</f>
        <v>57.990096015211094</v>
      </c>
      <c r="M18" s="16">
        <f>(K18-O18)*100/O18</f>
        <v>257.27118281295986</v>
      </c>
      <c r="N18" s="16"/>
      <c r="O18" s="35">
        <v>149508</v>
      </c>
      <c r="P18" s="35"/>
      <c r="Q18" s="86">
        <v>534149</v>
      </c>
    </row>
    <row r="19" spans="1:17" ht="12.75">
      <c r="A19" s="29" t="s">
        <v>9</v>
      </c>
      <c r="B19" s="35">
        <v>1513701</v>
      </c>
      <c r="C19" s="35">
        <v>1453077</v>
      </c>
      <c r="D19" s="39">
        <v>1538802</v>
      </c>
      <c r="E19" s="69">
        <v>2127540</v>
      </c>
      <c r="F19" s="69">
        <v>2884568</v>
      </c>
      <c r="G19" s="69">
        <v>3253543</v>
      </c>
      <c r="H19" s="69">
        <v>4117736.74</v>
      </c>
      <c r="I19" s="69">
        <v>4687278.71</v>
      </c>
      <c r="J19" s="69">
        <v>5271942.49</v>
      </c>
      <c r="K19" s="69">
        <v>5352717.97</v>
      </c>
      <c r="L19" s="85">
        <f>(K19-J19)*100/J19</f>
        <v>1.5321768049104707</v>
      </c>
      <c r="M19" s="16">
        <f>(K19-O19)*100/O19</f>
        <v>333.6888562099447</v>
      </c>
      <c r="N19" s="16"/>
      <c r="O19" s="35">
        <v>1234230</v>
      </c>
      <c r="P19" s="35"/>
      <c r="Q19" s="86">
        <v>5352717.97</v>
      </c>
    </row>
    <row r="20" spans="1:17" ht="12.75">
      <c r="A20" s="29" t="s">
        <v>10</v>
      </c>
      <c r="B20" s="35">
        <v>431503</v>
      </c>
      <c r="C20" s="35">
        <v>581970</v>
      </c>
      <c r="D20" s="39">
        <v>721794</v>
      </c>
      <c r="E20" s="69">
        <v>657215</v>
      </c>
      <c r="F20" s="69">
        <v>723817</v>
      </c>
      <c r="G20" s="69">
        <v>884360</v>
      </c>
      <c r="H20" s="69">
        <v>1341863.93</v>
      </c>
      <c r="I20" s="69">
        <v>1837268.47</v>
      </c>
      <c r="J20" s="69">
        <v>1996941.53</v>
      </c>
      <c r="K20" s="69">
        <v>2372012.69</v>
      </c>
      <c r="L20" s="85">
        <f>(K20-J20)*100/J20</f>
        <v>18.78228052075215</v>
      </c>
      <c r="M20" s="16">
        <f>(K20-O20)*100/O20</f>
        <v>376.7759285724336</v>
      </c>
      <c r="N20" s="16"/>
      <c r="O20" s="35">
        <v>497511</v>
      </c>
      <c r="P20" s="35"/>
      <c r="Q20" s="86">
        <v>2372012.69</v>
      </c>
    </row>
    <row r="21" spans="1:17" ht="12.75">
      <c r="A21" s="29" t="s">
        <v>11</v>
      </c>
      <c r="B21" s="35">
        <v>702142</v>
      </c>
      <c r="C21" s="35">
        <v>1079942</v>
      </c>
      <c r="D21" s="39">
        <v>1695340</v>
      </c>
      <c r="E21" s="69">
        <v>2180167</v>
      </c>
      <c r="F21" s="69">
        <v>1919332</v>
      </c>
      <c r="G21" s="69">
        <v>2602218</v>
      </c>
      <c r="H21" s="69">
        <v>2595986.17</v>
      </c>
      <c r="I21" s="69">
        <v>2422764.43</v>
      </c>
      <c r="J21" s="69">
        <v>2453526.58</v>
      </c>
      <c r="K21" s="69">
        <v>3038027.57</v>
      </c>
      <c r="L21" s="85">
        <f>(K21-J21)*100/J21</f>
        <v>23.822892108224064</v>
      </c>
      <c r="M21" s="16">
        <f>(K21-O21)*100/O21</f>
        <v>193.7801532903465</v>
      </c>
      <c r="N21" s="16"/>
      <c r="O21" s="35">
        <v>1034116</v>
      </c>
      <c r="P21" s="35"/>
      <c r="Q21" s="86">
        <v>3038027.57</v>
      </c>
    </row>
    <row r="22" spans="1:17" ht="12.75">
      <c r="A22" s="29" t="s">
        <v>12</v>
      </c>
      <c r="B22" s="35">
        <v>36257</v>
      </c>
      <c r="C22" s="35">
        <v>9012</v>
      </c>
      <c r="D22" s="39">
        <v>-17769</v>
      </c>
      <c r="E22" s="69">
        <v>7883</v>
      </c>
      <c r="F22" s="69">
        <v>70811</v>
      </c>
      <c r="G22" s="69">
        <v>57045</v>
      </c>
      <c r="H22" s="152">
        <v>0</v>
      </c>
      <c r="I22" s="152">
        <v>0</v>
      </c>
      <c r="J22" s="152">
        <v>0</v>
      </c>
      <c r="K22" s="152">
        <v>0</v>
      </c>
      <c r="L22" s="151" t="s">
        <v>96</v>
      </c>
      <c r="M22" s="151" t="s">
        <v>96</v>
      </c>
      <c r="N22" s="151"/>
      <c r="O22" s="39">
        <v>0</v>
      </c>
      <c r="P22" s="39"/>
      <c r="Q22" s="86">
        <v>0</v>
      </c>
    </row>
    <row r="23" spans="2:17" ht="12.75">
      <c r="B23" s="35"/>
      <c r="C23" s="35"/>
      <c r="D23" s="39"/>
      <c r="E23" s="69"/>
      <c r="F23" s="69"/>
      <c r="G23" s="69"/>
      <c r="H23" s="69"/>
      <c r="I23" s="69"/>
      <c r="J23" s="69"/>
      <c r="K23" s="69"/>
      <c r="L23" s="15"/>
      <c r="M23" s="16"/>
      <c r="N23" s="16"/>
      <c r="O23" s="35"/>
      <c r="P23" s="35"/>
      <c r="Q23" s="86"/>
    </row>
    <row r="24" spans="1:17" ht="12.75">
      <c r="A24" s="29" t="s">
        <v>13</v>
      </c>
      <c r="B24" s="35">
        <v>1247218</v>
      </c>
      <c r="C24" s="35">
        <v>1426190</v>
      </c>
      <c r="D24" s="39">
        <v>2605232</v>
      </c>
      <c r="E24" s="69">
        <v>2549045</v>
      </c>
      <c r="F24" s="69">
        <v>2562879</v>
      </c>
      <c r="G24" s="69">
        <v>2259436</v>
      </c>
      <c r="H24" s="69">
        <v>1686186.95</v>
      </c>
      <c r="I24" s="69">
        <v>1988703.58</v>
      </c>
      <c r="J24" s="69">
        <v>2629812.05</v>
      </c>
      <c r="K24" s="69">
        <v>3198938.99</v>
      </c>
      <c r="L24" s="85">
        <f>(K24-J24)*100/J24</f>
        <v>21.641354179664685</v>
      </c>
      <c r="M24" s="16">
        <f>(K24-O24)*100/O24</f>
        <v>194.383507399299</v>
      </c>
      <c r="N24" s="16"/>
      <c r="O24" s="35">
        <v>1086657</v>
      </c>
      <c r="P24" s="35"/>
      <c r="Q24" s="86">
        <v>3198938.99</v>
      </c>
    </row>
    <row r="25" spans="1:17" ht="12.75">
      <c r="A25" s="29" t="s">
        <v>14</v>
      </c>
      <c r="B25" s="35">
        <v>136142</v>
      </c>
      <c r="C25" s="35">
        <v>145987</v>
      </c>
      <c r="D25" s="39">
        <v>22079</v>
      </c>
      <c r="E25" s="69">
        <v>34624</v>
      </c>
      <c r="F25" s="69">
        <v>80166</v>
      </c>
      <c r="G25" s="152">
        <v>0</v>
      </c>
      <c r="H25" s="69">
        <v>100947.23</v>
      </c>
      <c r="I25" s="69">
        <v>110086.24</v>
      </c>
      <c r="J25" s="69">
        <v>147840.74</v>
      </c>
      <c r="K25" s="69">
        <v>176852.13</v>
      </c>
      <c r="L25" s="85">
        <f>(K25-J25)*100/J25</f>
        <v>19.623406917470795</v>
      </c>
      <c r="M25" s="16">
        <f>(K25-O25)*100/O25</f>
        <v>385.11117511520735</v>
      </c>
      <c r="N25" s="16"/>
      <c r="O25" s="35">
        <v>36456</v>
      </c>
      <c r="P25" s="35"/>
      <c r="Q25" s="86">
        <v>176852.13</v>
      </c>
    </row>
    <row r="26" spans="1:17" ht="12.75">
      <c r="A26" s="29" t="s">
        <v>15</v>
      </c>
      <c r="B26" s="35">
        <v>1361041</v>
      </c>
      <c r="C26" s="35">
        <v>2303965</v>
      </c>
      <c r="D26" s="39">
        <v>2921430</v>
      </c>
      <c r="E26" s="69">
        <v>3106594</v>
      </c>
      <c r="F26" s="69">
        <v>3146102</v>
      </c>
      <c r="G26" s="69">
        <v>3467646</v>
      </c>
      <c r="H26" s="69">
        <v>4067039.94</v>
      </c>
      <c r="I26" s="69">
        <v>4825533.19</v>
      </c>
      <c r="J26" s="69">
        <v>5671475</v>
      </c>
      <c r="K26" s="69">
        <v>6673444.289999999</v>
      </c>
      <c r="L26" s="85">
        <f>(K26-J26)*100/J26</f>
        <v>17.666820183461958</v>
      </c>
      <c r="M26" s="16">
        <f>(K26-O26)*100/O26</f>
        <v>450.7209970580103</v>
      </c>
      <c r="N26" s="16"/>
      <c r="O26" s="35">
        <v>1211765</v>
      </c>
      <c r="P26" s="35"/>
      <c r="Q26" s="86">
        <v>6673444.289999999</v>
      </c>
    </row>
    <row r="27" spans="1:17" ht="12.75">
      <c r="A27" s="29" t="s">
        <v>16</v>
      </c>
      <c r="B27" s="35">
        <v>2508611</v>
      </c>
      <c r="C27" s="35">
        <v>2830848</v>
      </c>
      <c r="D27" s="39">
        <v>2825398</v>
      </c>
      <c r="E27" s="69">
        <v>42514</v>
      </c>
      <c r="F27" s="152">
        <v>0</v>
      </c>
      <c r="G27" s="69">
        <v>4670868</v>
      </c>
      <c r="H27" s="69">
        <v>5489616</v>
      </c>
      <c r="I27" s="69">
        <v>3145354.99</v>
      </c>
      <c r="J27" s="69">
        <v>7540486</v>
      </c>
      <c r="K27" s="69">
        <v>8231031.959999999</v>
      </c>
      <c r="L27" s="85">
        <f>(K27-J27)*100/J27</f>
        <v>9.157844202615046</v>
      </c>
      <c r="M27" s="16">
        <f>(K27-O27)*100/O27</f>
        <v>200.32907853587676</v>
      </c>
      <c r="N27" s="16"/>
      <c r="O27" s="35">
        <v>2740671</v>
      </c>
      <c r="P27" s="35"/>
      <c r="Q27" s="86">
        <v>8231031.959999999</v>
      </c>
    </row>
    <row r="28" spans="1:17" ht="12.75">
      <c r="A28" s="29" t="s">
        <v>17</v>
      </c>
      <c r="B28" s="35">
        <v>22870</v>
      </c>
      <c r="C28" s="35">
        <v>33411</v>
      </c>
      <c r="D28" s="39">
        <v>37208</v>
      </c>
      <c r="E28" s="69">
        <v>70149</v>
      </c>
      <c r="F28" s="69">
        <v>35524</v>
      </c>
      <c r="G28" s="69">
        <v>54210</v>
      </c>
      <c r="H28" s="69">
        <v>27250</v>
      </c>
      <c r="I28" s="69">
        <v>101585</v>
      </c>
      <c r="J28" s="69">
        <v>65223</v>
      </c>
      <c r="K28" s="69">
        <v>63179</v>
      </c>
      <c r="L28" s="85">
        <f>(K28-J28)*100/J28</f>
        <v>-3.1338638210447236</v>
      </c>
      <c r="M28" s="16">
        <f>(K28-O28)*100/O28</f>
        <v>318.73674443266174</v>
      </c>
      <c r="N28" s="16"/>
      <c r="O28" s="35">
        <v>15088</v>
      </c>
      <c r="P28" s="35"/>
      <c r="Q28" s="86">
        <v>63179</v>
      </c>
    </row>
    <row r="29" spans="2:17" ht="12.75">
      <c r="B29" s="35"/>
      <c r="C29" s="35"/>
      <c r="D29" s="39"/>
      <c r="E29" s="69"/>
      <c r="F29" s="69"/>
      <c r="G29" s="69"/>
      <c r="H29" s="69"/>
      <c r="I29" s="69"/>
      <c r="J29" s="69"/>
      <c r="K29" s="69"/>
      <c r="L29" s="15"/>
      <c r="M29" s="16"/>
      <c r="N29" s="16"/>
      <c r="O29" s="35"/>
      <c r="P29" s="35"/>
      <c r="Q29" s="86"/>
    </row>
    <row r="30" spans="1:17" ht="12.75">
      <c r="A30" s="29" t="s">
        <v>18</v>
      </c>
      <c r="B30" s="35">
        <v>19173780</v>
      </c>
      <c r="C30" s="35">
        <v>20080952</v>
      </c>
      <c r="D30" s="39">
        <v>19714560</v>
      </c>
      <c r="E30" s="69">
        <v>17383405</v>
      </c>
      <c r="F30" s="69">
        <v>18369620</v>
      </c>
      <c r="G30" s="69">
        <v>18929685</v>
      </c>
      <c r="H30" s="69">
        <v>20044203</v>
      </c>
      <c r="I30" s="69">
        <v>24852540</v>
      </c>
      <c r="J30" s="69">
        <v>29673573</v>
      </c>
      <c r="K30" s="69">
        <v>29381339.76</v>
      </c>
      <c r="L30" s="85">
        <f>(K30-J30)*100/J30</f>
        <v>-0.9848265997492057</v>
      </c>
      <c r="M30" s="16">
        <f>(K30-O30)*100/O30</f>
        <v>65.50070275446404</v>
      </c>
      <c r="N30" s="16"/>
      <c r="O30" s="35">
        <v>17753000</v>
      </c>
      <c r="P30" s="35"/>
      <c r="Q30" s="86">
        <v>29381339.76</v>
      </c>
    </row>
    <row r="31" spans="1:17" ht="12.75">
      <c r="A31" s="29" t="s">
        <v>19</v>
      </c>
      <c r="B31" s="35">
        <v>20724566</v>
      </c>
      <c r="C31" s="35">
        <v>22761440</v>
      </c>
      <c r="D31" s="39">
        <v>24630996</v>
      </c>
      <c r="E31" s="69">
        <v>28849186</v>
      </c>
      <c r="F31" s="69">
        <v>32255290</v>
      </c>
      <c r="G31" s="69">
        <v>36555275</v>
      </c>
      <c r="H31" s="69">
        <v>37365921</v>
      </c>
      <c r="I31" s="69">
        <v>42537599</v>
      </c>
      <c r="J31" s="69">
        <v>47184734</v>
      </c>
      <c r="K31" s="69">
        <v>47828432.12</v>
      </c>
      <c r="L31" s="85">
        <f>(K31-J31)*100/J31</f>
        <v>1.364208432328976</v>
      </c>
      <c r="M31" s="16">
        <f>(K31-O31)*100/O31</f>
        <v>167.94925055224675</v>
      </c>
      <c r="N31" s="16"/>
      <c r="O31" s="35">
        <v>17849810</v>
      </c>
      <c r="P31" s="35"/>
      <c r="Q31" s="86">
        <v>47828432.12</v>
      </c>
    </row>
    <row r="32" spans="1:17" ht="12.75">
      <c r="A32" s="29" t="s">
        <v>20</v>
      </c>
      <c r="B32" s="35">
        <v>283125</v>
      </c>
      <c r="C32" s="39">
        <v>0</v>
      </c>
      <c r="D32" s="39">
        <v>121000</v>
      </c>
      <c r="E32" s="69">
        <v>709327</v>
      </c>
      <c r="F32" s="69">
        <v>609990</v>
      </c>
      <c r="G32" s="69">
        <v>514990</v>
      </c>
      <c r="H32" s="69">
        <v>410242.65</v>
      </c>
      <c r="I32" s="69">
        <v>486535.77</v>
      </c>
      <c r="J32" s="69">
        <v>510747.9</v>
      </c>
      <c r="K32" s="69">
        <v>748786.09</v>
      </c>
      <c r="L32" s="85">
        <f>(K32-J32)*100/J32</f>
        <v>46.60580885403541</v>
      </c>
      <c r="M32" s="151" t="s">
        <v>96</v>
      </c>
      <c r="N32" s="151"/>
      <c r="O32" s="39">
        <v>0</v>
      </c>
      <c r="P32" s="39"/>
      <c r="Q32" s="86">
        <v>748786.09</v>
      </c>
    </row>
    <row r="33" spans="1:17" ht="12.75">
      <c r="A33" s="29" t="s">
        <v>21</v>
      </c>
      <c r="B33" s="35">
        <v>790806</v>
      </c>
      <c r="C33" s="35">
        <v>713350</v>
      </c>
      <c r="D33" s="39">
        <v>709701</v>
      </c>
      <c r="E33" s="69">
        <v>736769</v>
      </c>
      <c r="F33" s="69">
        <v>763189</v>
      </c>
      <c r="G33" s="69">
        <v>749661</v>
      </c>
      <c r="H33" s="69">
        <v>835864.66</v>
      </c>
      <c r="I33" s="69">
        <v>1043329.92</v>
      </c>
      <c r="J33" s="69">
        <v>1487632.99</v>
      </c>
      <c r="K33" s="69">
        <v>1373877.74</v>
      </c>
      <c r="L33" s="85">
        <f>(K33-J33)*100/J33</f>
        <v>-7.646728108658037</v>
      </c>
      <c r="M33" s="16">
        <f>(K33-O33)*100/O33</f>
        <v>145.54139009525852</v>
      </c>
      <c r="N33" s="16"/>
      <c r="O33" s="35">
        <v>559530</v>
      </c>
      <c r="P33" s="35"/>
      <c r="Q33" s="86">
        <v>1373877.74</v>
      </c>
    </row>
    <row r="34" spans="1:17" ht="12.75">
      <c r="A34" s="29" t="s">
        <v>22</v>
      </c>
      <c r="B34" s="39">
        <v>0</v>
      </c>
      <c r="C34" s="39">
        <v>0</v>
      </c>
      <c r="D34" s="39">
        <v>77035</v>
      </c>
      <c r="E34" s="69">
        <v>69272</v>
      </c>
      <c r="F34" s="69">
        <v>32866</v>
      </c>
      <c r="G34" s="69">
        <v>158356</v>
      </c>
      <c r="H34" s="69">
        <v>157968.06</v>
      </c>
      <c r="I34" s="69">
        <v>224500.75</v>
      </c>
      <c r="J34" s="69">
        <v>128346.6</v>
      </c>
      <c r="K34" s="69">
        <v>109411.2</v>
      </c>
      <c r="L34" s="85">
        <f>(K34-J34)*100/J34</f>
        <v>-14.753331993212138</v>
      </c>
      <c r="M34" s="151" t="s">
        <v>96</v>
      </c>
      <c r="N34" s="151"/>
      <c r="O34" s="152">
        <v>0</v>
      </c>
      <c r="P34" s="152"/>
      <c r="Q34" s="86">
        <v>109411.2</v>
      </c>
    </row>
    <row r="35" spans="2:17" ht="12.75">
      <c r="B35" s="35"/>
      <c r="C35" s="35"/>
      <c r="D35" s="39"/>
      <c r="E35" s="69"/>
      <c r="F35" s="69"/>
      <c r="G35" s="69"/>
      <c r="H35" s="69"/>
      <c r="I35" s="69"/>
      <c r="J35" s="69"/>
      <c r="K35" s="69"/>
      <c r="L35" s="15"/>
      <c r="M35" s="16"/>
      <c r="N35" s="16"/>
      <c r="O35" s="35"/>
      <c r="P35" s="35"/>
      <c r="Q35" s="86"/>
    </row>
    <row r="36" spans="1:17" ht="12.75">
      <c r="A36" s="29" t="s">
        <v>23</v>
      </c>
      <c r="B36" s="35">
        <v>31986</v>
      </c>
      <c r="C36" s="39">
        <v>0</v>
      </c>
      <c r="D36" s="39">
        <v>0</v>
      </c>
      <c r="E36" s="69">
        <v>9000</v>
      </c>
      <c r="F36" s="39">
        <v>0</v>
      </c>
      <c r="G36" s="69">
        <v>400</v>
      </c>
      <c r="H36" s="152">
        <v>0</v>
      </c>
      <c r="I36" s="152">
        <v>0</v>
      </c>
      <c r="J36" s="152">
        <v>63542.88</v>
      </c>
      <c r="K36" s="152">
        <v>0</v>
      </c>
      <c r="L36" s="85">
        <f>(K36-J36)*100/J36</f>
        <v>-100</v>
      </c>
      <c r="M36" s="151" t="s">
        <v>96</v>
      </c>
      <c r="N36" s="151"/>
      <c r="O36" s="39">
        <v>0</v>
      </c>
      <c r="P36" s="39"/>
      <c r="Q36" s="86">
        <v>0</v>
      </c>
    </row>
    <row r="37" spans="1:17" ht="12.75">
      <c r="A37" s="29" t="s">
        <v>24</v>
      </c>
      <c r="B37" s="35">
        <v>1180638</v>
      </c>
      <c r="C37" s="35">
        <v>1275796</v>
      </c>
      <c r="D37" s="39">
        <v>1648940</v>
      </c>
      <c r="E37" s="69">
        <v>2109561</v>
      </c>
      <c r="F37" s="69">
        <v>2162953</v>
      </c>
      <c r="G37" s="69">
        <v>2688713</v>
      </c>
      <c r="H37" s="69">
        <v>3044373</v>
      </c>
      <c r="I37" s="69">
        <v>3231808</v>
      </c>
      <c r="J37" s="69">
        <v>3590133</v>
      </c>
      <c r="K37" s="69">
        <v>4048694</v>
      </c>
      <c r="L37" s="85">
        <f>(K37-J37)*100/J37</f>
        <v>12.772813709129997</v>
      </c>
      <c r="M37" s="16">
        <f>(K37-O37)*100/O37</f>
        <v>275.8971287979017</v>
      </c>
      <c r="N37" s="16"/>
      <c r="O37" s="35">
        <v>1077075</v>
      </c>
      <c r="P37" s="35"/>
      <c r="Q37" s="86">
        <v>4048694</v>
      </c>
    </row>
    <row r="38" spans="1:17" ht="12.75">
      <c r="A38" s="29" t="s">
        <v>25</v>
      </c>
      <c r="B38" s="35">
        <v>200898</v>
      </c>
      <c r="C38" s="35">
        <v>164293</v>
      </c>
      <c r="D38" s="39">
        <v>148276</v>
      </c>
      <c r="E38" s="69">
        <v>139800</v>
      </c>
      <c r="F38" s="69">
        <v>126513</v>
      </c>
      <c r="G38" s="69">
        <v>166235</v>
      </c>
      <c r="H38" s="69">
        <v>178035.68</v>
      </c>
      <c r="I38" s="152">
        <v>0</v>
      </c>
      <c r="J38" s="152">
        <v>503097.74</v>
      </c>
      <c r="K38" s="152">
        <v>450215.46</v>
      </c>
      <c r="L38" s="85">
        <f>(K38-J38)*100/J38</f>
        <v>-10.511333245106602</v>
      </c>
      <c r="M38" s="151" t="s">
        <v>96</v>
      </c>
      <c r="N38" s="151"/>
      <c r="O38" s="39">
        <v>0</v>
      </c>
      <c r="P38" s="39"/>
      <c r="Q38" s="86">
        <v>450215.46</v>
      </c>
    </row>
    <row r="39" spans="1:17" ht="12.75">
      <c r="A39" s="40" t="s">
        <v>26</v>
      </c>
      <c r="B39" s="39">
        <v>0</v>
      </c>
      <c r="C39" s="39">
        <v>0</v>
      </c>
      <c r="D39" s="39">
        <v>0</v>
      </c>
      <c r="E39" s="152">
        <v>0</v>
      </c>
      <c r="F39" s="70">
        <v>193450</v>
      </c>
      <c r="G39" s="69">
        <v>120233</v>
      </c>
      <c r="H39" s="70">
        <v>93717.5</v>
      </c>
      <c r="I39" s="70">
        <v>44450.52</v>
      </c>
      <c r="J39" s="70">
        <v>0</v>
      </c>
      <c r="K39" s="70">
        <v>64404.98</v>
      </c>
      <c r="L39" s="151" t="s">
        <v>96</v>
      </c>
      <c r="M39" s="151" t="s">
        <v>96</v>
      </c>
      <c r="N39" s="151"/>
      <c r="O39" s="39">
        <v>0</v>
      </c>
      <c r="P39" s="39"/>
      <c r="Q39" s="102">
        <v>64404.98</v>
      </c>
    </row>
    <row r="40" spans="1:16" ht="12.75">
      <c r="A40" s="29" t="s">
        <v>41</v>
      </c>
      <c r="B40" s="36"/>
      <c r="C40" s="36"/>
      <c r="D40" s="36"/>
      <c r="E40" s="36"/>
      <c r="F40" s="36"/>
      <c r="G40" s="36"/>
      <c r="H40" s="36"/>
      <c r="I40" s="32"/>
      <c r="J40" s="32"/>
      <c r="K40" s="32"/>
      <c r="L40" s="32"/>
      <c r="M40" s="15"/>
      <c r="N40" s="15"/>
      <c r="O40" s="41"/>
      <c r="P40" s="65"/>
    </row>
    <row r="41" spans="1:16" ht="12.75">
      <c r="A41" s="78" t="s">
        <v>80</v>
      </c>
      <c r="M41" s="15"/>
      <c r="N41" s="15"/>
      <c r="O41" s="35"/>
      <c r="P41" s="35"/>
    </row>
    <row r="42" spans="15:16" ht="12.75">
      <c r="O42" s="35"/>
      <c r="P42" s="35"/>
    </row>
  </sheetData>
  <mergeCells count="4">
    <mergeCell ref="A1:M1"/>
    <mergeCell ref="A4:M4"/>
    <mergeCell ref="A3:M3"/>
    <mergeCell ref="L7:M7"/>
  </mergeCells>
  <printOptions/>
  <pageMargins left="0.49" right="0.5" top="1" bottom="1" header="0.5" footer="0.5"/>
  <pageSetup fitToHeight="1" fitToWidth="1" horizontalDpi="600" verticalDpi="600" orientation="landscape" scale="78" r:id="rId1"/>
  <headerFooter alignWithMargins="0">
    <oddHeader xml:space="preserve">&amp;R&amp;10 </oddHeader>
    <oddFooter>&amp;L&amp;"Lucida Sans,Italic"&amp;10MSDE-DBS  1 / 2006&amp;C- 10 -&amp;R&amp;"Lucida Sans,Italic"&amp;10Selected Financial Data - Part 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60" workbookViewId="0" topLeftCell="A4">
      <selection activeCell="O2" sqref="O2:P2"/>
    </sheetView>
  </sheetViews>
  <sheetFormatPr defaultColWidth="9.00390625" defaultRowHeight="15.75"/>
  <cols>
    <col min="1" max="1" width="11.125" style="1" customWidth="1"/>
    <col min="2" max="11" width="12.625" style="1" customWidth="1"/>
    <col min="12" max="14" width="6.625" style="1" customWidth="1"/>
    <col min="15" max="15" width="10.125" style="1" customWidth="1"/>
    <col min="16" max="16" width="5.625" style="3" customWidth="1"/>
    <col min="17" max="17" width="12.50390625" style="3" bestFit="1" customWidth="1"/>
    <col min="18" max="18" width="11.625" style="3" customWidth="1"/>
    <col min="19" max="19" width="12.875" style="3" customWidth="1"/>
    <col min="20" max="20" width="14.50390625" style="3" customWidth="1"/>
    <col min="21" max="21" width="11.25390625" style="3" customWidth="1"/>
    <col min="22" max="45" width="10.125" style="3" customWidth="1"/>
    <col min="46" max="16384" width="10.00390625" style="3" customWidth="1"/>
  </cols>
  <sheetData>
    <row r="1" spans="1:15" ht="15.75" customHeight="1">
      <c r="A1" s="226" t="s">
        <v>65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0"/>
      <c r="O1" s="3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9" t="s">
        <v>181</v>
      </c>
    </row>
    <row r="3" spans="1:15" ht="12.75">
      <c r="A3" s="226" t="s">
        <v>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0"/>
      <c r="O3" s="3"/>
    </row>
    <row r="4" spans="1:20" ht="12.75">
      <c r="A4" s="226" t="s">
        <v>168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0"/>
      <c r="O4" s="3"/>
      <c r="Q4" s="239" t="s">
        <v>165</v>
      </c>
      <c r="R4" s="239"/>
      <c r="S4" s="239"/>
      <c r="T4" s="239"/>
    </row>
    <row r="5" spans="16:19" ht="13.5" thickBot="1">
      <c r="P5" s="229" t="s">
        <v>134</v>
      </c>
      <c r="Q5" s="229"/>
      <c r="R5" s="229"/>
      <c r="S5" s="229"/>
    </row>
    <row r="6" spans="1:1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239" t="s">
        <v>131</v>
      </c>
      <c r="R6" s="239"/>
      <c r="S6" s="239"/>
    </row>
    <row r="7" spans="12:20" ht="12.75">
      <c r="L7" s="227" t="s">
        <v>28</v>
      </c>
      <c r="M7" s="227"/>
      <c r="N7" s="210"/>
      <c r="Q7" s="240" t="s">
        <v>119</v>
      </c>
      <c r="R7" s="240"/>
      <c r="S7" s="241" t="s">
        <v>133</v>
      </c>
      <c r="T7" s="3" t="s">
        <v>135</v>
      </c>
    </row>
    <row r="8" spans="1:2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59</v>
      </c>
      <c r="M8" s="10" t="s">
        <v>60</v>
      </c>
      <c r="N8" s="10"/>
      <c r="O8" s="7"/>
      <c r="Q8" s="106"/>
      <c r="R8" s="106"/>
      <c r="S8" s="242"/>
      <c r="T8" s="3" t="s">
        <v>136</v>
      </c>
    </row>
    <row r="9" spans="1:19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25"/>
      <c r="O9" s="33" t="s">
        <v>158</v>
      </c>
      <c r="Q9" s="107" t="s">
        <v>90</v>
      </c>
      <c r="R9" s="107" t="s">
        <v>132</v>
      </c>
      <c r="S9" s="243"/>
    </row>
    <row r="10" spans="1:21" ht="12.75">
      <c r="A10" s="7" t="s">
        <v>2</v>
      </c>
      <c r="B10" s="11">
        <f aca="true" t="shared" si="0" ref="B10:H10">SUM(B12:B39)</f>
        <v>2598041.9869999997</v>
      </c>
      <c r="C10" s="11">
        <f t="shared" si="0"/>
        <v>2696981.12</v>
      </c>
      <c r="D10" s="11">
        <f t="shared" si="0"/>
        <v>2800462</v>
      </c>
      <c r="E10" s="11">
        <f t="shared" si="0"/>
        <v>2677189</v>
      </c>
      <c r="F10" s="11">
        <f t="shared" si="0"/>
        <v>2839856</v>
      </c>
      <c r="G10" s="11">
        <f t="shared" si="0"/>
        <v>3014910.9699999997</v>
      </c>
      <c r="H10" s="11">
        <f t="shared" si="0"/>
        <v>3303979</v>
      </c>
      <c r="I10" s="11">
        <f>SUM(I12:I39)</f>
        <v>3585203</v>
      </c>
      <c r="J10" s="11">
        <f>SUM(J12:J39)</f>
        <v>3780196</v>
      </c>
      <c r="K10" s="11">
        <f>SUM(K12:K39)</f>
        <v>3839435.6470500003</v>
      </c>
      <c r="L10" s="12">
        <f>(K10-J10)/J10</f>
        <v>0.015671051725889413</v>
      </c>
      <c r="M10" s="12">
        <f>(K10-O10)/O10</f>
        <v>0.5833652946786267</v>
      </c>
      <c r="N10" s="12"/>
      <c r="O10" s="11">
        <f>SUM(O12:O39)</f>
        <v>2424857.7760000005</v>
      </c>
      <c r="Q10" s="11">
        <f>SUM(Q12:Q39)</f>
        <v>3129196587.390001</v>
      </c>
      <c r="R10" s="11">
        <f>SUM(R12:R39)</f>
        <v>6721794.62</v>
      </c>
      <c r="S10" s="11">
        <f>SUM(S12:S39)</f>
        <v>716960854.2799999</v>
      </c>
      <c r="T10" s="11">
        <f>SUM(T12:T39)</f>
        <v>3839435647.0499997</v>
      </c>
      <c r="U10" s="11">
        <f>SUM(U12:U39)</f>
        <v>3839435.6470500003</v>
      </c>
    </row>
    <row r="11" spans="2:14" ht="12.75">
      <c r="B11" s="21"/>
      <c r="C11" s="14"/>
      <c r="D11" s="14"/>
      <c r="E11" s="14"/>
      <c r="M11" s="14"/>
      <c r="N11" s="14"/>
    </row>
    <row r="12" spans="1:21" ht="12.75">
      <c r="A12" s="1" t="s">
        <v>3</v>
      </c>
      <c r="B12" s="35">
        <f>28369.44+4251.064</f>
        <v>32620.504</v>
      </c>
      <c r="C12" s="14">
        <f>29346.709+4674.629</f>
        <v>34021.337999999996</v>
      </c>
      <c r="D12" s="14">
        <v>34369</v>
      </c>
      <c r="E12" s="14">
        <v>33772</v>
      </c>
      <c r="F12" s="1">
        <v>35496</v>
      </c>
      <c r="G12" s="1">
        <v>36350</v>
      </c>
      <c r="H12" s="1">
        <v>36871</v>
      </c>
      <c r="I12" s="1">
        <v>39824</v>
      </c>
      <c r="J12" s="1">
        <v>40945</v>
      </c>
      <c r="K12" s="1">
        <v>41874.30373999999</v>
      </c>
      <c r="L12" s="85">
        <f>(K12-J12)*100/J12</f>
        <v>2.26963912565634</v>
      </c>
      <c r="M12" s="16">
        <f>(K12-O12)*100/O12</f>
        <v>35.00342435633162</v>
      </c>
      <c r="N12" s="16"/>
      <c r="O12" s="27">
        <f>27113.852+3903.364</f>
        <v>31017.216</v>
      </c>
      <c r="Q12" s="3">
        <v>33974533.89999998</v>
      </c>
      <c r="R12" s="3">
        <v>125360.44</v>
      </c>
      <c r="S12" s="3">
        <v>8025130.279999999</v>
      </c>
      <c r="T12" s="3">
        <f>Q12-R12+S12</f>
        <v>41874303.73999999</v>
      </c>
      <c r="U12" s="3">
        <f>T12/1000</f>
        <v>41874.30373999999</v>
      </c>
    </row>
    <row r="13" spans="1:21" ht="12.75">
      <c r="A13" s="1" t="s">
        <v>4</v>
      </c>
      <c r="B13" s="35">
        <f>201113.017+33511.67</f>
        <v>234624.68699999998</v>
      </c>
      <c r="C13" s="14">
        <f>203360.807+34022.837</f>
        <v>237383.644</v>
      </c>
      <c r="D13" s="14">
        <v>241584</v>
      </c>
      <c r="E13" s="14">
        <v>226336</v>
      </c>
      <c r="F13" s="1">
        <v>234438</v>
      </c>
      <c r="G13" s="1">
        <v>247616.92</v>
      </c>
      <c r="H13" s="1">
        <v>268848</v>
      </c>
      <c r="I13" s="1">
        <v>289399</v>
      </c>
      <c r="J13" s="1">
        <v>295866</v>
      </c>
      <c r="K13" s="1">
        <v>298203.35999</v>
      </c>
      <c r="L13" s="85">
        <f>(K13-J13)*100/J13</f>
        <v>0.7900062832498584</v>
      </c>
      <c r="M13" s="16">
        <f>(K13-O13)*100/O13</f>
        <v>36.08044437166215</v>
      </c>
      <c r="N13" s="16"/>
      <c r="O13" s="27">
        <f>188520.394+30617.162</f>
        <v>219137.556</v>
      </c>
      <c r="Q13" s="3">
        <v>244521999.98999998</v>
      </c>
      <c r="R13" s="3">
        <v>0</v>
      </c>
      <c r="S13" s="3">
        <v>53681360</v>
      </c>
      <c r="T13" s="3">
        <f>Q13-R13+S13</f>
        <v>298203359.99</v>
      </c>
      <c r="U13" s="3">
        <f>T13/1000</f>
        <v>298203.35999</v>
      </c>
    </row>
    <row r="14" spans="1:21" ht="12.75">
      <c r="A14" s="1" t="s">
        <v>5</v>
      </c>
      <c r="B14" s="35">
        <f>250113.606+76618.569</f>
        <v>326732.175</v>
      </c>
      <c r="C14" s="14">
        <f>260001.703+81953.999</f>
        <v>341955.702</v>
      </c>
      <c r="D14" s="14">
        <v>355402</v>
      </c>
      <c r="E14" s="14">
        <v>328673</v>
      </c>
      <c r="F14" s="1">
        <v>351684</v>
      </c>
      <c r="G14" s="1">
        <v>355132</v>
      </c>
      <c r="H14" s="1">
        <v>398555</v>
      </c>
      <c r="I14" s="1">
        <v>424535</v>
      </c>
      <c r="J14" s="1">
        <v>452130</v>
      </c>
      <c r="K14" s="1">
        <v>409620.16371</v>
      </c>
      <c r="L14" s="85">
        <f>(K14-J14)*100/J14</f>
        <v>-9.40212688607259</v>
      </c>
      <c r="M14" s="16">
        <f>(K14-O14)*100/O14</f>
        <v>35.18826519792374</v>
      </c>
      <c r="N14" s="16"/>
      <c r="O14" s="27">
        <f>233475.657+69524.136</f>
        <v>302999.793</v>
      </c>
      <c r="Q14" s="3">
        <v>314086041.46</v>
      </c>
      <c r="R14" s="3">
        <v>0</v>
      </c>
      <c r="S14" s="3">
        <v>95534122.24999999</v>
      </c>
      <c r="T14" s="3">
        <f>Q14-R14+S14</f>
        <v>409620163.71</v>
      </c>
      <c r="U14" s="3">
        <f>T14/1000</f>
        <v>409620.16371</v>
      </c>
    </row>
    <row r="15" spans="1:21" ht="12.75">
      <c r="A15" s="1" t="s">
        <v>6</v>
      </c>
      <c r="B15" s="35">
        <f>279136.357+46436.483</f>
        <v>325572.84</v>
      </c>
      <c r="C15" s="14">
        <f>289841.298+49987.526</f>
        <v>339828.824</v>
      </c>
      <c r="D15" s="14">
        <v>356990</v>
      </c>
      <c r="E15" s="14">
        <v>342268</v>
      </c>
      <c r="F15" s="1">
        <v>349370</v>
      </c>
      <c r="G15" s="1">
        <v>377302</v>
      </c>
      <c r="H15" s="1">
        <v>407517</v>
      </c>
      <c r="I15" s="1">
        <v>437209</v>
      </c>
      <c r="J15" s="1">
        <v>450778</v>
      </c>
      <c r="K15" s="1">
        <v>463601.14683000004</v>
      </c>
      <c r="L15" s="85">
        <f>(K15-J15)*100/J15</f>
        <v>2.8446700659748347</v>
      </c>
      <c r="M15" s="16">
        <f>(K15-O15)*100/O15</f>
        <v>51.77290276410184</v>
      </c>
      <c r="N15" s="16"/>
      <c r="O15" s="27">
        <f>260815.351+44641.775</f>
        <v>305457.126</v>
      </c>
      <c r="Q15" s="3">
        <v>373784450.1000001</v>
      </c>
      <c r="R15" s="3">
        <v>154088.94</v>
      </c>
      <c r="S15" s="3">
        <v>89970785.66999999</v>
      </c>
      <c r="T15" s="3">
        <f>Q15-R15+S15</f>
        <v>463601146.83000004</v>
      </c>
      <c r="U15" s="3">
        <f>T15/1000</f>
        <v>463601.14683000004</v>
      </c>
    </row>
    <row r="16" spans="1:21" ht="12.75">
      <c r="A16" s="1" t="s">
        <v>7</v>
      </c>
      <c r="B16" s="35">
        <f>33056.258+5507.116</f>
        <v>38563.374</v>
      </c>
      <c r="C16" s="14">
        <f>35630.831+5978.651</f>
        <v>41609.481999999996</v>
      </c>
      <c r="D16" s="14">
        <v>45030</v>
      </c>
      <c r="E16" s="14">
        <v>44276</v>
      </c>
      <c r="F16" s="1">
        <v>47798</v>
      </c>
      <c r="G16" s="1">
        <v>52210</v>
      </c>
      <c r="H16" s="1">
        <v>56889</v>
      </c>
      <c r="I16" s="1">
        <v>63190</v>
      </c>
      <c r="J16" s="1">
        <v>69935</v>
      </c>
      <c r="K16" s="1">
        <v>75655.45257</v>
      </c>
      <c r="L16" s="85">
        <f>(K16-J16)*100/J16</f>
        <v>8.179670508329155</v>
      </c>
      <c r="M16" s="16">
        <f>(K16-O16)*100/O16</f>
        <v>111.14317618110461</v>
      </c>
      <c r="N16" s="16"/>
      <c r="O16" s="27">
        <f>30745.432+5085.919</f>
        <v>35831.351</v>
      </c>
      <c r="Q16" s="3">
        <v>62230447.08999999</v>
      </c>
      <c r="R16" s="3">
        <v>191327.97</v>
      </c>
      <c r="S16" s="3">
        <v>13616333.45</v>
      </c>
      <c r="T16" s="3">
        <f>Q16-R16+S16</f>
        <v>75655452.57</v>
      </c>
      <c r="U16" s="3">
        <f>T16/1000</f>
        <v>75655.45257</v>
      </c>
    </row>
    <row r="17" spans="2:15" ht="12.75">
      <c r="B17" s="35"/>
      <c r="C17" s="14"/>
      <c r="D17" s="14"/>
      <c r="E17" s="14"/>
      <c r="L17" s="15"/>
      <c r="M17" s="16"/>
      <c r="N17" s="16"/>
      <c r="O17" s="27"/>
    </row>
    <row r="18" spans="1:21" ht="12.75">
      <c r="A18" s="1" t="s">
        <v>8</v>
      </c>
      <c r="B18" s="35">
        <f>13274.194+1826.502</f>
        <v>15100.696</v>
      </c>
      <c r="C18" s="14">
        <f>14212.639+1959.597</f>
        <v>16172.235999999999</v>
      </c>
      <c r="D18" s="14">
        <v>16926</v>
      </c>
      <c r="E18" s="14">
        <v>16267</v>
      </c>
      <c r="F18" s="1">
        <v>17470</v>
      </c>
      <c r="G18" s="1">
        <v>17921</v>
      </c>
      <c r="H18" s="1">
        <v>18582</v>
      </c>
      <c r="I18" s="1">
        <v>19819</v>
      </c>
      <c r="J18" s="1">
        <v>21162</v>
      </c>
      <c r="K18" s="1">
        <v>22225.77453</v>
      </c>
      <c r="L18" s="85">
        <f>(K18-J18)*100/J18</f>
        <v>5.026814715055282</v>
      </c>
      <c r="M18" s="16">
        <f>(K18-O18)*100/O18</f>
        <v>57.56148639566893</v>
      </c>
      <c r="N18" s="16"/>
      <c r="O18" s="27">
        <f>12490.428+1615.668</f>
        <v>14106.096</v>
      </c>
      <c r="Q18" s="3">
        <v>18592988.929999996</v>
      </c>
      <c r="R18" s="3">
        <v>0</v>
      </c>
      <c r="S18" s="3">
        <v>3632785.6</v>
      </c>
      <c r="T18" s="3">
        <f>Q18-R18+S18</f>
        <v>22225774.529999997</v>
      </c>
      <c r="U18" s="3">
        <f>T18/1000</f>
        <v>22225.77453</v>
      </c>
    </row>
    <row r="19" spans="1:21" ht="12.75">
      <c r="A19" s="1" t="s">
        <v>9</v>
      </c>
      <c r="B19" s="35">
        <f>63322.936+9118.007</f>
        <v>72440.943</v>
      </c>
      <c r="C19" s="14">
        <f>66691.727+10065.507</f>
        <v>76757.234</v>
      </c>
      <c r="D19" s="14">
        <v>77606</v>
      </c>
      <c r="E19" s="14">
        <v>76084</v>
      </c>
      <c r="F19" s="1">
        <v>81496</v>
      </c>
      <c r="G19" s="1">
        <v>86256</v>
      </c>
      <c r="H19" s="1">
        <v>93339</v>
      </c>
      <c r="I19" s="1">
        <v>100264</v>
      </c>
      <c r="J19" s="1">
        <v>105636</v>
      </c>
      <c r="K19" s="1">
        <v>112966.70483000005</v>
      </c>
      <c r="L19" s="85">
        <f>(K19-J19)*100/J19</f>
        <v>6.939589562270482</v>
      </c>
      <c r="M19" s="16">
        <f>(K19-O19)*100/O19</f>
        <v>66.91849457378653</v>
      </c>
      <c r="N19" s="16"/>
      <c r="O19" s="27">
        <f>59376.415+8301.349</f>
        <v>67677.764</v>
      </c>
      <c r="Q19" s="3">
        <v>94614711.41000003</v>
      </c>
      <c r="R19" s="3">
        <v>373512.02</v>
      </c>
      <c r="S19" s="3">
        <v>18725505.44000001</v>
      </c>
      <c r="T19" s="3">
        <f>Q19-R19+S19</f>
        <v>112966704.83000004</v>
      </c>
      <c r="U19" s="3">
        <f>T19/1000</f>
        <v>112966.70483000005</v>
      </c>
    </row>
    <row r="20" spans="1:21" ht="12.75">
      <c r="A20" s="1" t="s">
        <v>10</v>
      </c>
      <c r="B20" s="35">
        <f>36423.041+6205.43</f>
        <v>42628.471</v>
      </c>
      <c r="C20" s="14">
        <f>37633.736+6639.222</f>
        <v>44272.958</v>
      </c>
      <c r="D20" s="14">
        <v>46415</v>
      </c>
      <c r="E20" s="14">
        <v>43813</v>
      </c>
      <c r="F20" s="1">
        <v>46881</v>
      </c>
      <c r="G20" s="1">
        <v>49561</v>
      </c>
      <c r="H20" s="1">
        <v>53879</v>
      </c>
      <c r="I20" s="1">
        <v>57403</v>
      </c>
      <c r="J20" s="1">
        <v>60292</v>
      </c>
      <c r="K20" s="1">
        <v>63946.57330000002</v>
      </c>
      <c r="L20" s="85">
        <f>(K20-J20)*100/J20</f>
        <v>6.061456412127676</v>
      </c>
      <c r="M20" s="16">
        <f>(K20-O20)*100/O20</f>
        <v>63.48974195820026</v>
      </c>
      <c r="N20" s="16"/>
      <c r="O20" s="27">
        <f>33447.211+5666.297</f>
        <v>39113.508</v>
      </c>
      <c r="Q20" s="3">
        <v>51033161.90000002</v>
      </c>
      <c r="R20" s="3">
        <v>0</v>
      </c>
      <c r="S20" s="3">
        <v>12913411.399999999</v>
      </c>
      <c r="T20" s="3">
        <f>Q20-R20+S20</f>
        <v>63946573.30000002</v>
      </c>
      <c r="U20" s="3">
        <f>T20/1000</f>
        <v>63946.57330000002</v>
      </c>
    </row>
    <row r="21" spans="1:21" ht="12.75">
      <c r="A21" s="1" t="s">
        <v>11</v>
      </c>
      <c r="B21" s="35">
        <f>53572.814+9817.683</f>
        <v>63390.497</v>
      </c>
      <c r="C21" s="14">
        <f>54692.233+9445.924</f>
        <v>64138.157</v>
      </c>
      <c r="D21" s="14">
        <v>64879</v>
      </c>
      <c r="E21" s="14">
        <v>63494</v>
      </c>
      <c r="F21" s="1">
        <v>67884</v>
      </c>
      <c r="G21" s="1">
        <v>72994</v>
      </c>
      <c r="H21" s="1">
        <v>81350</v>
      </c>
      <c r="I21" s="1">
        <v>88239</v>
      </c>
      <c r="J21" s="1">
        <v>94555</v>
      </c>
      <c r="K21" s="1">
        <v>99872.06111999993</v>
      </c>
      <c r="L21" s="85">
        <f>(K21-J21)*100/J21</f>
        <v>5.62324691449413</v>
      </c>
      <c r="M21" s="16">
        <f>(K21-O21)*100/O21</f>
        <v>65.6017207101296</v>
      </c>
      <c r="N21" s="16"/>
      <c r="O21" s="27">
        <f>50977.573+9331.016</f>
        <v>60308.58899999999</v>
      </c>
      <c r="Q21" s="3">
        <v>83758458.98999994</v>
      </c>
      <c r="R21" s="3">
        <v>573820.12</v>
      </c>
      <c r="S21" s="3">
        <v>16687422.25</v>
      </c>
      <c r="T21" s="3">
        <f>Q21-R21+S21</f>
        <v>99872061.11999993</v>
      </c>
      <c r="U21" s="3">
        <f>T21/1000</f>
        <v>99872.06111999993</v>
      </c>
    </row>
    <row r="22" spans="1:21" ht="12.75">
      <c r="A22" s="1" t="s">
        <v>12</v>
      </c>
      <c r="B22" s="35">
        <f>13482.615+2066.83</f>
        <v>15549.445</v>
      </c>
      <c r="C22" s="14">
        <f>13587.873+2207.224</f>
        <v>15795.097</v>
      </c>
      <c r="D22" s="14">
        <v>16785</v>
      </c>
      <c r="E22" s="14">
        <v>15925</v>
      </c>
      <c r="F22" s="1">
        <v>16569</v>
      </c>
      <c r="G22" s="1">
        <v>17581</v>
      </c>
      <c r="H22" s="1">
        <v>18714</v>
      </c>
      <c r="I22" s="1">
        <v>18487</v>
      </c>
      <c r="J22" s="1">
        <v>19083</v>
      </c>
      <c r="K22" s="1">
        <v>19688.40207</v>
      </c>
      <c r="L22" s="85">
        <f>(K22-J22)*100/J22</f>
        <v>3.172468008174816</v>
      </c>
      <c r="M22" s="16">
        <f>(K22-O22)*100/O22</f>
        <v>33.85634281046076</v>
      </c>
      <c r="N22" s="16"/>
      <c r="O22" s="27">
        <f>12755.609+1952.997</f>
        <v>14708.606</v>
      </c>
      <c r="Q22" s="3">
        <v>16702530.52</v>
      </c>
      <c r="R22" s="3">
        <v>200446.2</v>
      </c>
      <c r="S22" s="3">
        <v>3186317.75</v>
      </c>
      <c r="T22" s="3">
        <f>Q22-R22+S22</f>
        <v>19688402.07</v>
      </c>
      <c r="U22" s="3">
        <f>T22/1000</f>
        <v>19688.40207</v>
      </c>
    </row>
    <row r="23" spans="2:15" ht="12.75">
      <c r="B23" s="35"/>
      <c r="C23" s="14"/>
      <c r="D23" s="14"/>
      <c r="E23" s="14"/>
      <c r="L23" s="15"/>
      <c r="M23" s="16"/>
      <c r="N23" s="16"/>
      <c r="O23" s="27"/>
    </row>
    <row r="24" spans="1:21" ht="12.75">
      <c r="A24" s="1" t="s">
        <v>13</v>
      </c>
      <c r="B24" s="35">
        <f>87428.687+11649.314</f>
        <v>99078.001</v>
      </c>
      <c r="C24" s="14">
        <f>89429.424+12245.573</f>
        <v>101674.997</v>
      </c>
      <c r="D24" s="14">
        <v>104990</v>
      </c>
      <c r="E24" s="14">
        <v>102455</v>
      </c>
      <c r="F24" s="1">
        <v>110067</v>
      </c>
      <c r="G24" s="1">
        <v>117605</v>
      </c>
      <c r="H24" s="1">
        <v>128643</v>
      </c>
      <c r="I24" s="1">
        <v>141866</v>
      </c>
      <c r="J24" s="1">
        <v>148863</v>
      </c>
      <c r="K24" s="1">
        <v>156736.9649</v>
      </c>
      <c r="L24" s="85">
        <f>(K24-J24)*100/J24</f>
        <v>5.289403612717728</v>
      </c>
      <c r="M24" s="16">
        <f>(K24-O24)*100/O24</f>
        <v>74.12575867097857</v>
      </c>
      <c r="N24" s="16"/>
      <c r="O24" s="27">
        <f>79682.016+10331.642</f>
        <v>90013.658</v>
      </c>
      <c r="Q24" s="3">
        <v>134649688.41</v>
      </c>
      <c r="R24" s="3">
        <v>556932.21</v>
      </c>
      <c r="S24" s="3">
        <v>22644208.699999996</v>
      </c>
      <c r="T24" s="3">
        <f>Q24-R24+S24</f>
        <v>156736964.9</v>
      </c>
      <c r="U24" s="3">
        <f>T24/1000</f>
        <v>156736.9649</v>
      </c>
    </row>
    <row r="25" spans="1:21" ht="12.75">
      <c r="A25" s="1" t="s">
        <v>14</v>
      </c>
      <c r="B25" s="35">
        <f>13556.578+2060.921</f>
        <v>15617.499</v>
      </c>
      <c r="C25" s="14">
        <f>14297.529+2084.511</f>
        <v>16382.04</v>
      </c>
      <c r="D25" s="14">
        <v>17106</v>
      </c>
      <c r="E25" s="14">
        <v>16408</v>
      </c>
      <c r="F25" s="1">
        <v>16892</v>
      </c>
      <c r="G25" s="1">
        <v>17550</v>
      </c>
      <c r="H25" s="1">
        <v>18596</v>
      </c>
      <c r="I25" s="1">
        <v>19502</v>
      </c>
      <c r="J25" s="1">
        <v>19762</v>
      </c>
      <c r="K25" s="1">
        <v>20534.567759999998</v>
      </c>
      <c r="L25" s="85">
        <f>(K25-J25)*100/J25</f>
        <v>3.9093601862159604</v>
      </c>
      <c r="M25" s="16">
        <f>(K25-O25)*100/O25</f>
        <v>39.177702795026335</v>
      </c>
      <c r="N25" s="16"/>
      <c r="O25" s="27">
        <f>12806.034+1948.174</f>
        <v>14754.207999999999</v>
      </c>
      <c r="Q25" s="3">
        <v>17642959.779999997</v>
      </c>
      <c r="R25" s="3">
        <v>0</v>
      </c>
      <c r="S25" s="3">
        <v>2891607.98</v>
      </c>
      <c r="T25" s="3">
        <f>Q25-R25+S25</f>
        <v>20534567.759999998</v>
      </c>
      <c r="U25" s="3">
        <f>T25/1000</f>
        <v>20534.567759999998</v>
      </c>
    </row>
    <row r="26" spans="1:21" ht="12.75">
      <c r="A26" s="1" t="s">
        <v>15</v>
      </c>
      <c r="B26" s="35">
        <f>93150.36+13503.302</f>
        <v>106653.662</v>
      </c>
      <c r="C26" s="14">
        <f>95981.486+14045.506</f>
        <v>110026.992</v>
      </c>
      <c r="D26" s="14">
        <v>115854</v>
      </c>
      <c r="E26" s="14">
        <v>112406</v>
      </c>
      <c r="F26" s="1">
        <v>117750</v>
      </c>
      <c r="G26" s="1">
        <v>125269</v>
      </c>
      <c r="H26" s="1">
        <v>133559</v>
      </c>
      <c r="I26" s="1">
        <v>144605</v>
      </c>
      <c r="J26" s="1">
        <v>150447</v>
      </c>
      <c r="K26" s="1">
        <v>152515.29713</v>
      </c>
      <c r="L26" s="85">
        <f>(K26-J26)*100/J26</f>
        <v>1.374767944857652</v>
      </c>
      <c r="M26" s="16">
        <f>(K26-O26)*100/O26</f>
        <v>56.131329958095456</v>
      </c>
      <c r="N26" s="16"/>
      <c r="O26" s="27">
        <f>86040.623+11643.357</f>
        <v>97683.98000000001</v>
      </c>
      <c r="Q26" s="3">
        <v>128406491.91999999</v>
      </c>
      <c r="R26" s="3">
        <v>0</v>
      </c>
      <c r="S26" s="3">
        <v>24108805.209999993</v>
      </c>
      <c r="T26" s="3">
        <f>Q26-R26+S26</f>
        <v>152515297.13</v>
      </c>
      <c r="U26" s="3">
        <f>T26/1000</f>
        <v>152515.29713</v>
      </c>
    </row>
    <row r="27" spans="1:21" ht="12.75">
      <c r="A27" s="1" t="s">
        <v>16</v>
      </c>
      <c r="B27" s="35">
        <f>109857.72+19556.499</f>
        <v>129414.219</v>
      </c>
      <c r="C27" s="14">
        <f>117012.502+20857.108</f>
        <v>137869.61</v>
      </c>
      <c r="D27" s="14">
        <v>142951</v>
      </c>
      <c r="E27" s="14">
        <v>139239</v>
      </c>
      <c r="F27" s="1">
        <v>149092</v>
      </c>
      <c r="G27" s="1">
        <v>168233</v>
      </c>
      <c r="H27" s="1">
        <v>189576</v>
      </c>
      <c r="I27" s="1">
        <v>211455</v>
      </c>
      <c r="J27" s="1">
        <v>223137</v>
      </c>
      <c r="K27" s="1">
        <v>244267.98145</v>
      </c>
      <c r="L27" s="85">
        <f>(K27-J27)*100/J27</f>
        <v>9.469958568054599</v>
      </c>
      <c r="M27" s="16">
        <f>(K27-O27)*100/O27</f>
        <v>109.09156096421836</v>
      </c>
      <c r="N27" s="16"/>
      <c r="O27" s="27">
        <f>99012.319+17811.134</f>
        <v>116823.45300000001</v>
      </c>
      <c r="Q27" s="3">
        <v>192218686.52999997</v>
      </c>
      <c r="R27" s="3">
        <v>0</v>
      </c>
      <c r="S27" s="3">
        <v>52049294.92000001</v>
      </c>
      <c r="T27" s="3">
        <f>Q27-R27+S27</f>
        <v>244267981.45</v>
      </c>
      <c r="U27" s="3">
        <f>T27/1000</f>
        <v>244267.98145</v>
      </c>
    </row>
    <row r="28" spans="1:21" ht="12.75">
      <c r="A28" s="1" t="s">
        <v>17</v>
      </c>
      <c r="B28" s="35">
        <f>7990.039+1120.255</f>
        <v>9110.294</v>
      </c>
      <c r="C28" s="14">
        <f>8223.017+1162.278</f>
        <v>9385.295</v>
      </c>
      <c r="D28" s="14">
        <v>9961</v>
      </c>
      <c r="E28" s="14">
        <v>10610</v>
      </c>
      <c r="F28" s="1">
        <v>9911</v>
      </c>
      <c r="G28" s="1">
        <v>10376</v>
      </c>
      <c r="H28" s="1">
        <v>11227</v>
      </c>
      <c r="I28" s="1">
        <v>12259</v>
      </c>
      <c r="J28" s="1">
        <v>12638</v>
      </c>
      <c r="K28" s="1">
        <v>11843.555410000003</v>
      </c>
      <c r="L28" s="85">
        <f>(K28-J28)*100/J28</f>
        <v>-6.286157540750098</v>
      </c>
      <c r="M28" s="16">
        <f>(K28-O28)*100/O28</f>
        <v>41.14090571674304</v>
      </c>
      <c r="N28" s="16"/>
      <c r="O28" s="27">
        <f>7381.345+1009.954</f>
        <v>8391.299</v>
      </c>
      <c r="Q28" s="3">
        <v>10115623.340000002</v>
      </c>
      <c r="R28" s="3">
        <v>122967.45</v>
      </c>
      <c r="S28" s="3">
        <v>1850899.52</v>
      </c>
      <c r="T28" s="3">
        <f>Q28-R28+S28</f>
        <v>11843555.410000002</v>
      </c>
      <c r="U28" s="3">
        <f>T28/1000</f>
        <v>11843.555410000003</v>
      </c>
    </row>
    <row r="29" spans="2:15" ht="12.75">
      <c r="B29" s="35"/>
      <c r="C29" s="14"/>
      <c r="D29" s="14"/>
      <c r="E29" s="14"/>
      <c r="L29" s="15"/>
      <c r="M29" s="16"/>
      <c r="N29" s="16"/>
      <c r="O29" s="27"/>
    </row>
    <row r="30" spans="1:21" ht="12.75">
      <c r="A30" s="1" t="s">
        <v>18</v>
      </c>
      <c r="B30" s="35">
        <f>417945.929+71445.171</f>
        <v>489391.1</v>
      </c>
      <c r="C30" s="14">
        <f>437403.757+74904.608</f>
        <v>512308.365</v>
      </c>
      <c r="D30" s="14">
        <v>532592</v>
      </c>
      <c r="E30" s="14">
        <v>507831</v>
      </c>
      <c r="F30" s="1">
        <v>543534</v>
      </c>
      <c r="G30" s="1">
        <v>587150</v>
      </c>
      <c r="H30" s="1">
        <v>656718</v>
      </c>
      <c r="I30" s="1">
        <v>720451</v>
      </c>
      <c r="J30" s="1">
        <v>771970</v>
      </c>
      <c r="K30" s="1">
        <v>798730.2886</v>
      </c>
      <c r="L30" s="85">
        <f>(K30-J30)*100/J30</f>
        <v>3.4664933352332308</v>
      </c>
      <c r="M30" s="16">
        <f>(K30-O30)*100/O30</f>
        <v>72.26013129912508</v>
      </c>
      <c r="N30" s="16"/>
      <c r="O30" s="27">
        <f>396395.489+67281.325</f>
        <v>463676.814</v>
      </c>
      <c r="Q30" s="3">
        <v>656624874.58</v>
      </c>
      <c r="R30" s="3">
        <v>2712515.46</v>
      </c>
      <c r="S30" s="3">
        <v>144817929.48000002</v>
      </c>
      <c r="T30" s="3">
        <f>Q30-R30+S30</f>
        <v>798730288.6</v>
      </c>
      <c r="U30" s="3">
        <f>T30/1000</f>
        <v>798730.2886</v>
      </c>
    </row>
    <row r="31" spans="1:21" ht="12.75">
      <c r="A31" s="1" t="s">
        <v>19</v>
      </c>
      <c r="B31" s="35">
        <f>312382.895+63995.284</f>
        <v>376378.179</v>
      </c>
      <c r="C31" s="14">
        <f>321711.276+66433.306</f>
        <v>388144.582</v>
      </c>
      <c r="D31" s="14">
        <v>401175</v>
      </c>
      <c r="E31" s="14">
        <v>387009</v>
      </c>
      <c r="F31" s="1">
        <v>416633</v>
      </c>
      <c r="G31" s="1">
        <v>434973</v>
      </c>
      <c r="H31" s="1">
        <v>472737</v>
      </c>
      <c r="I31" s="1">
        <v>518718</v>
      </c>
      <c r="J31" s="1">
        <v>552351</v>
      </c>
      <c r="K31" s="1">
        <v>542082.3147000002</v>
      </c>
      <c r="L31" s="85">
        <f>(K31-J31)*100/J31</f>
        <v>-1.8590869392831333</v>
      </c>
      <c r="M31" s="16">
        <f>(K31-O31)*100/O31</f>
        <v>54.41007502181772</v>
      </c>
      <c r="N31" s="16"/>
      <c r="O31" s="27">
        <f>292032.151+59034.523</f>
        <v>351066.674</v>
      </c>
      <c r="Q31" s="3">
        <v>440503690.8900001</v>
      </c>
      <c r="R31" s="3">
        <v>811598.78</v>
      </c>
      <c r="S31" s="3">
        <v>102390222.59</v>
      </c>
      <c r="T31" s="3">
        <f>Q31-R31+S31</f>
        <v>542082314.7000002</v>
      </c>
      <c r="U31" s="3">
        <f>T31/1000</f>
        <v>542082.3147000002</v>
      </c>
    </row>
    <row r="32" spans="1:21" ht="12.75">
      <c r="A32" s="1" t="s">
        <v>20</v>
      </c>
      <c r="B32" s="35">
        <f>15478.858+2097.141</f>
        <v>17575.999</v>
      </c>
      <c r="C32" s="14">
        <f>15913.44+2214.387</f>
        <v>18127.827</v>
      </c>
      <c r="D32" s="14">
        <v>19445</v>
      </c>
      <c r="E32" s="14">
        <v>19067</v>
      </c>
      <c r="F32" s="1">
        <v>21097</v>
      </c>
      <c r="G32" s="1">
        <v>23131</v>
      </c>
      <c r="H32" s="1">
        <v>25355</v>
      </c>
      <c r="I32" s="1">
        <v>27906</v>
      </c>
      <c r="J32" s="1">
        <v>29295</v>
      </c>
      <c r="K32" s="1">
        <v>30569.30910999999</v>
      </c>
      <c r="L32" s="85">
        <f>(K32-J32)*100/J32</f>
        <v>4.3499201570233526</v>
      </c>
      <c r="M32" s="16">
        <f>(K32-O32)*100/O32</f>
        <v>81.64111201098544</v>
      </c>
      <c r="N32" s="16"/>
      <c r="O32" s="27">
        <f>14842.918+1986.592</f>
        <v>16829.51</v>
      </c>
      <c r="Q32" s="3">
        <v>25626526.93999999</v>
      </c>
      <c r="R32" s="3">
        <v>101865.58</v>
      </c>
      <c r="S32" s="3">
        <v>5044647.75</v>
      </c>
      <c r="T32" s="3">
        <f>Q32-R32+S32</f>
        <v>30569309.109999992</v>
      </c>
      <c r="U32" s="3">
        <f>T32/1000</f>
        <v>30569.30910999999</v>
      </c>
    </row>
    <row r="33" spans="1:21" ht="12.75">
      <c r="A33" s="1" t="s">
        <v>21</v>
      </c>
      <c r="B33" s="35">
        <f>34429.461+6055.81</f>
        <v>40485.271</v>
      </c>
      <c r="C33" s="14">
        <f>35240.813+6343.693</f>
        <v>41584.506</v>
      </c>
      <c r="D33" s="14">
        <v>44689</v>
      </c>
      <c r="E33" s="14">
        <v>42861</v>
      </c>
      <c r="F33" s="1">
        <v>45851</v>
      </c>
      <c r="G33" s="1">
        <v>48369</v>
      </c>
      <c r="H33" s="1">
        <v>52330</v>
      </c>
      <c r="I33" s="1">
        <v>57131</v>
      </c>
      <c r="J33" s="1">
        <v>60341</v>
      </c>
      <c r="K33" s="1">
        <v>63119.021590000004</v>
      </c>
      <c r="L33" s="85">
        <f>(K33-J33)*100/J33</f>
        <v>4.603870651795635</v>
      </c>
      <c r="M33" s="16">
        <f>(K33-O33)*100/O33</f>
        <v>67.82124418037183</v>
      </c>
      <c r="N33" s="16"/>
      <c r="O33" s="27">
        <f>31976.109+5634.756</f>
        <v>37610.865</v>
      </c>
      <c r="Q33" s="3">
        <v>51175586.02</v>
      </c>
      <c r="R33" s="3">
        <v>183473.35</v>
      </c>
      <c r="S33" s="3">
        <v>12126908.92</v>
      </c>
      <c r="T33" s="3">
        <f>Q33-R33+S33</f>
        <v>63119021.59</v>
      </c>
      <c r="U33" s="3">
        <f>T33/1000</f>
        <v>63119.021590000004</v>
      </c>
    </row>
    <row r="34" spans="1:21" ht="12.75">
      <c r="A34" s="1" t="s">
        <v>22</v>
      </c>
      <c r="B34" s="35">
        <f>9325.718+1252.871</f>
        <v>10578.589</v>
      </c>
      <c r="C34" s="14">
        <f>9431.212+1307.136</f>
        <v>10738.348</v>
      </c>
      <c r="D34" s="14">
        <v>10842</v>
      </c>
      <c r="E34" s="14">
        <v>10097</v>
      </c>
      <c r="F34" s="1">
        <v>10366</v>
      </c>
      <c r="G34" s="1">
        <v>11237</v>
      </c>
      <c r="H34" s="1">
        <v>11980</v>
      </c>
      <c r="I34" s="1">
        <v>12437</v>
      </c>
      <c r="J34" s="1">
        <v>12808</v>
      </c>
      <c r="K34" s="1">
        <v>13118.067259999998</v>
      </c>
      <c r="L34" s="85">
        <f>(K34-J34)*100/J34</f>
        <v>2.420887414116162</v>
      </c>
      <c r="M34" s="16">
        <f>(K34-O34)*100/O34</f>
        <v>29.66920939453447</v>
      </c>
      <c r="N34" s="16"/>
      <c r="O34" s="27">
        <f>8848.369+1268.194</f>
        <v>10116.563</v>
      </c>
      <c r="Q34" s="3">
        <v>11177046.329999998</v>
      </c>
      <c r="R34" s="3">
        <v>125602.71</v>
      </c>
      <c r="S34" s="3">
        <v>2066623.64</v>
      </c>
      <c r="T34" s="3">
        <f>Q34-R34+S34</f>
        <v>13118067.259999998</v>
      </c>
      <c r="U34" s="3">
        <f>T34/1000</f>
        <v>13118.067259999998</v>
      </c>
    </row>
    <row r="35" spans="2:15" ht="12.75">
      <c r="B35" s="35"/>
      <c r="C35" s="14"/>
      <c r="D35" s="14"/>
      <c r="E35" s="14"/>
      <c r="L35" s="15"/>
      <c r="M35" s="16"/>
      <c r="N35" s="16"/>
      <c r="O35" s="27"/>
    </row>
    <row r="36" spans="1:21" ht="12.75">
      <c r="A36" s="1" t="s">
        <v>23</v>
      </c>
      <c r="B36" s="35">
        <f>11858.172+1490.217</f>
        <v>13348.389000000001</v>
      </c>
      <c r="C36" s="14">
        <f>12197.58+1607.957</f>
        <v>13805.537</v>
      </c>
      <c r="D36" s="14">
        <v>14765</v>
      </c>
      <c r="E36" s="14">
        <v>13698</v>
      </c>
      <c r="F36" s="1">
        <v>14376</v>
      </c>
      <c r="G36" s="1">
        <v>15163</v>
      </c>
      <c r="H36" s="1">
        <v>16438</v>
      </c>
      <c r="I36" s="1">
        <v>18115</v>
      </c>
      <c r="J36" s="1">
        <v>18744</v>
      </c>
      <c r="K36" s="1">
        <v>19378.507949999996</v>
      </c>
      <c r="L36" s="85">
        <f>(K36-J36)*100/J36</f>
        <v>3.385125640204842</v>
      </c>
      <c r="M36" s="16">
        <f>(K36-O36)*100/O36</f>
        <v>50.1988928295666</v>
      </c>
      <c r="N36" s="16"/>
      <c r="O36" s="27">
        <f>11352.991+1548.907</f>
        <v>12901.898</v>
      </c>
      <c r="Q36" s="3">
        <v>16710391.399999997</v>
      </c>
      <c r="R36" s="3">
        <v>0</v>
      </c>
      <c r="S36" s="3">
        <v>2668116.55</v>
      </c>
      <c r="T36" s="3">
        <f>Q36-R36+S36</f>
        <v>19378507.949999996</v>
      </c>
      <c r="U36" s="3">
        <f>T36/1000</f>
        <v>19378.507949999996</v>
      </c>
    </row>
    <row r="37" spans="1:21" ht="12.75">
      <c r="A37" s="1" t="s">
        <v>24</v>
      </c>
      <c r="B37" s="35">
        <f>52668.1+7653.217</f>
        <v>60321.316999999995</v>
      </c>
      <c r="C37" s="14">
        <f>53624.262+7786.114</f>
        <v>61410.376000000004</v>
      </c>
      <c r="D37" s="14">
        <v>62469</v>
      </c>
      <c r="E37" s="14">
        <v>58978</v>
      </c>
      <c r="F37" s="1">
        <v>63803</v>
      </c>
      <c r="G37" s="1">
        <v>67566</v>
      </c>
      <c r="H37" s="1">
        <v>70270</v>
      </c>
      <c r="I37" s="1">
        <v>74966</v>
      </c>
      <c r="J37" s="1">
        <v>77546</v>
      </c>
      <c r="K37" s="1">
        <v>81540.74427999997</v>
      </c>
      <c r="L37" s="85">
        <f>(K37-J37)*100/J37</f>
        <v>5.151451112887796</v>
      </c>
      <c r="M37" s="16">
        <f>(K37-O37)*100/O37</f>
        <v>46.055142459871725</v>
      </c>
      <c r="N37" s="16"/>
      <c r="O37" s="27">
        <f>48911.459+6917.28</f>
        <v>55828.739</v>
      </c>
      <c r="Q37" s="3">
        <v>69064772.49999997</v>
      </c>
      <c r="R37" s="3">
        <v>47394.22</v>
      </c>
      <c r="S37" s="3">
        <v>12523365.999999996</v>
      </c>
      <c r="T37" s="3">
        <f>Q37-R37+S37</f>
        <v>81540744.27999997</v>
      </c>
      <c r="U37" s="3">
        <f>T37/1000</f>
        <v>81540.74427999997</v>
      </c>
    </row>
    <row r="38" spans="1:21" ht="12.75">
      <c r="A38" s="1" t="s">
        <v>25</v>
      </c>
      <c r="B38" s="35">
        <f>36060.569+5115.419</f>
        <v>41175.988000000005</v>
      </c>
      <c r="C38" s="14">
        <f>36174.63+5298.006</f>
        <v>41472.636</v>
      </c>
      <c r="D38" s="14">
        <v>44100</v>
      </c>
      <c r="E38" s="14">
        <v>42830</v>
      </c>
      <c r="F38" s="1">
        <v>46597</v>
      </c>
      <c r="G38" s="1">
        <v>49291.05</v>
      </c>
      <c r="H38" s="1">
        <v>53435</v>
      </c>
      <c r="I38" s="1">
        <v>56262</v>
      </c>
      <c r="J38" s="1">
        <v>58601</v>
      </c>
      <c r="K38" s="1">
        <v>62023.66949</v>
      </c>
      <c r="L38" s="85">
        <f>(K38-J38)*100/J38</f>
        <v>5.840633248579376</v>
      </c>
      <c r="M38" s="16">
        <f>(K38-O38)*100/O38</f>
        <v>61.28331876053223</v>
      </c>
      <c r="N38" s="16"/>
      <c r="O38" s="27">
        <f>33634.569+4821.776</f>
        <v>38456.345</v>
      </c>
      <c r="Q38" s="3">
        <v>51724651.75000001</v>
      </c>
      <c r="R38" s="3">
        <v>252683.2</v>
      </c>
      <c r="S38" s="3">
        <v>10551700.94</v>
      </c>
      <c r="T38" s="3">
        <f>Q38-R38+S38</f>
        <v>62023669.49</v>
      </c>
      <c r="U38" s="3">
        <f>T38/1000</f>
        <v>62023.66949</v>
      </c>
    </row>
    <row r="39" spans="1:21" ht="12.75">
      <c r="A39" s="17" t="s">
        <v>26</v>
      </c>
      <c r="B39" s="35">
        <f>19273.581+2416.267</f>
        <v>21689.847999999998</v>
      </c>
      <c r="C39" s="14">
        <f>19586.712+2528.625</f>
        <v>22115.337</v>
      </c>
      <c r="D39" s="14">
        <v>23537</v>
      </c>
      <c r="E39" s="14">
        <v>22792</v>
      </c>
      <c r="F39" s="1">
        <v>24801</v>
      </c>
      <c r="G39" s="1">
        <v>26074</v>
      </c>
      <c r="H39" s="1">
        <v>28571</v>
      </c>
      <c r="I39" s="1">
        <v>31161</v>
      </c>
      <c r="J39" s="1">
        <v>33311</v>
      </c>
      <c r="K39" s="1">
        <v>35321.41472999999</v>
      </c>
      <c r="L39" s="85">
        <f>(K39-J39)*100/J39</f>
        <v>6.035287832847977</v>
      </c>
      <c r="M39" s="16">
        <f>(K39-O39)*100/O39</f>
        <v>73.60232127282949</v>
      </c>
      <c r="N39" s="16"/>
      <c r="O39" s="27">
        <f>18189.896+2156.269</f>
        <v>20346.165</v>
      </c>
      <c r="Q39" s="3">
        <v>30256272.70999999</v>
      </c>
      <c r="R39" s="3">
        <v>188205.97</v>
      </c>
      <c r="S39" s="3">
        <v>5253347.99</v>
      </c>
      <c r="T39" s="3">
        <f>Q39-R39+S39</f>
        <v>35321414.72999999</v>
      </c>
      <c r="U39" s="3">
        <f>T39/1000</f>
        <v>35321.41472999999</v>
      </c>
    </row>
    <row r="40" spans="1:15" ht="12.75">
      <c r="A40" s="1" t="s">
        <v>63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7"/>
    </row>
    <row r="41" spans="1:15" ht="12.75">
      <c r="A41" s="1" t="s">
        <v>62</v>
      </c>
      <c r="O41" s="14"/>
    </row>
    <row r="42" spans="1:15" ht="12.75">
      <c r="A42" s="3"/>
      <c r="O42" s="14"/>
    </row>
    <row r="43" ht="12.75">
      <c r="O43" s="14"/>
    </row>
    <row r="44" ht="12.75">
      <c r="O44" s="14"/>
    </row>
    <row r="45" ht="12.75">
      <c r="O45" s="14"/>
    </row>
    <row r="46" ht="12.75">
      <c r="O46" s="14"/>
    </row>
    <row r="47" ht="12.75">
      <c r="O47" s="14"/>
    </row>
    <row r="48" ht="12.75">
      <c r="O48" s="14"/>
    </row>
    <row r="49" ht="12.75">
      <c r="O49" s="14"/>
    </row>
    <row r="50" ht="12.75">
      <c r="O50" s="14"/>
    </row>
    <row r="51" ht="12.75">
      <c r="O51" s="14"/>
    </row>
  </sheetData>
  <mergeCells count="9">
    <mergeCell ref="Q7:R7"/>
    <mergeCell ref="S7:S9"/>
    <mergeCell ref="P5:S5"/>
    <mergeCell ref="A1:M1"/>
    <mergeCell ref="A3:M3"/>
    <mergeCell ref="A4:M4"/>
    <mergeCell ref="Q6:S6"/>
    <mergeCell ref="Q4:T4"/>
    <mergeCell ref="L7:M7"/>
  </mergeCells>
  <printOptions horizontalCentered="1"/>
  <pageMargins left="0.48" right="0.45" top="1" bottom="1" header="0.5" footer="0.5"/>
  <pageSetup fitToHeight="1" fitToWidth="1" orientation="landscape" scale="80" r:id="rId1"/>
  <headerFooter alignWithMargins="0">
    <oddFooter>&amp;L&amp;"Lucida Sans,Italic"&amp;10MSDE-DBS  1 / 2006&amp;C- 11 -
&amp;R&amp;"Lucida Sans,Italic"&amp;10Selected Financial Data - Part 4</oddFooter>
  </headerFooter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1">
      <selection activeCell="A4" sqref="A4:M4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4" width="6.625" style="1" customWidth="1"/>
    <col min="15" max="15" width="10.125" style="1" customWidth="1"/>
    <col min="16" max="16" width="11.125" style="1" bestFit="1" customWidth="1"/>
    <col min="17" max="17" width="11.125" style="3" bestFit="1" customWidth="1"/>
    <col min="18" max="18" width="10.875" style="3" customWidth="1"/>
    <col min="19" max="19" width="12.375" style="3" customWidth="1"/>
    <col min="20" max="20" width="11.875" style="3" customWidth="1"/>
    <col min="21" max="22" width="10.125" style="3" customWidth="1"/>
    <col min="23" max="16384" width="10.00390625" style="3" customWidth="1"/>
  </cols>
  <sheetData>
    <row r="1" spans="1:14" ht="15.75" customHeight="1">
      <c r="A1" s="226" t="s">
        <v>64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0"/>
    </row>
    <row r="2" spans="1:16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219" t="s">
        <v>181</v>
      </c>
      <c r="P2" s="3"/>
    </row>
    <row r="3" spans="1:15" ht="12.75">
      <c r="A3" s="228" t="s">
        <v>42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08"/>
      <c r="O3" s="108"/>
    </row>
    <row r="4" spans="1:15" ht="12.75">
      <c r="A4" s="228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8"/>
      <c r="O4" s="108"/>
    </row>
    <row r="5" ht="13.5" thickBot="1"/>
    <row r="6" spans="1:20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98" t="s">
        <v>119</v>
      </c>
      <c r="R6" s="104" t="s">
        <v>126</v>
      </c>
      <c r="S6" s="104" t="s">
        <v>128</v>
      </c>
      <c r="T6" s="105" t="s">
        <v>90</v>
      </c>
    </row>
    <row r="7" spans="1:20" ht="12.75">
      <c r="A7" s="7"/>
      <c r="B7" s="7"/>
      <c r="C7" s="7"/>
      <c r="D7" s="7"/>
      <c r="E7" s="7"/>
      <c r="L7" s="227" t="s">
        <v>28</v>
      </c>
      <c r="M7" s="227"/>
      <c r="N7" s="210"/>
      <c r="O7" s="7"/>
      <c r="Q7" s="37" t="s">
        <v>90</v>
      </c>
      <c r="S7" s="28" t="s">
        <v>90</v>
      </c>
      <c r="T7" s="98" t="s">
        <v>119</v>
      </c>
    </row>
    <row r="8" spans="1:2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59</v>
      </c>
      <c r="M8" s="10" t="s">
        <v>60</v>
      </c>
      <c r="N8" s="10"/>
      <c r="O8" s="7"/>
      <c r="Q8" s="37" t="s">
        <v>122</v>
      </c>
      <c r="R8" s="97" t="s">
        <v>124</v>
      </c>
      <c r="S8" s="37" t="s">
        <v>124</v>
      </c>
      <c r="T8" s="104" t="s">
        <v>129</v>
      </c>
    </row>
    <row r="9" spans="1:20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9"/>
      <c r="O9" s="33" t="s">
        <v>158</v>
      </c>
      <c r="Q9" s="38" t="s">
        <v>123</v>
      </c>
      <c r="R9" s="38" t="s">
        <v>125</v>
      </c>
      <c r="S9" s="38" t="s">
        <v>127</v>
      </c>
      <c r="T9" s="104" t="s">
        <v>130</v>
      </c>
    </row>
    <row r="10" spans="1:21" ht="12.75">
      <c r="A10" s="7" t="s">
        <v>2</v>
      </c>
      <c r="B10" s="11">
        <f aca="true" t="shared" si="0" ref="B10:H10">SUM(B12:B43)</f>
        <v>102245.94799999999</v>
      </c>
      <c r="C10" s="11">
        <f t="shared" si="0"/>
        <v>106367.85999999999</v>
      </c>
      <c r="D10" s="11">
        <f t="shared" si="0"/>
        <v>118365</v>
      </c>
      <c r="E10" s="11">
        <f t="shared" si="0"/>
        <v>128153</v>
      </c>
      <c r="F10" s="11">
        <f t="shared" si="0"/>
        <v>148298</v>
      </c>
      <c r="G10" s="11">
        <f t="shared" si="0"/>
        <v>157072.46999999997</v>
      </c>
      <c r="H10" s="11">
        <f t="shared" si="0"/>
        <v>165196</v>
      </c>
      <c r="I10" s="11">
        <f>SUM(I12:I43)</f>
        <v>168490</v>
      </c>
      <c r="J10" s="11">
        <f>SUM(J12:J43)</f>
        <v>169444</v>
      </c>
      <c r="K10" s="11">
        <f>SUM(K12:K43)</f>
        <v>199112.72569999998</v>
      </c>
      <c r="L10" s="12">
        <f>(K10-J10)/J10</f>
        <v>0.17509457814971308</v>
      </c>
      <c r="M10" s="12">
        <f>(K10-O10)/O10</f>
        <v>1.1488430541744077</v>
      </c>
      <c r="N10" s="12"/>
      <c r="O10" s="11">
        <f>SUM(O12:O43)</f>
        <v>92660.43199999999</v>
      </c>
      <c r="Q10" s="11">
        <f>SUM(Q12:Q43)</f>
        <v>180428020.07</v>
      </c>
      <c r="R10" s="11">
        <f>SUM(R12:R43)</f>
        <v>902268.8799999999</v>
      </c>
      <c r="S10" s="11">
        <f>SUM(S12:S43)</f>
        <v>19586974.51</v>
      </c>
      <c r="T10" s="11">
        <f>SUM(T12:T43)</f>
        <v>199112725.69999996</v>
      </c>
      <c r="U10" s="11">
        <f>SUM(U12:U43)</f>
        <v>199112.72569999998</v>
      </c>
    </row>
    <row r="11" spans="2:17" ht="12.75">
      <c r="B11" s="21"/>
      <c r="C11" s="14"/>
      <c r="D11" s="14"/>
      <c r="E11" s="29"/>
      <c r="M11" s="14"/>
      <c r="N11" s="14"/>
      <c r="Q11" s="1"/>
    </row>
    <row r="12" spans="1:21" ht="12.75">
      <c r="A12" s="1" t="s">
        <v>3</v>
      </c>
      <c r="B12" s="35">
        <f>1173.419+43.288</f>
        <v>1216.707</v>
      </c>
      <c r="C12" s="14">
        <f>1371.021+56.466</f>
        <v>1427.4869999999999</v>
      </c>
      <c r="D12" s="14">
        <v>1510</v>
      </c>
      <c r="E12" s="71">
        <v>1591</v>
      </c>
      <c r="F12" s="1">
        <v>1212</v>
      </c>
      <c r="G12" s="1">
        <v>1387</v>
      </c>
      <c r="H12" s="1">
        <v>1743</v>
      </c>
      <c r="I12" s="1">
        <v>2200</v>
      </c>
      <c r="J12" s="1">
        <v>1850</v>
      </c>
      <c r="K12" s="1">
        <v>3355.24038</v>
      </c>
      <c r="L12" s="15">
        <f>(K12-J12)*100/J12</f>
        <v>81.36434486486488</v>
      </c>
      <c r="M12" s="16">
        <f>(K12-O12)*100/O12</f>
        <v>181.94183759128842</v>
      </c>
      <c r="N12" s="16"/>
      <c r="O12" s="27">
        <f>1145.467+44.58</f>
        <v>1190.047</v>
      </c>
      <c r="Q12" s="1">
        <v>3155991.97</v>
      </c>
      <c r="R12" s="3">
        <v>18504.38</v>
      </c>
      <c r="S12" s="86">
        <v>217752.79</v>
      </c>
      <c r="T12" s="3">
        <f>Q12-R12+S12</f>
        <v>3355240.3800000004</v>
      </c>
      <c r="U12" s="3">
        <f>T12/1000</f>
        <v>3355.24038</v>
      </c>
    </row>
    <row r="13" spans="1:21" ht="12.75">
      <c r="A13" s="1" t="s">
        <v>4</v>
      </c>
      <c r="B13" s="35">
        <f>6976.744+241.606</f>
        <v>7218.349999999999</v>
      </c>
      <c r="C13" s="14">
        <f>8457.689+205.559</f>
        <v>8663.248</v>
      </c>
      <c r="D13" s="14">
        <v>8912</v>
      </c>
      <c r="E13" s="71">
        <v>8435</v>
      </c>
      <c r="F13" s="1">
        <v>7928</v>
      </c>
      <c r="G13" s="1">
        <v>10301.81</v>
      </c>
      <c r="H13" s="1">
        <v>12755</v>
      </c>
      <c r="I13" s="1">
        <v>13182</v>
      </c>
      <c r="J13" s="1">
        <v>14885</v>
      </c>
      <c r="K13" s="1">
        <v>19833.321989999993</v>
      </c>
      <c r="L13" s="15">
        <f>(K13-J13)*100/J13</f>
        <v>33.24368149143429</v>
      </c>
      <c r="M13" s="16">
        <f>(K13-O13)*100/O13</f>
        <v>171.88770862138588</v>
      </c>
      <c r="N13" s="16"/>
      <c r="O13" s="27">
        <f>7046.705+247.969</f>
        <v>7294.674</v>
      </c>
      <c r="Q13" s="1">
        <v>18523412.389999993</v>
      </c>
      <c r="R13" s="3">
        <v>0</v>
      </c>
      <c r="S13" s="86">
        <v>1309909.6</v>
      </c>
      <c r="T13" s="3">
        <f>Q13-R13+S13</f>
        <v>19833321.989999995</v>
      </c>
      <c r="U13" s="3">
        <f>T13/1000</f>
        <v>19833.321989999993</v>
      </c>
    </row>
    <row r="14" spans="1:21" ht="12.75">
      <c r="A14" s="1" t="s">
        <v>5</v>
      </c>
      <c r="B14" s="35">
        <f>10338.604+737.458</f>
        <v>11076.062</v>
      </c>
      <c r="C14" s="14">
        <f>9312.388+776.952</f>
        <v>10089.34</v>
      </c>
      <c r="D14" s="14">
        <v>13038</v>
      </c>
      <c r="E14" s="71">
        <v>20520</v>
      </c>
      <c r="F14" s="1">
        <v>24200</v>
      </c>
      <c r="G14" s="1">
        <v>23185</v>
      </c>
      <c r="H14" s="1">
        <v>11949</v>
      </c>
      <c r="I14" s="1">
        <v>14471</v>
      </c>
      <c r="J14" s="1">
        <v>6320</v>
      </c>
      <c r="K14" s="1">
        <v>21648.705939999996</v>
      </c>
      <c r="L14" s="15">
        <f>(K14-J14)*100/J14</f>
        <v>242.54281550632905</v>
      </c>
      <c r="M14" s="16">
        <f>(K14-O14)*100/O14</f>
        <v>98.31345567149926</v>
      </c>
      <c r="N14" s="16"/>
      <c r="O14" s="27">
        <f>10298.384+618.024</f>
        <v>10916.408</v>
      </c>
      <c r="Q14" s="1">
        <v>12065114.879999999</v>
      </c>
      <c r="R14" s="3">
        <v>0</v>
      </c>
      <c r="S14" s="86">
        <v>9583591.06</v>
      </c>
      <c r="T14" s="3">
        <f>Q14-R14+S14</f>
        <v>21648705.939999998</v>
      </c>
      <c r="U14" s="3">
        <f>T14/1000</f>
        <v>21648.705939999996</v>
      </c>
    </row>
    <row r="15" spans="1:21" ht="12.75">
      <c r="A15" s="1" t="s">
        <v>6</v>
      </c>
      <c r="B15" s="35">
        <f>14503.129+281.919</f>
        <v>14785.048</v>
      </c>
      <c r="C15" s="14">
        <f>13940.889+266.459</f>
        <v>14207.348</v>
      </c>
      <c r="D15" s="14">
        <v>17138</v>
      </c>
      <c r="E15" s="71">
        <v>13771</v>
      </c>
      <c r="F15" s="1">
        <v>17796</v>
      </c>
      <c r="G15" s="1">
        <v>19895</v>
      </c>
      <c r="H15" s="1">
        <v>30914</v>
      </c>
      <c r="I15" s="1">
        <v>25049</v>
      </c>
      <c r="J15" s="1">
        <v>21485</v>
      </c>
      <c r="K15" s="1">
        <v>25012.645119999994</v>
      </c>
      <c r="L15" s="15">
        <f>(K15-J15)*100/J15</f>
        <v>16.419106911798902</v>
      </c>
      <c r="M15" s="16">
        <f>(K15-O15)*100/O15</f>
        <v>107.01261666815775</v>
      </c>
      <c r="N15" s="16"/>
      <c r="O15" s="27">
        <f>11845.479+237.188</f>
        <v>12082.667</v>
      </c>
      <c r="Q15" s="1">
        <v>23556944.459999993</v>
      </c>
      <c r="R15" s="3">
        <v>22404.7</v>
      </c>
      <c r="S15" s="86">
        <v>1478105.36</v>
      </c>
      <c r="T15" s="3">
        <f>Q15-R15+S15</f>
        <v>25012645.119999994</v>
      </c>
      <c r="U15" s="3">
        <f>T15/1000</f>
        <v>25012.645119999994</v>
      </c>
    </row>
    <row r="16" spans="1:21" ht="12.75">
      <c r="A16" s="1" t="s">
        <v>7</v>
      </c>
      <c r="B16" s="35">
        <f>2101.896+96.839</f>
        <v>2198.735</v>
      </c>
      <c r="C16" s="14">
        <f>2364.224+162.213</f>
        <v>2526.4370000000004</v>
      </c>
      <c r="D16" s="14">
        <v>2415</v>
      </c>
      <c r="E16" s="71">
        <v>2451</v>
      </c>
      <c r="F16" s="1">
        <v>2503</v>
      </c>
      <c r="G16" s="1">
        <v>2934</v>
      </c>
      <c r="H16" s="1">
        <v>3371</v>
      </c>
      <c r="I16" s="1">
        <v>2935</v>
      </c>
      <c r="J16" s="1">
        <v>3307</v>
      </c>
      <c r="K16" s="1">
        <v>3419.5840000000003</v>
      </c>
      <c r="L16" s="15">
        <f>(K16-J16)*100/J16</f>
        <v>3.4044148775325156</v>
      </c>
      <c r="M16" s="16">
        <f>(K16-O16)*100/O16</f>
        <v>50.80809011835469</v>
      </c>
      <c r="N16" s="16"/>
      <c r="O16" s="27">
        <f>2167.412+100.095</f>
        <v>2267.5069999999996</v>
      </c>
      <c r="Q16" s="1">
        <v>3098520.7</v>
      </c>
      <c r="R16" s="3">
        <v>8552.34</v>
      </c>
      <c r="S16" s="86">
        <v>329615.64</v>
      </c>
      <c r="T16" s="3">
        <f>Q16-R16+S16</f>
        <v>3419584.0000000005</v>
      </c>
      <c r="U16" s="3">
        <f>T16/1000</f>
        <v>3419.5840000000003</v>
      </c>
    </row>
    <row r="17" spans="2:19" ht="12.75">
      <c r="B17" s="35"/>
      <c r="C17" s="14"/>
      <c r="D17" s="14"/>
      <c r="E17" s="71"/>
      <c r="L17" s="15"/>
      <c r="M17" s="16"/>
      <c r="N17" s="16"/>
      <c r="O17" s="27"/>
      <c r="Q17" s="1"/>
      <c r="S17" s="86"/>
    </row>
    <row r="18" spans="1:21" ht="12.75">
      <c r="A18" s="1" t="s">
        <v>8</v>
      </c>
      <c r="B18" s="35">
        <f>768.326+31.511</f>
        <v>799.837</v>
      </c>
      <c r="C18" s="14">
        <f>602.432+35.31</f>
        <v>637.742</v>
      </c>
      <c r="D18" s="14">
        <v>867</v>
      </c>
      <c r="E18" s="71">
        <v>817</v>
      </c>
      <c r="F18" s="1">
        <v>808</v>
      </c>
      <c r="G18" s="1">
        <v>1016</v>
      </c>
      <c r="H18" s="1">
        <v>1266</v>
      </c>
      <c r="I18" s="1">
        <v>1190</v>
      </c>
      <c r="J18" s="1">
        <v>1142</v>
      </c>
      <c r="K18" s="1">
        <v>1231.7889100000002</v>
      </c>
      <c r="L18" s="15">
        <f>(K18-J18)*100/J18</f>
        <v>7.862426444833644</v>
      </c>
      <c r="M18" s="16">
        <f>(K18-O18)*100/O18</f>
        <v>83.83921311690716</v>
      </c>
      <c r="N18" s="16"/>
      <c r="O18" s="27">
        <f>640.399+29.637</f>
        <v>670.0360000000001</v>
      </c>
      <c r="Q18" s="1">
        <v>1170252.08</v>
      </c>
      <c r="R18" s="3">
        <v>0</v>
      </c>
      <c r="S18" s="86">
        <v>61536.83</v>
      </c>
      <c r="T18" s="3">
        <f>Q18-R18+S18</f>
        <v>1231788.9100000001</v>
      </c>
      <c r="U18" s="3">
        <f>T18/1000</f>
        <v>1231.7889100000002</v>
      </c>
    </row>
    <row r="19" spans="1:21" ht="12.75">
      <c r="A19" s="1" t="s">
        <v>9</v>
      </c>
      <c r="B19" s="35">
        <f>4576.299+291.499</f>
        <v>4867.798</v>
      </c>
      <c r="C19" s="14">
        <f>2766.735+273.994</f>
        <v>3040.7290000000003</v>
      </c>
      <c r="D19" s="14">
        <v>4443</v>
      </c>
      <c r="E19" s="71">
        <v>3403</v>
      </c>
      <c r="F19" s="1">
        <v>4324</v>
      </c>
      <c r="G19" s="1">
        <v>4323</v>
      </c>
      <c r="H19" s="1">
        <v>4975</v>
      </c>
      <c r="I19" s="1">
        <v>5733</v>
      </c>
      <c r="J19" s="1">
        <v>8311</v>
      </c>
      <c r="K19" s="1">
        <v>6878.7414100000005</v>
      </c>
      <c r="L19" s="15">
        <f>(K19-J19)*100/J19</f>
        <v>-17.233288292624227</v>
      </c>
      <c r="M19" s="16">
        <f>(K19-O19)*100/O19</f>
        <v>109.62320374440915</v>
      </c>
      <c r="N19" s="16"/>
      <c r="O19" s="27">
        <f>3069.181+212.298</f>
        <v>3281.4790000000003</v>
      </c>
      <c r="Q19" s="1">
        <v>6541196.34</v>
      </c>
      <c r="R19" s="3">
        <v>26547.6</v>
      </c>
      <c r="S19" s="86">
        <v>364092.67</v>
      </c>
      <c r="T19" s="3">
        <f>Q19-R19+S19</f>
        <v>6878741.41</v>
      </c>
      <c r="U19" s="3">
        <f>T19/1000</f>
        <v>6878.7414100000005</v>
      </c>
    </row>
    <row r="20" spans="1:21" ht="12.75">
      <c r="A20" s="1" t="s">
        <v>10</v>
      </c>
      <c r="B20" s="35">
        <f>1415.867+106.176</f>
        <v>1522.043</v>
      </c>
      <c r="C20" s="14">
        <f>1485.162+103.747</f>
        <v>1588.909</v>
      </c>
      <c r="D20" s="14">
        <v>1652</v>
      </c>
      <c r="E20" s="71">
        <v>1969</v>
      </c>
      <c r="F20" s="1">
        <v>2592</v>
      </c>
      <c r="G20" s="1">
        <v>2298</v>
      </c>
      <c r="H20" s="1">
        <v>2331</v>
      </c>
      <c r="I20" s="1">
        <v>2847</v>
      </c>
      <c r="J20" s="1">
        <v>3202</v>
      </c>
      <c r="K20" s="1">
        <v>2866.8659099999995</v>
      </c>
      <c r="L20" s="15">
        <f>(K20-J20)*100/J20</f>
        <v>-10.466398813241737</v>
      </c>
      <c r="M20" s="16">
        <f>(K20-O20)*100/O20</f>
        <v>92.26839092600974</v>
      </c>
      <c r="N20" s="16"/>
      <c r="O20" s="27">
        <f>1401.841+89.234</f>
        <v>1491.0749999999998</v>
      </c>
      <c r="Q20" s="1">
        <v>2640537.82</v>
      </c>
      <c r="R20" s="3">
        <v>0</v>
      </c>
      <c r="S20" s="86">
        <v>226328.09</v>
      </c>
      <c r="T20" s="3">
        <f>Q20-R20+S20</f>
        <v>2866865.9099999997</v>
      </c>
      <c r="U20" s="3">
        <f>T20/1000</f>
        <v>2866.8659099999995</v>
      </c>
    </row>
    <row r="21" spans="1:21" ht="12.75">
      <c r="A21" s="1" t="s">
        <v>11</v>
      </c>
      <c r="B21" s="35">
        <f>1920.384+61.494</f>
        <v>1981.878</v>
      </c>
      <c r="C21" s="14">
        <f>2046.87+56.289</f>
        <v>2103.159</v>
      </c>
      <c r="D21" s="14">
        <v>3349</v>
      </c>
      <c r="E21" s="71">
        <v>2812</v>
      </c>
      <c r="F21" s="1">
        <v>3241</v>
      </c>
      <c r="G21" s="1">
        <v>4473</v>
      </c>
      <c r="H21" s="1">
        <v>3844</v>
      </c>
      <c r="I21" s="1">
        <v>4872</v>
      </c>
      <c r="J21" s="1">
        <v>5452</v>
      </c>
      <c r="K21" s="1">
        <v>6120.9532</v>
      </c>
      <c r="L21" s="15">
        <f>(K21-J21)*100/J21</f>
        <v>12.269867938371238</v>
      </c>
      <c r="M21" s="16">
        <f>(K21-O21)*100/O21</f>
        <v>206.86376418083893</v>
      </c>
      <c r="N21" s="16"/>
      <c r="O21" s="27">
        <f>1867.932+126.749</f>
        <v>1994.681</v>
      </c>
      <c r="Q21" s="1">
        <v>5893331.600000001</v>
      </c>
      <c r="R21" s="3">
        <v>53727.33</v>
      </c>
      <c r="S21" s="86">
        <v>281348.93</v>
      </c>
      <c r="T21" s="3">
        <f>Q21-R21+S21</f>
        <v>6120953.2</v>
      </c>
      <c r="U21" s="3">
        <f>T21/1000</f>
        <v>6120.9532</v>
      </c>
    </row>
    <row r="22" spans="1:21" ht="12.75">
      <c r="A22" s="1" t="s">
        <v>12</v>
      </c>
      <c r="B22" s="35">
        <f>674.24+45.444</f>
        <v>719.684</v>
      </c>
      <c r="C22" s="14">
        <f>652.659+39.758</f>
        <v>692.417</v>
      </c>
      <c r="D22" s="14">
        <v>754</v>
      </c>
      <c r="E22" s="71">
        <v>944</v>
      </c>
      <c r="F22" s="1">
        <v>779</v>
      </c>
      <c r="G22" s="1">
        <v>951</v>
      </c>
      <c r="H22" s="1">
        <v>869</v>
      </c>
      <c r="I22" s="1">
        <v>762</v>
      </c>
      <c r="J22" s="1">
        <v>1113</v>
      </c>
      <c r="K22" s="1">
        <v>1447.67091</v>
      </c>
      <c r="L22" s="15">
        <f>(K22-J22)*100/J22</f>
        <v>30.069264150943404</v>
      </c>
      <c r="M22" s="16">
        <f>(K22-O22)*100/O22</f>
        <v>117.7508667642356</v>
      </c>
      <c r="N22" s="16"/>
      <c r="O22" s="27">
        <f>620.312+44.517</f>
        <v>664.8290000000001</v>
      </c>
      <c r="Q22" s="1">
        <v>1410842.82</v>
      </c>
      <c r="R22" s="3">
        <v>26064.88</v>
      </c>
      <c r="S22" s="86">
        <v>62892.97</v>
      </c>
      <c r="T22" s="3">
        <f>Q22-R22+S22</f>
        <v>1447670.9100000001</v>
      </c>
      <c r="U22" s="3">
        <f>T22/1000</f>
        <v>1447.67091</v>
      </c>
    </row>
    <row r="23" spans="2:19" ht="12.75">
      <c r="B23" s="35"/>
      <c r="C23" s="14"/>
      <c r="D23" s="14"/>
      <c r="E23" s="71"/>
      <c r="L23" s="15"/>
      <c r="M23" s="16"/>
      <c r="N23" s="16"/>
      <c r="O23" s="27"/>
      <c r="Q23" s="1"/>
      <c r="S23" s="86"/>
    </row>
    <row r="24" spans="1:21" ht="12.75">
      <c r="A24" s="1" t="s">
        <v>13</v>
      </c>
      <c r="B24" s="35">
        <f>3291.797+193.647</f>
        <v>3485.444</v>
      </c>
      <c r="C24" s="14">
        <f>3780.892+203.581</f>
        <v>3984.473</v>
      </c>
      <c r="D24" s="14">
        <v>4153</v>
      </c>
      <c r="E24" s="71">
        <v>5019</v>
      </c>
      <c r="F24" s="1">
        <v>5693</v>
      </c>
      <c r="G24" s="1">
        <v>4750.73</v>
      </c>
      <c r="H24" s="1">
        <v>5323</v>
      </c>
      <c r="I24" s="1">
        <v>7154</v>
      </c>
      <c r="J24" s="1">
        <v>6842</v>
      </c>
      <c r="K24" s="1">
        <v>10039.558949999999</v>
      </c>
      <c r="L24" s="15">
        <f>(K24-J24)*100/J24</f>
        <v>46.73427287342881</v>
      </c>
      <c r="M24" s="16">
        <f>(K24-O24)*100/O24</f>
        <v>221.49602611533436</v>
      </c>
      <c r="N24" s="16"/>
      <c r="O24" s="27">
        <f>2936.017+186.746</f>
        <v>3122.763</v>
      </c>
      <c r="Q24" s="1">
        <v>9619371.72</v>
      </c>
      <c r="R24" s="3">
        <v>76834.72</v>
      </c>
      <c r="S24" s="86">
        <v>497021.95</v>
      </c>
      <c r="T24" s="3">
        <f>Q24-R24+S24</f>
        <v>10039558.95</v>
      </c>
      <c r="U24" s="3">
        <f>T24/1000</f>
        <v>10039.558949999999</v>
      </c>
    </row>
    <row r="25" spans="1:21" ht="12.75">
      <c r="A25" s="1" t="s">
        <v>14</v>
      </c>
      <c r="B25" s="35">
        <f>514.444+23.662</f>
        <v>538.106</v>
      </c>
      <c r="C25" s="14">
        <f>445.3+17.207</f>
        <v>462.507</v>
      </c>
      <c r="D25" s="14">
        <v>606</v>
      </c>
      <c r="E25" s="71">
        <v>648</v>
      </c>
      <c r="F25" s="1">
        <v>870</v>
      </c>
      <c r="G25" s="1">
        <v>971.93</v>
      </c>
      <c r="H25" s="1">
        <v>1032</v>
      </c>
      <c r="I25" s="1">
        <v>1198</v>
      </c>
      <c r="J25" s="1">
        <v>1102</v>
      </c>
      <c r="K25" s="1">
        <v>1140.11812</v>
      </c>
      <c r="L25" s="15">
        <f>(K25-J25)*100/J25</f>
        <v>3.45899455535391</v>
      </c>
      <c r="M25" s="16">
        <f>(K25-O25)*100/O25</f>
        <v>96.55277326193806</v>
      </c>
      <c r="N25" s="16"/>
      <c r="O25" s="27">
        <f>563.146+16.911</f>
        <v>580.057</v>
      </c>
      <c r="Q25" s="1">
        <v>1072713.33</v>
      </c>
      <c r="R25" s="3">
        <v>0</v>
      </c>
      <c r="S25" s="86">
        <v>67404.79</v>
      </c>
      <c r="T25" s="3">
        <f>Q25-R25+S25</f>
        <v>1140118.12</v>
      </c>
      <c r="U25" s="3">
        <f>T25/1000</f>
        <v>1140.11812</v>
      </c>
    </row>
    <row r="26" spans="1:21" ht="12.75">
      <c r="A26" s="1" t="s">
        <v>15</v>
      </c>
      <c r="B26" s="35">
        <f>5941.856+187.617</f>
        <v>6129.473</v>
      </c>
      <c r="C26" s="14">
        <f>6052.769+190.654</f>
        <v>6243.423000000001</v>
      </c>
      <c r="D26" s="14">
        <v>6217</v>
      </c>
      <c r="E26" s="71">
        <v>6212</v>
      </c>
      <c r="F26" s="1">
        <v>6103</v>
      </c>
      <c r="G26" s="1">
        <v>5270</v>
      </c>
      <c r="H26" s="1">
        <v>5773</v>
      </c>
      <c r="I26" s="1">
        <v>6699</v>
      </c>
      <c r="J26" s="1">
        <v>7316</v>
      </c>
      <c r="K26" s="1">
        <v>7108.8208</v>
      </c>
      <c r="L26" s="15">
        <f>(K26-J26)*100/J26</f>
        <v>-2.8318644067796552</v>
      </c>
      <c r="M26" s="16">
        <f>(K26-O26)*100/O26</f>
        <v>19.485498508620697</v>
      </c>
      <c r="N26" s="16"/>
      <c r="O26" s="27">
        <f>5718.579+230.947</f>
        <v>5949.526</v>
      </c>
      <c r="Q26" s="1">
        <v>6878109.65</v>
      </c>
      <c r="R26" s="3">
        <v>0</v>
      </c>
      <c r="S26" s="86">
        <v>230711.15</v>
      </c>
      <c r="T26" s="3">
        <f>Q26-R26+S26</f>
        <v>7108820.800000001</v>
      </c>
      <c r="U26" s="3">
        <f>T26/1000</f>
        <v>7108.8208</v>
      </c>
    </row>
    <row r="27" spans="1:21" ht="12.75">
      <c r="A27" s="1" t="s">
        <v>16</v>
      </c>
      <c r="B27" s="35">
        <f>5144.574+189.844</f>
        <v>5334.418</v>
      </c>
      <c r="C27" s="14">
        <f>6207.545+204.119</f>
        <v>6411.664</v>
      </c>
      <c r="D27" s="14">
        <v>6427</v>
      </c>
      <c r="E27" s="71">
        <v>5743</v>
      </c>
      <c r="F27" s="1">
        <v>7516</v>
      </c>
      <c r="G27" s="1">
        <v>7514</v>
      </c>
      <c r="H27" s="1">
        <v>10094</v>
      </c>
      <c r="I27" s="1">
        <v>8985</v>
      </c>
      <c r="J27" s="1">
        <v>10793</v>
      </c>
      <c r="K27" s="1">
        <v>11599.835149999997</v>
      </c>
      <c r="L27" s="15">
        <f>(K27-J27)*100/J27</f>
        <v>7.475541091448135</v>
      </c>
      <c r="M27" s="16">
        <f>(K27-O27)*100/O27</f>
        <v>114.7218969468333</v>
      </c>
      <c r="N27" s="16"/>
      <c r="O27" s="27">
        <f>5255.808+146.452</f>
        <v>5402.26</v>
      </c>
      <c r="Q27" s="1">
        <v>10731388.549999997</v>
      </c>
      <c r="R27" s="3">
        <v>0</v>
      </c>
      <c r="S27" s="86">
        <v>868446.6</v>
      </c>
      <c r="T27" s="3">
        <f>Q27-R27+S27</f>
        <v>11599835.149999997</v>
      </c>
      <c r="U27" s="3">
        <f>T27/1000</f>
        <v>11599.835149999997</v>
      </c>
    </row>
    <row r="28" spans="1:21" ht="12.75">
      <c r="A28" s="1" t="s">
        <v>17</v>
      </c>
      <c r="B28" s="35">
        <f>383.057+24.943</f>
        <v>408</v>
      </c>
      <c r="C28" s="14">
        <f>364.405+24.941</f>
        <v>389.34599999999995</v>
      </c>
      <c r="D28" s="14">
        <v>395</v>
      </c>
      <c r="E28" s="71">
        <v>430</v>
      </c>
      <c r="F28" s="1">
        <v>549</v>
      </c>
      <c r="G28" s="1">
        <v>563</v>
      </c>
      <c r="H28" s="1">
        <v>721</v>
      </c>
      <c r="I28" s="1">
        <v>630</v>
      </c>
      <c r="J28" s="1">
        <v>524</v>
      </c>
      <c r="K28" s="1">
        <v>456.21441999999996</v>
      </c>
      <c r="L28" s="15">
        <f>(K28-J28)*100/J28</f>
        <v>-12.936179389312985</v>
      </c>
      <c r="M28" s="16">
        <f>(K28-O28)*100/O28</f>
        <v>17.292339730817183</v>
      </c>
      <c r="N28" s="16"/>
      <c r="O28" s="27">
        <f>364.049+24.906</f>
        <v>388.955</v>
      </c>
      <c r="Q28" s="1">
        <v>435689.69</v>
      </c>
      <c r="R28" s="3">
        <v>14017.38</v>
      </c>
      <c r="S28" s="86">
        <v>34542.11</v>
      </c>
      <c r="T28" s="3">
        <f>Q28-R28+S28</f>
        <v>456214.42</v>
      </c>
      <c r="U28" s="3">
        <f>T28/1000</f>
        <v>456.21441999999996</v>
      </c>
    </row>
    <row r="29" spans="2:19" ht="12.75">
      <c r="B29" s="35"/>
      <c r="C29" s="14"/>
      <c r="D29" s="14"/>
      <c r="E29" s="71"/>
      <c r="L29" s="15"/>
      <c r="M29" s="16"/>
      <c r="N29" s="16"/>
      <c r="O29" s="27"/>
      <c r="Q29" s="1"/>
      <c r="S29" s="86"/>
    </row>
    <row r="30" spans="1:21" ht="12.75">
      <c r="A30" s="1" t="s">
        <v>18</v>
      </c>
      <c r="B30" s="35">
        <f>14526.142+1155.61</f>
        <v>15681.752</v>
      </c>
      <c r="C30" s="14">
        <f>15125.828+1184.484</f>
        <v>16310.312</v>
      </c>
      <c r="D30" s="14">
        <v>16408</v>
      </c>
      <c r="E30" s="71">
        <v>18803</v>
      </c>
      <c r="F30" s="1">
        <v>25157</v>
      </c>
      <c r="G30" s="1">
        <v>26957</v>
      </c>
      <c r="H30" s="1">
        <v>25988</v>
      </c>
      <c r="I30" s="1">
        <v>27901</v>
      </c>
      <c r="J30" s="1">
        <v>26252</v>
      </c>
      <c r="K30" s="1">
        <v>27621.793510000003</v>
      </c>
      <c r="L30" s="15">
        <f>(K30-J30)*100/J30</f>
        <v>5.21786343897609</v>
      </c>
      <c r="M30" s="16">
        <f>(K30-O30)*100/O30</f>
        <v>85.42881596888223</v>
      </c>
      <c r="N30" s="16"/>
      <c r="O30" s="27">
        <f>13796.317+1099.854</f>
        <v>14896.170999999998</v>
      </c>
      <c r="Q30" s="1">
        <v>25859193.92</v>
      </c>
      <c r="R30" s="3">
        <v>402297.23</v>
      </c>
      <c r="S30" s="86">
        <v>2164896.82</v>
      </c>
      <c r="T30" s="3">
        <f>Q30-R30+S30</f>
        <v>27621793.51</v>
      </c>
      <c r="U30" s="3">
        <f>T30/1000</f>
        <v>27621.793510000003</v>
      </c>
    </row>
    <row r="31" spans="1:21" ht="12.75">
      <c r="A31" s="1" t="s">
        <v>19</v>
      </c>
      <c r="B31" s="35">
        <f>14021.388+490.977</f>
        <v>14512.365000000002</v>
      </c>
      <c r="C31" s="14">
        <f>17755.06+446.755</f>
        <v>18201.815000000002</v>
      </c>
      <c r="D31" s="14">
        <v>19573</v>
      </c>
      <c r="E31" s="71">
        <v>22005</v>
      </c>
      <c r="F31" s="1">
        <v>24053</v>
      </c>
      <c r="G31" s="1">
        <v>26841</v>
      </c>
      <c r="H31" s="1">
        <v>28530</v>
      </c>
      <c r="I31" s="1">
        <v>26783</v>
      </c>
      <c r="J31" s="1">
        <v>32785</v>
      </c>
      <c r="K31" s="1">
        <v>28987.165180000007</v>
      </c>
      <c r="L31" s="15">
        <f>(K31-J31)*100/J31</f>
        <v>-11.584062284581341</v>
      </c>
      <c r="M31" s="16">
        <f>(K31-O31)*100/O31</f>
        <v>150.21975292720572</v>
      </c>
      <c r="N31" s="16"/>
      <c r="O31" s="27">
        <f>11226.083+358.6</f>
        <v>11584.683</v>
      </c>
      <c r="Q31" s="1">
        <v>28539536.530000005</v>
      </c>
      <c r="R31" s="3">
        <v>183974.72</v>
      </c>
      <c r="S31" s="86">
        <v>631603.37</v>
      </c>
      <c r="T31" s="3">
        <f>Q31-R31+S31</f>
        <v>28987165.180000007</v>
      </c>
      <c r="U31" s="3">
        <f>T31/1000</f>
        <v>28987.165180000007</v>
      </c>
    </row>
    <row r="32" spans="1:21" ht="12.75">
      <c r="A32" s="1" t="s">
        <v>20</v>
      </c>
      <c r="B32" s="35">
        <f>1037.886+61.966</f>
        <v>1099.8519999999999</v>
      </c>
      <c r="C32" s="14">
        <f>1279.32+64.331</f>
        <v>1343.6509999999998</v>
      </c>
      <c r="D32" s="14">
        <v>1558</v>
      </c>
      <c r="E32" s="71">
        <v>1635</v>
      </c>
      <c r="F32" s="1">
        <v>1854</v>
      </c>
      <c r="G32" s="1">
        <v>1643</v>
      </c>
      <c r="H32" s="1">
        <v>1714</v>
      </c>
      <c r="I32" s="1">
        <v>2037</v>
      </c>
      <c r="J32" s="1">
        <v>2226</v>
      </c>
      <c r="K32" s="1">
        <v>2023.39419</v>
      </c>
      <c r="L32" s="15">
        <f>(K32-J32)*100/J32</f>
        <v>-9.101788409703506</v>
      </c>
      <c r="M32" s="16">
        <f>(K32-O32)*100/O32</f>
        <v>91.6508589457373</v>
      </c>
      <c r="N32" s="16"/>
      <c r="O32" s="27">
        <f>1003.284+52.487</f>
        <v>1055.771</v>
      </c>
      <c r="Q32" s="1">
        <v>1907628.03</v>
      </c>
      <c r="R32" s="3">
        <v>3842.78</v>
      </c>
      <c r="S32" s="86">
        <v>119608.94</v>
      </c>
      <c r="T32" s="3">
        <f>Q32-R32+S32</f>
        <v>2023394.19</v>
      </c>
      <c r="U32" s="3">
        <f>T32/1000</f>
        <v>2023.39419</v>
      </c>
    </row>
    <row r="33" spans="1:21" ht="12.75">
      <c r="A33" s="1" t="s">
        <v>21</v>
      </c>
      <c r="B33" s="35">
        <f>2239.055+101.434</f>
        <v>2340.489</v>
      </c>
      <c r="C33" s="14">
        <f>1368.375+102.208</f>
        <v>1470.583</v>
      </c>
      <c r="D33" s="14">
        <v>1889</v>
      </c>
      <c r="E33" s="71">
        <v>2622</v>
      </c>
      <c r="F33" s="1">
        <v>2896</v>
      </c>
      <c r="G33" s="1">
        <v>2507</v>
      </c>
      <c r="H33" s="1">
        <v>2574</v>
      </c>
      <c r="I33" s="1">
        <v>3143</v>
      </c>
      <c r="J33" s="1">
        <v>2623</v>
      </c>
      <c r="K33" s="1">
        <v>3565.73167</v>
      </c>
      <c r="L33" s="15">
        <f>(K33-J33)*100/J33</f>
        <v>35.94097102554328</v>
      </c>
      <c r="M33" s="16">
        <f>(K33-O33)*100/O33</f>
        <v>100.7083110526215</v>
      </c>
      <c r="N33" s="16"/>
      <c r="O33" s="27">
        <f>1685.747+90.827</f>
        <v>1776.574</v>
      </c>
      <c r="Q33" s="1">
        <v>3338109.3</v>
      </c>
      <c r="R33" s="3">
        <v>23304.96</v>
      </c>
      <c r="S33" s="86">
        <v>250927.33</v>
      </c>
      <c r="T33" s="3">
        <f>Q33-R33+S33</f>
        <v>3565731.67</v>
      </c>
      <c r="U33" s="3">
        <f>T33/1000</f>
        <v>3565.73167</v>
      </c>
    </row>
    <row r="34" spans="1:21" ht="12.75">
      <c r="A34" s="1" t="s">
        <v>22</v>
      </c>
      <c r="B34" s="35">
        <f>410.531+12.979</f>
        <v>423.51</v>
      </c>
      <c r="C34" s="14">
        <f>416.296+7.139</f>
        <v>423.435</v>
      </c>
      <c r="D34" s="14">
        <v>464</v>
      </c>
      <c r="E34" s="71">
        <v>708</v>
      </c>
      <c r="F34" s="1">
        <v>844</v>
      </c>
      <c r="G34" s="1">
        <v>910</v>
      </c>
      <c r="H34" s="1">
        <v>760</v>
      </c>
      <c r="I34" s="1">
        <v>881</v>
      </c>
      <c r="J34" s="1">
        <v>910</v>
      </c>
      <c r="K34" s="1">
        <v>848.2083600000001</v>
      </c>
      <c r="L34" s="15">
        <f>(K34-J34)*100/J34</f>
        <v>-6.7902901098901</v>
      </c>
      <c r="M34" s="16">
        <f>(K34-O34)*100/O34</f>
        <v>146.2379153881214</v>
      </c>
      <c r="N34" s="16"/>
      <c r="O34" s="27">
        <f>339.032+5.435</f>
        <v>344.467</v>
      </c>
      <c r="Q34" s="1">
        <v>817853.16</v>
      </c>
      <c r="R34" s="3">
        <v>7140.46</v>
      </c>
      <c r="S34" s="86">
        <v>37495.66</v>
      </c>
      <c r="T34" s="3">
        <f>Q34-R34+S34</f>
        <v>848208.3600000001</v>
      </c>
      <c r="U34" s="3">
        <f>T34/1000</f>
        <v>848.2083600000001</v>
      </c>
    </row>
    <row r="35" spans="2:19" ht="12.75">
      <c r="B35" s="35"/>
      <c r="C35" s="14"/>
      <c r="D35" s="14"/>
      <c r="E35" s="71"/>
      <c r="L35" s="15"/>
      <c r="M35" s="16"/>
      <c r="N35" s="16"/>
      <c r="O35" s="27"/>
      <c r="Q35" s="1"/>
      <c r="S35" s="86"/>
    </row>
    <row r="36" spans="1:21" ht="12.75">
      <c r="A36" s="1" t="s">
        <v>23</v>
      </c>
      <c r="B36" s="35">
        <f>700.339+19.941</f>
        <v>720.2800000000001</v>
      </c>
      <c r="C36" s="14">
        <f>565.605+30.332</f>
        <v>595.937</v>
      </c>
      <c r="D36" s="14">
        <v>646</v>
      </c>
      <c r="E36" s="71">
        <v>780</v>
      </c>
      <c r="F36" s="1">
        <v>722</v>
      </c>
      <c r="G36" s="1">
        <v>862</v>
      </c>
      <c r="H36" s="1">
        <v>749</v>
      </c>
      <c r="I36" s="1">
        <v>1088</v>
      </c>
      <c r="J36" s="1">
        <v>859</v>
      </c>
      <c r="K36" s="1">
        <v>1221.9421300000001</v>
      </c>
      <c r="L36" s="15">
        <f>(K36-J36)*100/J36</f>
        <v>42.251703143189765</v>
      </c>
      <c r="M36" s="16">
        <f>(K36-O36)*100/O36</f>
        <v>126.77272103036151</v>
      </c>
      <c r="N36" s="16"/>
      <c r="O36" s="27">
        <f>519.25+19.59</f>
        <v>538.84</v>
      </c>
      <c r="Q36" s="1">
        <v>1137086.82</v>
      </c>
      <c r="R36" s="3">
        <v>0</v>
      </c>
      <c r="S36" s="86">
        <v>84855.31</v>
      </c>
      <c r="T36" s="3">
        <f>Q36-R36+S36</f>
        <v>1221942.1300000001</v>
      </c>
      <c r="U36" s="3">
        <f>T36/1000</f>
        <v>1221.9421300000001</v>
      </c>
    </row>
    <row r="37" spans="1:21" ht="12.75">
      <c r="A37" s="1" t="s">
        <v>24</v>
      </c>
      <c r="B37" s="35">
        <f>2091.648+48.767</f>
        <v>2140.415</v>
      </c>
      <c r="C37" s="14">
        <f>2304.619+63.209</f>
        <v>2367.828</v>
      </c>
      <c r="D37" s="14">
        <v>2377</v>
      </c>
      <c r="E37" s="71">
        <v>3112</v>
      </c>
      <c r="F37" s="1">
        <v>2986</v>
      </c>
      <c r="G37" s="1">
        <v>2918</v>
      </c>
      <c r="H37" s="1">
        <v>3040</v>
      </c>
      <c r="I37" s="1">
        <v>3974</v>
      </c>
      <c r="J37" s="1">
        <v>4578</v>
      </c>
      <c r="K37" s="1">
        <v>6357.529350000001</v>
      </c>
      <c r="L37" s="15">
        <f>(K37-J37)*100/J37</f>
        <v>38.8713269986894</v>
      </c>
      <c r="M37" s="16">
        <f>(K37-O37)*100/O37</f>
        <v>195.23339467843977</v>
      </c>
      <c r="N37" s="16"/>
      <c r="O37" s="27">
        <f>2089.922+63.469</f>
        <v>2153.391</v>
      </c>
      <c r="Q37" s="1">
        <v>6209515.890000001</v>
      </c>
      <c r="R37" s="3">
        <v>527.48</v>
      </c>
      <c r="S37" s="86">
        <v>148540.94</v>
      </c>
      <c r="T37" s="3">
        <f>Q37-R37+S37</f>
        <v>6357529.350000001</v>
      </c>
      <c r="U37" s="3">
        <f>T37/1000</f>
        <v>6357.529350000001</v>
      </c>
    </row>
    <row r="38" spans="1:21" ht="12.75">
      <c r="A38" s="1" t="s">
        <v>25</v>
      </c>
      <c r="B38" s="35">
        <f>1555.068+74.509</f>
        <v>1629.577</v>
      </c>
      <c r="C38" s="14">
        <f>1766.551+68.09</f>
        <v>1834.6409999999998</v>
      </c>
      <c r="D38" s="14">
        <v>1981</v>
      </c>
      <c r="E38" s="71">
        <v>2199</v>
      </c>
      <c r="F38" s="1">
        <v>2335</v>
      </c>
      <c r="G38" s="1">
        <v>2948</v>
      </c>
      <c r="H38" s="1">
        <v>2977</v>
      </c>
      <c r="I38" s="1">
        <v>2946</v>
      </c>
      <c r="J38" s="1">
        <v>3138</v>
      </c>
      <c r="K38" s="1">
        <v>3610.52646</v>
      </c>
      <c r="L38" s="15">
        <f>(K38-J38)*100/J38</f>
        <v>15.058204588910137</v>
      </c>
      <c r="M38" s="16">
        <f>(K38-O38)*100/O38</f>
        <v>128.90056639874626</v>
      </c>
      <c r="N38" s="16"/>
      <c r="O38" s="27">
        <f>1498.062+79.272</f>
        <v>1577.3339999999998</v>
      </c>
      <c r="Q38" s="1">
        <v>3421262.15</v>
      </c>
      <c r="R38" s="3">
        <v>29233.42</v>
      </c>
      <c r="S38" s="86">
        <v>218497.73</v>
      </c>
      <c r="T38" s="3">
        <f>Q38-R38+S38</f>
        <v>3610526.46</v>
      </c>
      <c r="U38" s="3">
        <f>T38/1000</f>
        <v>3610.52646</v>
      </c>
    </row>
    <row r="39" spans="1:21" ht="12.75">
      <c r="A39" s="17" t="s">
        <v>26</v>
      </c>
      <c r="B39" s="35">
        <f>1343.098+73.027</f>
        <v>1416.125</v>
      </c>
      <c r="C39" s="14">
        <f>1269.758+81.671</f>
        <v>1351.429</v>
      </c>
      <c r="D39" s="14">
        <v>1593</v>
      </c>
      <c r="E39" s="71">
        <v>1524</v>
      </c>
      <c r="F39" s="1">
        <v>1337</v>
      </c>
      <c r="G39" s="1">
        <v>1653</v>
      </c>
      <c r="H39" s="1">
        <v>1904</v>
      </c>
      <c r="I39" s="1">
        <v>1830</v>
      </c>
      <c r="J39" s="1">
        <v>2429</v>
      </c>
      <c r="K39" s="1">
        <v>2716.3696400000003</v>
      </c>
      <c r="L39" s="15">
        <f>(K39-J39)*100/J39</f>
        <v>11.830779744750942</v>
      </c>
      <c r="M39" s="16">
        <f>(K39-O39)*100/O39</f>
        <v>89.13101667760962</v>
      </c>
      <c r="N39" s="16"/>
      <c r="O39" s="27">
        <f>1373.98+62.257</f>
        <v>1436.237</v>
      </c>
      <c r="Q39" s="1">
        <v>2404416.27</v>
      </c>
      <c r="R39" s="3">
        <v>5294.5</v>
      </c>
      <c r="S39" s="102">
        <v>317247.87</v>
      </c>
      <c r="T39" s="3">
        <f>Q39-R39+S39</f>
        <v>2716369.64</v>
      </c>
      <c r="U39" s="3">
        <f>T39/1000</f>
        <v>2716.3696400000003</v>
      </c>
    </row>
    <row r="40" spans="1:15" ht="12.75">
      <c r="A40" s="1" t="s">
        <v>121</v>
      </c>
      <c r="B40" s="19"/>
      <c r="C40" s="18"/>
      <c r="D40" s="18"/>
      <c r="E40" s="18"/>
      <c r="F40" s="36"/>
      <c r="G40" s="18"/>
      <c r="H40" s="18"/>
      <c r="I40" s="18"/>
      <c r="J40" s="18"/>
      <c r="K40" s="18"/>
      <c r="L40" s="18"/>
      <c r="M40" s="18"/>
      <c r="N40" s="18"/>
      <c r="O40" s="7"/>
    </row>
    <row r="41" ht="12.75">
      <c r="B41" s="14"/>
    </row>
    <row r="42" spans="1:2" ht="12.75">
      <c r="A42" s="3"/>
      <c r="B42" s="14"/>
    </row>
    <row r="43" ht="12.75"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</sheetData>
  <mergeCells count="4">
    <mergeCell ref="A1:M1"/>
    <mergeCell ref="L7:M7"/>
    <mergeCell ref="A3:M3"/>
    <mergeCell ref="A4:M4"/>
  </mergeCells>
  <printOptions/>
  <pageMargins left="0.49" right="0.41" top="1" bottom="1" header="0.5" footer="0.5"/>
  <pageSetup fitToHeight="1" fitToWidth="1" orientation="landscape" scale="79" r:id="rId1"/>
  <headerFooter alignWithMargins="0">
    <oddHeader>&amp;R&amp;10
</oddHeader>
    <oddFooter>&amp;L&amp;"Lucida Sans,Italic"&amp;10MSDE-DBS  1 / 2006&amp;C- 12 -&amp;R&amp;"Lucida Sans,Italic"&amp;10Selected Financial Data - Part 4</oddFooter>
  </headerFooter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workbookViewId="0" topLeftCell="H2">
      <pane xSplit="14880" topLeftCell="IV8" activePane="topLeft" state="split"/>
      <selection pane="topLeft" activeCell="O2" sqref="O2"/>
      <selection pane="topRight" activeCell="O1" sqref="O1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4" width="6.625" style="1" customWidth="1"/>
    <col min="15" max="20" width="12.375" style="3" customWidth="1"/>
    <col min="21" max="21" width="11.25390625" style="3" customWidth="1"/>
    <col min="22" max="22" width="11.125" style="3" customWidth="1"/>
    <col min="23" max="23" width="11.375" style="3" customWidth="1"/>
    <col min="24" max="31" width="10.125" style="3" customWidth="1"/>
    <col min="32" max="16384" width="10.00390625" style="3" customWidth="1"/>
  </cols>
  <sheetData>
    <row r="1" spans="1:14" ht="15.75" customHeight="1">
      <c r="A1" s="108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15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219" t="s">
        <v>181</v>
      </c>
    </row>
    <row r="3" spans="1:14" ht="12.75">
      <c r="A3" s="108" t="s">
        <v>44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8" t="s">
        <v>168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ht="13.5" thickBot="1"/>
    <row r="6" spans="1:1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37" t="s">
        <v>119</v>
      </c>
      <c r="R6" s="3" t="s">
        <v>120</v>
      </c>
      <c r="S6" s="20" t="s">
        <v>90</v>
      </c>
    </row>
    <row r="7" spans="12:23" ht="15.75">
      <c r="L7" s="213" t="s">
        <v>28</v>
      </c>
      <c r="M7" s="199"/>
      <c r="N7" s="212"/>
      <c r="O7" s="1"/>
      <c r="P7" s="1"/>
      <c r="Q7" s="37"/>
      <c r="R7" s="37"/>
      <c r="S7" s="20" t="s">
        <v>196</v>
      </c>
      <c r="U7" s="37" t="s">
        <v>119</v>
      </c>
      <c r="V7" s="3" t="s">
        <v>120</v>
      </c>
      <c r="W7" s="20" t="s">
        <v>90</v>
      </c>
    </row>
    <row r="8" spans="7:23" ht="13.5" thickBot="1">
      <c r="G8" s="7"/>
      <c r="H8" s="7"/>
      <c r="I8" s="7"/>
      <c r="J8" s="7"/>
      <c r="K8" s="7"/>
      <c r="L8" s="10" t="s">
        <v>59</v>
      </c>
      <c r="M8" s="10" t="s">
        <v>60</v>
      </c>
      <c r="N8" s="10"/>
      <c r="O8" s="1"/>
      <c r="P8" s="1"/>
      <c r="Q8" s="103" t="s">
        <v>118</v>
      </c>
      <c r="R8" s="103" t="s">
        <v>118</v>
      </c>
      <c r="S8" s="38" t="s">
        <v>118</v>
      </c>
      <c r="U8" s="37"/>
      <c r="V8" s="37"/>
      <c r="W8" s="20" t="s">
        <v>174</v>
      </c>
    </row>
    <row r="9" spans="1:23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9"/>
      <c r="O9" s="33" t="s">
        <v>158</v>
      </c>
      <c r="P9" s="33"/>
      <c r="Q9" s="33"/>
      <c r="R9" s="33"/>
      <c r="S9" s="33"/>
      <c r="T9" s="33"/>
      <c r="U9" s="103" t="s">
        <v>118</v>
      </c>
      <c r="V9" s="103" t="s">
        <v>118</v>
      </c>
      <c r="W9" s="38" t="s">
        <v>118</v>
      </c>
    </row>
    <row r="10" spans="1:23" ht="12.75">
      <c r="A10" s="7" t="s">
        <v>2</v>
      </c>
      <c r="B10" s="11">
        <f aca="true" t="shared" si="0" ref="B10:H10">SUM(B12:B39)</f>
        <v>27257048</v>
      </c>
      <c r="C10" s="11">
        <f t="shared" si="0"/>
        <v>22377515</v>
      </c>
      <c r="D10" s="11">
        <f t="shared" si="0"/>
        <v>27612874</v>
      </c>
      <c r="E10" s="11">
        <f t="shared" si="0"/>
        <v>30331118</v>
      </c>
      <c r="F10" s="11">
        <f t="shared" si="0"/>
        <v>43185145</v>
      </c>
      <c r="G10" s="11">
        <f t="shared" si="0"/>
        <v>49555371</v>
      </c>
      <c r="H10" s="11">
        <f t="shared" si="0"/>
        <v>40250267</v>
      </c>
      <c r="I10" s="11">
        <f>SUM(I12:I39)</f>
        <v>45347904</v>
      </c>
      <c r="J10" s="11">
        <f>SUM(J12:J39)</f>
        <v>41213251.39</v>
      </c>
      <c r="K10" s="11">
        <f>SUM(K12:K39)</f>
        <v>62297770.77</v>
      </c>
      <c r="L10" s="12">
        <f>(J10-I10)/I10</f>
        <v>-0.09117626715448633</v>
      </c>
      <c r="M10" s="12">
        <f>(K10-O10)/O10</f>
        <v>1.4832742017881173</v>
      </c>
      <c r="N10" s="12"/>
      <c r="O10" s="11">
        <f>SUM(O12:O39)</f>
        <v>25086948</v>
      </c>
      <c r="P10" s="11"/>
      <c r="Q10" s="99">
        <f>SUM(Q12:Q39)</f>
        <v>40483930.910000004</v>
      </c>
      <c r="R10" s="101">
        <f>SUM(R12:R39)</f>
        <v>729320.48</v>
      </c>
      <c r="S10" s="101">
        <f>SUM(S12:S39)</f>
        <v>41213251.39</v>
      </c>
      <c r="T10" s="101"/>
      <c r="U10" s="99">
        <f>SUM(U12:U39)</f>
        <v>61256629.04000001</v>
      </c>
      <c r="V10" s="101">
        <f>SUM(V12:V39)</f>
        <v>1041141.7300000001</v>
      </c>
      <c r="W10" s="101">
        <f>SUM(W12:W39)</f>
        <v>62297770.77</v>
      </c>
    </row>
    <row r="11" spans="2:21" ht="12.75">
      <c r="B11" s="35"/>
      <c r="C11" s="14"/>
      <c r="D11" s="14"/>
      <c r="E11" s="29"/>
      <c r="M11" s="14"/>
      <c r="N11" s="14"/>
      <c r="O11" s="1"/>
      <c r="P11" s="1"/>
      <c r="Q11" s="1"/>
      <c r="R11" s="1"/>
      <c r="S11" s="1"/>
      <c r="T11" s="1"/>
      <c r="U11" s="100"/>
    </row>
    <row r="12" spans="1:23" ht="12.75">
      <c r="A12" s="1" t="s">
        <v>3</v>
      </c>
      <c r="B12" s="35">
        <v>279817</v>
      </c>
      <c r="C12" s="14">
        <v>299521</v>
      </c>
      <c r="D12" s="14">
        <v>430603</v>
      </c>
      <c r="E12" s="71">
        <v>444388</v>
      </c>
      <c r="F12" s="1">
        <v>65451</v>
      </c>
      <c r="G12" s="1">
        <v>171999</v>
      </c>
      <c r="H12" s="1">
        <v>179579</v>
      </c>
      <c r="I12" s="1">
        <v>341622</v>
      </c>
      <c r="J12" s="1">
        <v>254368.61</v>
      </c>
      <c r="K12" s="1">
        <v>1688389.45</v>
      </c>
      <c r="L12" s="15">
        <f>(K12-J12)*100/J12</f>
        <v>563.7569981610545</v>
      </c>
      <c r="M12" s="16">
        <f>(K12-O12)*100/O12</f>
        <v>472.78975526349717</v>
      </c>
      <c r="N12" s="16"/>
      <c r="O12" s="27">
        <v>294766</v>
      </c>
      <c r="P12" s="27"/>
      <c r="Q12" s="27">
        <v>254368.61</v>
      </c>
      <c r="R12" s="27">
        <v>0</v>
      </c>
      <c r="S12" s="3">
        <f>SUM(Q12:R12)</f>
        <v>254368.61</v>
      </c>
      <c r="U12" s="150">
        <v>1688389.45</v>
      </c>
      <c r="V12" s="86">
        <v>0</v>
      </c>
      <c r="W12" s="3">
        <f>SUM(U12:V12)</f>
        <v>1688389.45</v>
      </c>
    </row>
    <row r="13" spans="1:23" ht="12.75">
      <c r="A13" s="1" t="s">
        <v>4</v>
      </c>
      <c r="B13" s="35">
        <f>1574003+6010</f>
        <v>1580013</v>
      </c>
      <c r="C13" s="14">
        <f>1885491+8170</f>
        <v>1893661</v>
      </c>
      <c r="D13" s="14">
        <v>1950712</v>
      </c>
      <c r="E13" s="71">
        <v>1761648</v>
      </c>
      <c r="F13" s="1">
        <v>1092137</v>
      </c>
      <c r="G13" s="1">
        <v>2351579</v>
      </c>
      <c r="H13" s="1">
        <v>2173777</v>
      </c>
      <c r="I13" s="1">
        <v>2848337</v>
      </c>
      <c r="J13" s="1">
        <v>3554867.63</v>
      </c>
      <c r="K13" s="1">
        <v>8060168.59</v>
      </c>
      <c r="L13" s="15">
        <f>(K13-J13)*100/J13</f>
        <v>126.73611028380262</v>
      </c>
      <c r="M13" s="16">
        <f>(K13-O13)*100/O13</f>
        <v>474.7918804857246</v>
      </c>
      <c r="N13" s="16"/>
      <c r="O13" s="27">
        <f>1401492+784</f>
        <v>1402276</v>
      </c>
      <c r="P13" s="27"/>
      <c r="Q13" s="27">
        <v>3463598.68</v>
      </c>
      <c r="R13" s="27">
        <v>91268.95</v>
      </c>
      <c r="S13" s="3">
        <f>SUM(Q13:R13)</f>
        <v>3554867.6300000004</v>
      </c>
      <c r="U13" s="150">
        <v>8006787</v>
      </c>
      <c r="V13" s="86">
        <v>53381.59</v>
      </c>
      <c r="W13" s="3">
        <f>SUM(U13:V13)</f>
        <v>8060168.59</v>
      </c>
    </row>
    <row r="14" spans="1:23" ht="12.75">
      <c r="A14" s="1" t="s">
        <v>5</v>
      </c>
      <c r="B14" s="35">
        <f>2790141+104580</f>
        <v>2894721</v>
      </c>
      <c r="C14" s="14">
        <f>2026439+109631</f>
        <v>2136070</v>
      </c>
      <c r="D14" s="14">
        <v>2429914</v>
      </c>
      <c r="E14" s="71">
        <v>4723944</v>
      </c>
      <c r="F14" s="1">
        <v>12482285</v>
      </c>
      <c r="G14" s="1">
        <v>11709465</v>
      </c>
      <c r="H14" s="1">
        <v>2373424</v>
      </c>
      <c r="I14" s="1">
        <v>1845478</v>
      </c>
      <c r="J14" s="1">
        <v>923735.33</v>
      </c>
      <c r="K14" s="1">
        <v>6724821.89</v>
      </c>
      <c r="L14" s="15">
        <f>(K14-J14)*100/J14</f>
        <v>628.0031056081833</v>
      </c>
      <c r="M14" s="16">
        <f>(K14-O14)*100/O14</f>
        <v>101.28966154903455</v>
      </c>
      <c r="N14" s="16"/>
      <c r="O14" s="27">
        <f>3270978+69890</f>
        <v>3340868</v>
      </c>
      <c r="P14" s="27"/>
      <c r="Q14" s="27">
        <v>843389.93</v>
      </c>
      <c r="R14" s="27">
        <v>80345.4</v>
      </c>
      <c r="S14" s="3">
        <f>SUM(Q14:R14)</f>
        <v>923735.3300000001</v>
      </c>
      <c r="U14" s="150">
        <v>6723547</v>
      </c>
      <c r="V14" s="86">
        <v>1274.89</v>
      </c>
      <c r="W14" s="3">
        <f>SUM(U14:V14)</f>
        <v>6724821.89</v>
      </c>
    </row>
    <row r="15" spans="1:23" ht="12.75">
      <c r="A15" s="1" t="s">
        <v>6</v>
      </c>
      <c r="B15" s="35">
        <f>5289481+85062</f>
        <v>5374543</v>
      </c>
      <c r="C15" s="14">
        <f>656867+81479</f>
        <v>738346</v>
      </c>
      <c r="D15" s="14">
        <v>5295960</v>
      </c>
      <c r="E15" s="71">
        <v>4257488</v>
      </c>
      <c r="F15" s="1">
        <v>5362580</v>
      </c>
      <c r="G15" s="1">
        <v>7883848</v>
      </c>
      <c r="H15" s="1">
        <v>5875640</v>
      </c>
      <c r="I15" s="1">
        <v>9409969</v>
      </c>
      <c r="J15" s="1">
        <v>5299074.86</v>
      </c>
      <c r="K15" s="1">
        <v>5407437.71</v>
      </c>
      <c r="L15" s="15">
        <f>(K15-J15)*100/J15</f>
        <v>2.0449390292251812</v>
      </c>
      <c r="M15" s="16">
        <f>(K15-O15)*100/O15</f>
        <v>47.92781613899439</v>
      </c>
      <c r="N15" s="16"/>
      <c r="O15" s="27">
        <f>3596268+59189</f>
        <v>3655457</v>
      </c>
      <c r="P15" s="27"/>
      <c r="Q15" s="27">
        <v>5127876.02</v>
      </c>
      <c r="R15" s="27">
        <v>171198.84</v>
      </c>
      <c r="S15" s="3">
        <f>SUM(Q15:R15)</f>
        <v>5299074.859999999</v>
      </c>
      <c r="U15" s="150">
        <v>5267603.62</v>
      </c>
      <c r="V15" s="150">
        <v>139834.09</v>
      </c>
      <c r="W15" s="3">
        <f>SUM(U15:V15)</f>
        <v>5407437.71</v>
      </c>
    </row>
    <row r="16" spans="1:23" ht="12.75">
      <c r="A16" s="1" t="s">
        <v>7</v>
      </c>
      <c r="B16" s="35">
        <f>690103+30634</f>
        <v>720737</v>
      </c>
      <c r="C16" s="14">
        <f>706996+34012</f>
        <v>741008</v>
      </c>
      <c r="D16" s="14">
        <v>580928</v>
      </c>
      <c r="E16" s="71">
        <v>698536</v>
      </c>
      <c r="F16" s="1">
        <v>636270</v>
      </c>
      <c r="G16" s="1">
        <v>940586</v>
      </c>
      <c r="H16" s="1">
        <v>1103933</v>
      </c>
      <c r="I16" s="1">
        <v>902856</v>
      </c>
      <c r="J16" s="1">
        <v>960435.99</v>
      </c>
      <c r="K16" s="1">
        <v>999872</v>
      </c>
      <c r="L16" s="15">
        <f>(K16-J16)*100/J16</f>
        <v>4.106052918737459</v>
      </c>
      <c r="M16" s="16">
        <f>(K16-O16)*100/O16</f>
        <v>42.063192113915164</v>
      </c>
      <c r="N16" s="16"/>
      <c r="O16" s="27">
        <f>669001+34821</f>
        <v>703822</v>
      </c>
      <c r="P16" s="27"/>
      <c r="Q16" s="27">
        <v>917463.34</v>
      </c>
      <c r="R16" s="27">
        <v>42972.65</v>
      </c>
      <c r="S16" s="3">
        <f>SUM(Q16:R16)</f>
        <v>960435.99</v>
      </c>
      <c r="U16" s="150">
        <v>959472</v>
      </c>
      <c r="V16" s="153">
        <v>40400</v>
      </c>
      <c r="W16" s="3">
        <f>SUM(U16:V16)</f>
        <v>999872</v>
      </c>
    </row>
    <row r="17" spans="2:22" ht="12.75">
      <c r="B17" s="35"/>
      <c r="C17" s="14"/>
      <c r="D17" s="14"/>
      <c r="E17" s="71">
        <v>0</v>
      </c>
      <c r="L17" s="15"/>
      <c r="M17" s="16"/>
      <c r="N17" s="16"/>
      <c r="O17" s="27"/>
      <c r="P17" s="27"/>
      <c r="Q17" s="27"/>
      <c r="R17" s="27"/>
      <c r="U17" s="86"/>
      <c r="V17" s="155"/>
    </row>
    <row r="18" spans="1:23" ht="12.75">
      <c r="A18" s="1" t="s">
        <v>8</v>
      </c>
      <c r="B18" s="35">
        <f>358427+5877</f>
        <v>364304</v>
      </c>
      <c r="C18" s="14">
        <f>227580+5274</f>
        <v>232854</v>
      </c>
      <c r="D18" s="14">
        <v>318086</v>
      </c>
      <c r="E18" s="71">
        <v>259011</v>
      </c>
      <c r="F18" s="1">
        <v>148674</v>
      </c>
      <c r="G18" s="1">
        <v>298609</v>
      </c>
      <c r="H18" s="1">
        <v>301392</v>
      </c>
      <c r="I18" s="1">
        <v>77348</v>
      </c>
      <c r="J18" s="1">
        <v>139073.76</v>
      </c>
      <c r="K18" s="1">
        <v>103405.42</v>
      </c>
      <c r="L18" s="15">
        <f>(K18-J18)*100/J18</f>
        <v>-25.647066707623356</v>
      </c>
      <c r="M18" s="16">
        <f>(K18-O18)*100/O18</f>
        <v>-74.56989469438747</v>
      </c>
      <c r="N18" s="16"/>
      <c r="O18" s="27">
        <f>389726+16900</f>
        <v>406626</v>
      </c>
      <c r="P18" s="27"/>
      <c r="Q18" s="27">
        <v>136752.56</v>
      </c>
      <c r="R18" s="27">
        <v>2321.2</v>
      </c>
      <c r="S18" s="3">
        <f>SUM(Q18:R18)</f>
        <v>139073.76</v>
      </c>
      <c r="U18" s="153">
        <v>100924.54</v>
      </c>
      <c r="V18" s="153">
        <v>2480.88</v>
      </c>
      <c r="W18" s="3">
        <f>SUM(U18:V18)</f>
        <v>103405.42</v>
      </c>
    </row>
    <row r="19" spans="1:23" ht="12.75">
      <c r="A19" s="1" t="s">
        <v>9</v>
      </c>
      <c r="B19" s="35">
        <f>1174873+36333</f>
        <v>1211206</v>
      </c>
      <c r="C19" s="14">
        <f>476446+23125</f>
        <v>499571</v>
      </c>
      <c r="D19" s="14">
        <v>870324</v>
      </c>
      <c r="E19" s="71">
        <v>719098</v>
      </c>
      <c r="F19" s="1">
        <v>1172462</v>
      </c>
      <c r="G19" s="1">
        <v>874649</v>
      </c>
      <c r="H19" s="1">
        <v>984398</v>
      </c>
      <c r="I19" s="1">
        <v>1487827</v>
      </c>
      <c r="J19" s="1">
        <v>1565598.56</v>
      </c>
      <c r="K19" s="1">
        <v>1479380.47</v>
      </c>
      <c r="L19" s="15">
        <f>(K19-J19)*100/J19</f>
        <v>-5.50703687412692</v>
      </c>
      <c r="M19" s="16">
        <f>(K19-O19)*100/O19</f>
        <v>82.36646478791637</v>
      </c>
      <c r="N19" s="16"/>
      <c r="O19" s="27">
        <f>786476+24737</f>
        <v>811213</v>
      </c>
      <c r="P19" s="27"/>
      <c r="Q19" s="27">
        <v>1540431.66</v>
      </c>
      <c r="R19" s="27">
        <v>25166.9</v>
      </c>
      <c r="S19" s="3">
        <f>SUM(Q19:R19)</f>
        <v>1565598.5599999998</v>
      </c>
      <c r="U19" s="150">
        <v>1467988.6</v>
      </c>
      <c r="V19" s="86">
        <v>11391.87</v>
      </c>
      <c r="W19" s="3">
        <f>SUM(U19:V19)</f>
        <v>1479380.4700000002</v>
      </c>
    </row>
    <row r="20" spans="1:23" ht="12.75">
      <c r="A20" s="1" t="s">
        <v>10</v>
      </c>
      <c r="B20" s="35">
        <f>461194+29216</f>
        <v>490410</v>
      </c>
      <c r="C20" s="14">
        <f>437573+35946</f>
        <v>473519</v>
      </c>
      <c r="D20" s="14">
        <v>414048</v>
      </c>
      <c r="E20" s="71">
        <v>577789</v>
      </c>
      <c r="F20" s="1">
        <v>766152</v>
      </c>
      <c r="G20" s="1">
        <v>459429</v>
      </c>
      <c r="H20" s="1">
        <v>525496</v>
      </c>
      <c r="I20" s="1">
        <v>664994</v>
      </c>
      <c r="J20" s="1">
        <v>854435.03</v>
      </c>
      <c r="K20" s="1">
        <v>843056.67</v>
      </c>
      <c r="L20" s="15">
        <f>(K20-J20)*100/J20</f>
        <v>-1.3316822930351984</v>
      </c>
      <c r="M20" s="16">
        <f>(K20-O20)*100/O20</f>
        <v>70.28454998818391</v>
      </c>
      <c r="N20" s="16"/>
      <c r="O20" s="27">
        <f>467886+27201</f>
        <v>495087</v>
      </c>
      <c r="P20" s="27"/>
      <c r="Q20" s="27">
        <v>823183.22</v>
      </c>
      <c r="R20" s="27">
        <v>31251.81</v>
      </c>
      <c r="S20" s="3">
        <f>SUM(Q20:R20)</f>
        <v>854435.03</v>
      </c>
      <c r="U20" s="150">
        <v>809010.21</v>
      </c>
      <c r="V20" s="86">
        <v>34046.46</v>
      </c>
      <c r="W20" s="3">
        <f>SUM(U20:V20)</f>
        <v>843056.6699999999</v>
      </c>
    </row>
    <row r="21" spans="1:23" ht="12.75">
      <c r="A21" s="1" t="s">
        <v>11</v>
      </c>
      <c r="B21" s="35">
        <f>515153+8091</f>
        <v>523244</v>
      </c>
      <c r="C21" s="14">
        <f>603132+1840</f>
        <v>604972</v>
      </c>
      <c r="D21" s="14">
        <v>698150</v>
      </c>
      <c r="E21" s="71">
        <v>739608</v>
      </c>
      <c r="F21" s="1">
        <v>865474</v>
      </c>
      <c r="G21" s="1">
        <v>1681582</v>
      </c>
      <c r="H21" s="1">
        <v>561420</v>
      </c>
      <c r="I21" s="1">
        <v>626796</v>
      </c>
      <c r="J21" s="1">
        <v>814143.25</v>
      </c>
      <c r="K21" s="1">
        <v>1197212.29</v>
      </c>
      <c r="L21" s="15">
        <f>(K21-J21)*100/J21</f>
        <v>47.05179831681955</v>
      </c>
      <c r="M21" s="16">
        <f>(K21-O21)*100/O21</f>
        <v>141.51562815205725</v>
      </c>
      <c r="N21" s="16"/>
      <c r="O21" s="27">
        <f>488256+7452</f>
        <v>495708</v>
      </c>
      <c r="P21" s="27"/>
      <c r="Q21" s="27">
        <v>805421.47</v>
      </c>
      <c r="R21" s="27">
        <v>8721.78</v>
      </c>
      <c r="S21" s="3">
        <f>SUM(Q21:R21)</f>
        <v>814143.25</v>
      </c>
      <c r="U21" s="150">
        <v>1169810.79</v>
      </c>
      <c r="V21" s="86">
        <v>27401.5</v>
      </c>
      <c r="W21" s="3">
        <f>SUM(U21:V21)</f>
        <v>1197212.29</v>
      </c>
    </row>
    <row r="22" spans="1:23" ht="12.75">
      <c r="A22" s="1" t="s">
        <v>12</v>
      </c>
      <c r="B22" s="35">
        <f>189727+5949</f>
        <v>195676</v>
      </c>
      <c r="C22" s="14">
        <f>142076+215</f>
        <v>142291</v>
      </c>
      <c r="D22" s="14">
        <v>164467</v>
      </c>
      <c r="E22" s="71">
        <v>71120</v>
      </c>
      <c r="F22" s="1">
        <v>50105</v>
      </c>
      <c r="G22" s="1">
        <v>139802</v>
      </c>
      <c r="H22" s="1">
        <v>84029</v>
      </c>
      <c r="I22" s="1">
        <v>0</v>
      </c>
      <c r="J22" s="1">
        <v>31068</v>
      </c>
      <c r="K22" s="1">
        <v>422665.16</v>
      </c>
      <c r="L22" s="15">
        <f>(K22-J22)*100/J22</f>
        <v>1260.451783185271</v>
      </c>
      <c r="M22" s="16">
        <f>(K22-O22)*100/O22</f>
        <v>164.55594501890286</v>
      </c>
      <c r="N22" s="16"/>
      <c r="O22" s="27">
        <f>159167+597</f>
        <v>159764</v>
      </c>
      <c r="P22" s="27"/>
      <c r="Q22" s="27">
        <v>31068</v>
      </c>
      <c r="R22" s="27">
        <v>0</v>
      </c>
      <c r="S22" s="3">
        <f>SUM(Q22:R22)</f>
        <v>31068</v>
      </c>
      <c r="U22" s="154">
        <v>422665.16</v>
      </c>
      <c r="V22" s="86">
        <v>0</v>
      </c>
      <c r="W22" s="3">
        <f>SUM(U22:V22)</f>
        <v>422665.16</v>
      </c>
    </row>
    <row r="23" spans="2:22" ht="12.75">
      <c r="B23" s="35"/>
      <c r="C23" s="14"/>
      <c r="D23" s="14"/>
      <c r="E23" s="71">
        <v>0</v>
      </c>
      <c r="L23" s="15"/>
      <c r="M23" s="16"/>
      <c r="N23" s="16"/>
      <c r="O23" s="27"/>
      <c r="P23" s="27"/>
      <c r="Q23" s="27"/>
      <c r="R23" s="27"/>
      <c r="U23" s="86"/>
      <c r="V23" s="86"/>
    </row>
    <row r="24" spans="1:23" ht="12.75">
      <c r="A24" s="1" t="s">
        <v>13</v>
      </c>
      <c r="B24" s="35">
        <f>677994+13767</f>
        <v>691761</v>
      </c>
      <c r="C24" s="14">
        <f>748084+27885</f>
        <v>775969</v>
      </c>
      <c r="D24" s="14">
        <v>690735</v>
      </c>
      <c r="E24" s="71">
        <v>937324</v>
      </c>
      <c r="F24" s="1">
        <v>1170212</v>
      </c>
      <c r="G24" s="1">
        <v>679359</v>
      </c>
      <c r="H24" s="1">
        <v>1389324</v>
      </c>
      <c r="I24" s="1">
        <v>1904373</v>
      </c>
      <c r="J24" s="1">
        <v>1794387.55</v>
      </c>
      <c r="K24" s="1">
        <v>3967095.52</v>
      </c>
      <c r="L24" s="15">
        <f>(K24-J24)*100/J24</f>
        <v>121.08354017503073</v>
      </c>
      <c r="M24" s="16">
        <f>(K24-O24)*100/O24</f>
        <v>769.6242796233984</v>
      </c>
      <c r="N24" s="16"/>
      <c r="O24" s="27">
        <f>446399+9786</f>
        <v>456185</v>
      </c>
      <c r="P24" s="27"/>
      <c r="Q24" s="27">
        <v>1759951.16</v>
      </c>
      <c r="R24" s="27">
        <v>34436.39</v>
      </c>
      <c r="S24" s="3">
        <f>SUM(Q24:R24)</f>
        <v>1794387.5499999998</v>
      </c>
      <c r="U24" s="150">
        <v>3893643.2</v>
      </c>
      <c r="V24" s="86">
        <v>73452.32</v>
      </c>
      <c r="W24" s="3">
        <f>SUM(U24:V24)</f>
        <v>3967095.52</v>
      </c>
    </row>
    <row r="25" spans="1:23" ht="12.75">
      <c r="A25" s="1" t="s">
        <v>14</v>
      </c>
      <c r="B25" s="35">
        <f>176481+3700</f>
        <v>180181</v>
      </c>
      <c r="C25" s="14">
        <f>120811+5028</f>
        <v>125839</v>
      </c>
      <c r="D25" s="14">
        <v>165007</v>
      </c>
      <c r="E25" s="71">
        <v>157773</v>
      </c>
      <c r="F25" s="1">
        <v>157649</v>
      </c>
      <c r="G25" s="1">
        <v>269768</v>
      </c>
      <c r="H25" s="1">
        <v>374280</v>
      </c>
      <c r="I25" s="1">
        <v>527022</v>
      </c>
      <c r="J25" s="1">
        <v>454724.19</v>
      </c>
      <c r="K25" s="1">
        <v>468337.98</v>
      </c>
      <c r="L25" s="15">
        <f>(K25-J25)*100/J25</f>
        <v>2.993856561710513</v>
      </c>
      <c r="M25" s="16">
        <f>(K25-O25)*100/O25</f>
        <v>108.62680968969111</v>
      </c>
      <c r="N25" s="16"/>
      <c r="O25" s="27">
        <f>223361+1125</f>
        <v>224486</v>
      </c>
      <c r="P25" s="27"/>
      <c r="Q25" s="27">
        <v>451828.16</v>
      </c>
      <c r="R25" s="27">
        <v>2896.03</v>
      </c>
      <c r="S25" s="3">
        <f>SUM(Q25:R25)</f>
        <v>454724.19</v>
      </c>
      <c r="U25" s="150">
        <v>466925.46</v>
      </c>
      <c r="V25" s="153">
        <v>1412.52</v>
      </c>
      <c r="W25" s="3">
        <f>SUM(U25:V25)</f>
        <v>468337.98000000004</v>
      </c>
    </row>
    <row r="26" spans="1:23" ht="12.75">
      <c r="A26" s="1" t="s">
        <v>15</v>
      </c>
      <c r="B26" s="35">
        <f>2104608+38635</f>
        <v>2143243</v>
      </c>
      <c r="C26" s="14">
        <f>2136146+38014</f>
        <v>2174160</v>
      </c>
      <c r="D26" s="14">
        <v>1958716</v>
      </c>
      <c r="E26" s="71">
        <v>1744082</v>
      </c>
      <c r="F26" s="1">
        <v>1725233</v>
      </c>
      <c r="G26" s="1">
        <v>1688699</v>
      </c>
      <c r="H26" s="1">
        <v>2265427</v>
      </c>
      <c r="I26" s="1">
        <v>2579907</v>
      </c>
      <c r="J26" s="1">
        <v>1122462.03</v>
      </c>
      <c r="K26" s="1">
        <v>2597584.85</v>
      </c>
      <c r="L26" s="15">
        <f>(K26-J26)*100/J26</f>
        <v>131.4185050874282</v>
      </c>
      <c r="M26" s="16">
        <f>(K26-O26)*100/O26</f>
        <v>30.338424770466357</v>
      </c>
      <c r="N26" s="16"/>
      <c r="O26" s="27">
        <f>1934472+58482</f>
        <v>1992954</v>
      </c>
      <c r="P26" s="27"/>
      <c r="Q26" s="27">
        <v>1094528.38</v>
      </c>
      <c r="R26" s="27">
        <v>27933.65</v>
      </c>
      <c r="S26" s="3">
        <f>SUM(Q26:R26)</f>
        <v>1122462.0299999998</v>
      </c>
      <c r="U26" s="150">
        <v>2546794.67</v>
      </c>
      <c r="V26" s="153">
        <v>50790.18</v>
      </c>
      <c r="W26" s="3">
        <f>SUM(U26:V26)</f>
        <v>2597584.85</v>
      </c>
    </row>
    <row r="27" spans="1:23" ht="12.75">
      <c r="A27" s="1" t="s">
        <v>16</v>
      </c>
      <c r="B27" s="35">
        <f>887594+3445</f>
        <v>891039</v>
      </c>
      <c r="C27" s="14">
        <f>1481997+5683</f>
        <v>1487680</v>
      </c>
      <c r="D27" s="14">
        <v>939861</v>
      </c>
      <c r="E27" s="71">
        <v>1444500</v>
      </c>
      <c r="F27" s="1">
        <v>1555843</v>
      </c>
      <c r="G27" s="1">
        <v>1831046</v>
      </c>
      <c r="H27" s="1">
        <v>2384530</v>
      </c>
      <c r="I27" s="1">
        <v>2423021</v>
      </c>
      <c r="J27" s="1">
        <v>1001577.67</v>
      </c>
      <c r="K27" s="1">
        <v>2689119.89</v>
      </c>
      <c r="L27" s="15">
        <f>(K27-J27)*100/J27</f>
        <v>168.48840290139458</v>
      </c>
      <c r="M27" s="16">
        <f>(K27-O27)*100/O27</f>
        <v>63.551673699460295</v>
      </c>
      <c r="N27" s="16"/>
      <c r="O27" s="27">
        <f>1643191+1011</f>
        <v>1644202</v>
      </c>
      <c r="P27" s="27"/>
      <c r="Q27" s="27">
        <v>985997.54</v>
      </c>
      <c r="R27" s="27">
        <v>15580.13</v>
      </c>
      <c r="S27" s="3">
        <f>SUM(Q27:R27)</f>
        <v>1001577.67</v>
      </c>
      <c r="U27" s="150">
        <v>2670941.13</v>
      </c>
      <c r="V27" s="153">
        <v>18178.76</v>
      </c>
      <c r="W27" s="3">
        <f>SUM(U27:V27)</f>
        <v>2689119.8899999997</v>
      </c>
    </row>
    <row r="28" spans="1:23" ht="12.75">
      <c r="A28" s="1" t="s">
        <v>17</v>
      </c>
      <c r="B28" s="35">
        <f>176141+6339</f>
        <v>182480</v>
      </c>
      <c r="C28" s="14">
        <f>126916+538</f>
        <v>127454</v>
      </c>
      <c r="D28" s="14">
        <v>203940</v>
      </c>
      <c r="E28" s="71">
        <v>122815</v>
      </c>
      <c r="F28" s="1">
        <v>156085</v>
      </c>
      <c r="G28" s="1">
        <v>124063</v>
      </c>
      <c r="H28" s="1">
        <v>170097</v>
      </c>
      <c r="I28" s="1">
        <v>145732</v>
      </c>
      <c r="J28" s="1">
        <v>126625.95</v>
      </c>
      <c r="K28" s="1">
        <v>88311.64</v>
      </c>
      <c r="L28" s="15">
        <f>(K28-J28)*100/J28</f>
        <v>-30.257865785014843</v>
      </c>
      <c r="M28" s="16">
        <f>(K28-O28)*100/O28</f>
        <v>-52.17789859585091</v>
      </c>
      <c r="N28" s="16"/>
      <c r="O28" s="27">
        <f>183858+809</f>
        <v>184667</v>
      </c>
      <c r="P28" s="27"/>
      <c r="Q28" s="27">
        <v>126625.95</v>
      </c>
      <c r="R28" s="27"/>
      <c r="S28" s="3">
        <f>SUM(Q28:R28)</f>
        <v>126625.95</v>
      </c>
      <c r="U28" s="150">
        <v>86669</v>
      </c>
      <c r="V28" s="153">
        <v>1642.64</v>
      </c>
      <c r="W28" s="3">
        <f>SUM(U28:V28)</f>
        <v>88311.64</v>
      </c>
    </row>
    <row r="29" spans="2:22" ht="12.75">
      <c r="B29" s="35"/>
      <c r="C29" s="14"/>
      <c r="D29" s="14"/>
      <c r="E29" s="71">
        <v>0</v>
      </c>
      <c r="L29" s="15"/>
      <c r="M29" s="16"/>
      <c r="N29" s="16"/>
      <c r="O29" s="27"/>
      <c r="P29" s="27"/>
      <c r="Q29" s="27"/>
      <c r="R29" s="27"/>
      <c r="U29" s="86"/>
      <c r="V29" s="153"/>
    </row>
    <row r="30" spans="1:23" ht="12.75">
      <c r="A30" s="1" t="s">
        <v>18</v>
      </c>
      <c r="B30" s="35">
        <f>3019090+112164</f>
        <v>3131254</v>
      </c>
      <c r="C30" s="14">
        <f>2791494+143846</f>
        <v>2935340</v>
      </c>
      <c r="D30" s="14">
        <v>3107903</v>
      </c>
      <c r="E30" s="71">
        <v>3612660</v>
      </c>
      <c r="F30" s="1">
        <v>5184430</v>
      </c>
      <c r="G30" s="1">
        <v>5581741</v>
      </c>
      <c r="H30" s="1">
        <v>5410880</v>
      </c>
      <c r="I30" s="1">
        <v>5636743</v>
      </c>
      <c r="J30" s="1">
        <v>5791107.11</v>
      </c>
      <c r="K30" s="1">
        <v>7880625.48</v>
      </c>
      <c r="L30" s="15">
        <f>(K30-J30)*100/J30</f>
        <v>36.08150100335478</v>
      </c>
      <c r="M30" s="16">
        <f>(K30-O30)*100/O30</f>
        <v>136.0545086876441</v>
      </c>
      <c r="N30" s="16"/>
      <c r="O30" s="27">
        <f>3229337+109140</f>
        <v>3338477</v>
      </c>
      <c r="P30" s="27"/>
      <c r="Q30" s="27">
        <v>5622527.79</v>
      </c>
      <c r="R30" s="27">
        <v>168579.32</v>
      </c>
      <c r="S30" s="3">
        <f>SUM(Q30:R30)</f>
        <v>5791107.11</v>
      </c>
      <c r="U30" s="150">
        <v>7356543</v>
      </c>
      <c r="V30" s="153">
        <v>524082.48</v>
      </c>
      <c r="W30" s="3">
        <f>SUM(U30:V30)</f>
        <v>7880625.48</v>
      </c>
    </row>
    <row r="31" spans="1:23" ht="12.75">
      <c r="A31" s="1" t="s">
        <v>19</v>
      </c>
      <c r="B31" s="35">
        <f>3788312+51961</f>
        <v>3840273</v>
      </c>
      <c r="C31" s="14">
        <f>4520624+47642</f>
        <v>4568266</v>
      </c>
      <c r="D31" s="14">
        <v>4414646</v>
      </c>
      <c r="E31" s="71">
        <v>4213500</v>
      </c>
      <c r="F31" s="1">
        <v>7683866</v>
      </c>
      <c r="G31" s="1">
        <v>9930859</v>
      </c>
      <c r="H31" s="1">
        <v>11279008</v>
      </c>
      <c r="I31" s="1">
        <v>10845388</v>
      </c>
      <c r="J31" s="1">
        <v>12994771.63</v>
      </c>
      <c r="K31" s="1">
        <v>11763887</v>
      </c>
      <c r="L31" s="15">
        <f>(K31-J31)*100/J31</f>
        <v>-9.472152839980312</v>
      </c>
      <c r="M31" s="16">
        <f>(K31-O31)*100/O31</f>
        <v>260.1362616370377</v>
      </c>
      <c r="N31" s="16"/>
      <c r="O31" s="27">
        <f>3223358+43152</f>
        <v>3266510</v>
      </c>
      <c r="P31" s="27"/>
      <c r="Q31" s="27">
        <v>12985703.31</v>
      </c>
      <c r="R31" s="27">
        <v>9068.32</v>
      </c>
      <c r="S31" s="3">
        <f>SUM(Q31:R31)</f>
        <v>12994771.63</v>
      </c>
      <c r="U31" s="150">
        <v>11763887</v>
      </c>
      <c r="V31" s="153">
        <v>0</v>
      </c>
      <c r="W31" s="3">
        <f>SUM(U31:V31)</f>
        <v>11763887</v>
      </c>
    </row>
    <row r="32" spans="1:23" ht="12.75">
      <c r="A32" s="1" t="s">
        <v>20</v>
      </c>
      <c r="B32" s="35">
        <f>158232+5273</f>
        <v>163505</v>
      </c>
      <c r="C32" s="14">
        <f>193552+7791</f>
        <v>201343</v>
      </c>
      <c r="D32" s="14">
        <v>342054</v>
      </c>
      <c r="E32" s="71">
        <v>259230</v>
      </c>
      <c r="F32" s="1">
        <v>345123</v>
      </c>
      <c r="G32" s="1">
        <v>360118</v>
      </c>
      <c r="H32" s="1">
        <v>291527</v>
      </c>
      <c r="I32" s="1">
        <v>553069</v>
      </c>
      <c r="J32" s="1">
        <v>690891.59</v>
      </c>
      <c r="K32" s="1">
        <v>618834.51</v>
      </c>
      <c r="L32" s="15">
        <f>(K32-J32)*100/J32</f>
        <v>-10.429578394491669</v>
      </c>
      <c r="M32" s="16">
        <f>(K32-O32)*100/O32</f>
        <v>206.0688616535106</v>
      </c>
      <c r="N32" s="16"/>
      <c r="O32" s="27">
        <f>194734+7454</f>
        <v>202188</v>
      </c>
      <c r="P32" s="27"/>
      <c r="Q32" s="27">
        <v>678152.24</v>
      </c>
      <c r="R32" s="27">
        <v>12739.35</v>
      </c>
      <c r="S32" s="3">
        <f>SUM(Q32:R32)</f>
        <v>690891.59</v>
      </c>
      <c r="U32" s="150">
        <v>599875.42</v>
      </c>
      <c r="V32" s="153">
        <v>18959.09</v>
      </c>
      <c r="W32" s="3">
        <f>SUM(U32:V32)</f>
        <v>618834.51</v>
      </c>
    </row>
    <row r="33" spans="1:23" ht="12.75">
      <c r="A33" s="1" t="s">
        <v>21</v>
      </c>
      <c r="B33" s="35">
        <f>572318+3599</f>
        <v>575917</v>
      </c>
      <c r="C33" s="14">
        <f>281495+2930</f>
        <v>284425</v>
      </c>
      <c r="D33" s="14">
        <v>486269</v>
      </c>
      <c r="E33" s="71">
        <v>610723</v>
      </c>
      <c r="F33" s="1">
        <v>719622</v>
      </c>
      <c r="G33" s="1">
        <v>304162</v>
      </c>
      <c r="H33" s="1">
        <v>285120</v>
      </c>
      <c r="I33" s="1">
        <v>466585</v>
      </c>
      <c r="J33" s="1">
        <v>194705.93</v>
      </c>
      <c r="K33" s="1">
        <v>1212430.25</v>
      </c>
      <c r="L33" s="15">
        <f>(K33-J33)*100/J33</f>
        <v>522.6981633276398</v>
      </c>
      <c r="M33" s="16">
        <f>(K33-O33)*100/O33</f>
        <v>243.75680464984407</v>
      </c>
      <c r="N33" s="16"/>
      <c r="O33" s="27">
        <f>349123+3577</f>
        <v>352700</v>
      </c>
      <c r="P33" s="27"/>
      <c r="Q33" s="27">
        <v>194705.93</v>
      </c>
      <c r="R33" s="27">
        <v>0</v>
      </c>
      <c r="S33" s="3">
        <f>SUM(Q33:R33)</f>
        <v>194705.93</v>
      </c>
      <c r="U33" s="150">
        <v>1178575.99</v>
      </c>
      <c r="V33" s="153">
        <v>33854.26</v>
      </c>
      <c r="W33" s="3">
        <f>SUM(U33:V33)</f>
        <v>1212430.25</v>
      </c>
    </row>
    <row r="34" spans="1:23" ht="12.75">
      <c r="A34" s="1" t="s">
        <v>22</v>
      </c>
      <c r="B34" s="35">
        <v>131808</v>
      </c>
      <c r="C34" s="14">
        <v>119021</v>
      </c>
      <c r="D34" s="14">
        <v>86423</v>
      </c>
      <c r="E34" s="71">
        <v>288407</v>
      </c>
      <c r="F34" s="1">
        <v>170568</v>
      </c>
      <c r="G34" s="1">
        <v>170681</v>
      </c>
      <c r="H34" s="1">
        <v>210161</v>
      </c>
      <c r="I34" s="1">
        <v>167096</v>
      </c>
      <c r="J34" s="1">
        <v>231620.35</v>
      </c>
      <c r="K34" s="1">
        <v>223475.02</v>
      </c>
      <c r="L34" s="15">
        <f>(K34-J34)*100/J34</f>
        <v>-3.5166728657477706</v>
      </c>
      <c r="M34" s="16">
        <f>(K34-O34)*100/O34</f>
        <v>128.89760424455346</v>
      </c>
      <c r="N34" s="16"/>
      <c r="O34" s="27">
        <v>97631</v>
      </c>
      <c r="P34" s="27"/>
      <c r="Q34" s="27">
        <v>231620.35</v>
      </c>
      <c r="R34" s="27">
        <v>0</v>
      </c>
      <c r="S34" s="3">
        <f>SUM(Q34:R34)</f>
        <v>231620.35</v>
      </c>
      <c r="U34" s="150">
        <v>223475.02</v>
      </c>
      <c r="V34" s="153">
        <v>0</v>
      </c>
      <c r="W34" s="3">
        <f>SUM(U34:V34)</f>
        <v>223475.02</v>
      </c>
    </row>
    <row r="35" spans="2:22" ht="12.75">
      <c r="B35" s="35"/>
      <c r="C35" s="14"/>
      <c r="D35" s="14"/>
      <c r="E35" s="71">
        <v>0</v>
      </c>
      <c r="L35" s="15"/>
      <c r="M35" s="16"/>
      <c r="N35" s="16"/>
      <c r="O35" s="27"/>
      <c r="P35" s="27"/>
      <c r="Q35" s="27"/>
      <c r="R35" s="27"/>
      <c r="U35" s="86"/>
      <c r="V35" s="153"/>
    </row>
    <row r="36" spans="1:23" ht="12.75">
      <c r="A36" s="1" t="s">
        <v>23</v>
      </c>
      <c r="B36" s="35">
        <v>205583</v>
      </c>
      <c r="C36" s="14">
        <v>108056</v>
      </c>
      <c r="D36" s="14">
        <v>77308</v>
      </c>
      <c r="E36" s="71">
        <v>254153</v>
      </c>
      <c r="F36" s="1">
        <v>163221</v>
      </c>
      <c r="G36" s="1">
        <v>171119</v>
      </c>
      <c r="H36" s="1">
        <v>81052</v>
      </c>
      <c r="I36" s="1">
        <v>153465</v>
      </c>
      <c r="J36" s="1">
        <v>151782.85</v>
      </c>
      <c r="K36" s="1">
        <v>406997.54</v>
      </c>
      <c r="L36" s="15">
        <f>(K36-J36)*100/J36</f>
        <v>168.14461581133833</v>
      </c>
      <c r="M36" s="16">
        <f>(K36-O36)*100/O36</f>
        <v>257.168905933252</v>
      </c>
      <c r="N36" s="16"/>
      <c r="O36" s="27">
        <f>113375+576</f>
        <v>113951</v>
      </c>
      <c r="P36" s="27"/>
      <c r="Q36" s="27">
        <v>151782.85</v>
      </c>
      <c r="R36" s="27">
        <v>0</v>
      </c>
      <c r="S36" s="3">
        <f>SUM(Q36:R36)</f>
        <v>151782.85</v>
      </c>
      <c r="U36" s="150">
        <v>399703.9</v>
      </c>
      <c r="V36" s="153">
        <v>7293.64</v>
      </c>
      <c r="W36" s="3">
        <f>SUM(U36:V36)</f>
        <v>406997.54000000004</v>
      </c>
    </row>
    <row r="37" spans="1:23" ht="12.75">
      <c r="A37" s="1" t="s">
        <v>24</v>
      </c>
      <c r="B37" s="35">
        <v>700384</v>
      </c>
      <c r="C37" s="14">
        <v>607790</v>
      </c>
      <c r="D37" s="14">
        <v>818586</v>
      </c>
      <c r="E37" s="71">
        <v>1183676</v>
      </c>
      <c r="F37" s="1">
        <v>692124</v>
      </c>
      <c r="G37" s="1">
        <v>724550</v>
      </c>
      <c r="H37" s="1">
        <v>675768</v>
      </c>
      <c r="I37" s="1">
        <v>618174</v>
      </c>
      <c r="J37" s="1">
        <v>1049154.4</v>
      </c>
      <c r="K37" s="1">
        <v>2097590.48</v>
      </c>
      <c r="L37" s="15">
        <f>(K37-J37)*100/J37</f>
        <v>99.93153343301998</v>
      </c>
      <c r="M37" s="16">
        <f>(K37-O37)*100/O37</f>
        <v>192.782913102709</v>
      </c>
      <c r="N37" s="16"/>
      <c r="O37" s="27">
        <v>716432</v>
      </c>
      <c r="P37" s="27"/>
      <c r="Q37" s="27">
        <v>1049154.4</v>
      </c>
      <c r="R37" s="27">
        <v>0</v>
      </c>
      <c r="S37" s="3">
        <f>SUM(Q37:R37)</f>
        <v>1049154.4</v>
      </c>
      <c r="U37" s="150">
        <v>2097590.48</v>
      </c>
      <c r="V37" s="153">
        <v>0</v>
      </c>
      <c r="W37" s="3">
        <f>SUM(U37:V37)</f>
        <v>2097590.48</v>
      </c>
    </row>
    <row r="38" spans="1:23" ht="12.75">
      <c r="A38" s="1" t="s">
        <v>25</v>
      </c>
      <c r="B38" s="35">
        <f>510056+4106</f>
        <v>514162</v>
      </c>
      <c r="C38" s="14">
        <f>740924+3230</f>
        <v>744154</v>
      </c>
      <c r="D38" s="14">
        <v>787904</v>
      </c>
      <c r="E38" s="71">
        <v>890392</v>
      </c>
      <c r="F38" s="1">
        <v>779076</v>
      </c>
      <c r="G38" s="1">
        <v>858616</v>
      </c>
      <c r="H38" s="1">
        <v>933176</v>
      </c>
      <c r="I38" s="1">
        <v>748557</v>
      </c>
      <c r="J38" s="1">
        <v>868361.14</v>
      </c>
      <c r="K38" s="1">
        <v>894982.93</v>
      </c>
      <c r="L38" s="15">
        <f>(K38-J38)*100/J38</f>
        <v>3.0657509616333174</v>
      </c>
      <c r="M38" s="16">
        <f>(K38-O38)*100/O38</f>
        <v>86.5142284936657</v>
      </c>
      <c r="N38" s="16"/>
      <c r="O38" s="27">
        <f>475380+4467</f>
        <v>479847</v>
      </c>
      <c r="P38" s="27"/>
      <c r="Q38" s="27">
        <v>864238.99</v>
      </c>
      <c r="R38" s="27">
        <v>4122.15</v>
      </c>
      <c r="S38" s="3">
        <f>SUM(Q38:R38)</f>
        <v>868361.14</v>
      </c>
      <c r="U38" s="150">
        <v>894596.42</v>
      </c>
      <c r="V38" s="153">
        <v>386.51</v>
      </c>
      <c r="W38" s="3">
        <f>SUM(U38:V38)</f>
        <v>894982.93</v>
      </c>
    </row>
    <row r="39" spans="1:23" ht="12.75">
      <c r="A39" s="17" t="s">
        <v>26</v>
      </c>
      <c r="B39" s="35">
        <f>270233+554</f>
        <v>270787</v>
      </c>
      <c r="C39" s="14">
        <f>356168+37</f>
        <v>356205</v>
      </c>
      <c r="D39" s="14">
        <v>380330</v>
      </c>
      <c r="E39" s="71">
        <v>359253</v>
      </c>
      <c r="F39" s="1">
        <v>40503</v>
      </c>
      <c r="G39" s="1">
        <v>349042</v>
      </c>
      <c r="H39" s="1">
        <v>336829</v>
      </c>
      <c r="I39" s="1">
        <v>373545</v>
      </c>
      <c r="J39" s="1">
        <v>344277.98</v>
      </c>
      <c r="K39" s="1">
        <v>462088.03</v>
      </c>
      <c r="L39" s="15">
        <f>(K39-J39)*100/J39</f>
        <v>34.219455452829145</v>
      </c>
      <c r="M39" s="16">
        <f>(K39-O39)*100/O39</f>
        <v>84.00278340786285</v>
      </c>
      <c r="N39" s="16"/>
      <c r="O39" s="27">
        <f>248351+2780</f>
        <v>251131</v>
      </c>
      <c r="P39" s="27"/>
      <c r="Q39" s="27">
        <v>343560.37</v>
      </c>
      <c r="R39" s="27">
        <v>717.61</v>
      </c>
      <c r="S39" s="3">
        <f>SUM(Q39:R39)</f>
        <v>344277.98</v>
      </c>
      <c r="U39" s="102">
        <v>461209.98</v>
      </c>
      <c r="V39" s="102">
        <v>878.05</v>
      </c>
      <c r="W39" s="3">
        <f>SUM(U39:V39)</f>
        <v>462088.02999999997</v>
      </c>
    </row>
    <row r="40" spans="1:14" ht="12.75">
      <c r="A40" s="1" t="s">
        <v>43</v>
      </c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3" ht="12.75">
      <c r="A41" s="78" t="s">
        <v>80</v>
      </c>
      <c r="C41" s="14"/>
    </row>
    <row r="42" spans="1:3" ht="12.75">
      <c r="A42" s="3"/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  <row r="47" spans="2:3" ht="12.75">
      <c r="B47" s="14"/>
      <c r="C47" s="14"/>
    </row>
    <row r="48" spans="2:3" ht="12.75">
      <c r="B48" s="14"/>
      <c r="C48" s="14"/>
    </row>
    <row r="49" spans="2:3" ht="12.75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ht="12.75">
      <c r="C52" s="14"/>
    </row>
    <row r="53" ht="12.75">
      <c r="C53" s="14"/>
    </row>
  </sheetData>
  <printOptions/>
  <pageMargins left="0.56" right="0.54" top="1" bottom="1" header="0.5" footer="0.5"/>
  <pageSetup fitToHeight="1" fitToWidth="1" orientation="landscape" scale="77" r:id="rId1"/>
  <headerFooter alignWithMargins="0">
    <oddFooter>&amp;L&amp;"Lucida Sans,Italic"&amp;10MSDE-DBS  1 / 2006&amp;C- 13 -&amp;R&amp;"Lucida Sans,Italic"&amp;10Selected Financial Data - Part 4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workbookViewId="0" topLeftCell="H2">
      <selection activeCell="O2" sqref="O2"/>
    </sheetView>
  </sheetViews>
  <sheetFormatPr defaultColWidth="9.00390625" defaultRowHeight="15.75"/>
  <cols>
    <col min="1" max="1" width="12.875" style="1" customWidth="1"/>
    <col min="2" max="12" width="12.625" style="1" customWidth="1"/>
    <col min="13" max="13" width="6.625" style="1" customWidth="1"/>
    <col min="14" max="14" width="9.75390625" style="1" customWidth="1"/>
    <col min="15" max="15" width="10.875" style="1" bestFit="1" customWidth="1"/>
    <col min="16" max="16" width="9.375" style="1" customWidth="1"/>
    <col min="17" max="29" width="10.125" style="3" customWidth="1"/>
    <col min="30" max="16384" width="10.00390625" style="3" customWidth="1"/>
  </cols>
  <sheetData>
    <row r="1" spans="1:16" s="29" customFormat="1" ht="15.75" customHeight="1">
      <c r="A1" s="244" t="s">
        <v>73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109"/>
      <c r="N1" s="109"/>
      <c r="O1" s="109"/>
      <c r="P1" s="109"/>
    </row>
    <row r="2" spans="1:16" s="29" customFormat="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219" t="s">
        <v>181</v>
      </c>
      <c r="P2" s="109"/>
    </row>
    <row r="3" spans="1:16" s="29" customFormat="1" ht="12.75">
      <c r="A3" s="244" t="s">
        <v>45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109"/>
      <c r="N3" s="109"/>
      <c r="O3" s="109"/>
      <c r="P3" s="109"/>
    </row>
    <row r="4" spans="1:16" s="29" customFormat="1" ht="12.75">
      <c r="A4" s="244" t="s">
        <v>168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109"/>
      <c r="N4" s="109"/>
      <c r="O4" s="109"/>
      <c r="P4" s="109"/>
    </row>
    <row r="5" spans="1:16" s="29" customFormat="1" ht="13.5" thickBo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P5" s="32"/>
    </row>
    <row r="6" spans="1:19" s="29" customFormat="1" ht="13.5" thickTop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R6" s="184" t="s">
        <v>119</v>
      </c>
      <c r="S6" s="184" t="s">
        <v>142</v>
      </c>
    </row>
    <row r="7" spans="1:19" s="29" customFormat="1" ht="12.75">
      <c r="A7" s="32"/>
      <c r="B7" s="32"/>
      <c r="C7" s="32"/>
      <c r="D7" s="32"/>
      <c r="E7" s="32"/>
      <c r="L7" s="214" t="s">
        <v>28</v>
      </c>
      <c r="M7" s="214"/>
      <c r="N7" s="37"/>
      <c r="O7" s="32"/>
      <c r="P7" s="32"/>
      <c r="R7" s="37" t="s">
        <v>114</v>
      </c>
      <c r="S7" s="28"/>
    </row>
    <row r="8" spans="1:20" s="29" customFormat="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28" t="s">
        <v>59</v>
      </c>
      <c r="M8" s="28" t="s">
        <v>60</v>
      </c>
      <c r="N8" s="28"/>
      <c r="O8" s="32"/>
      <c r="P8" s="32"/>
      <c r="R8" s="37" t="s">
        <v>115</v>
      </c>
      <c r="S8" s="37" t="s">
        <v>114</v>
      </c>
      <c r="T8" s="98" t="s">
        <v>143</v>
      </c>
    </row>
    <row r="9" spans="1:20" s="29" customFormat="1" ht="13.5" thickBot="1">
      <c r="A9" s="33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38" t="s">
        <v>58</v>
      </c>
      <c r="M9" s="38" t="s">
        <v>58</v>
      </c>
      <c r="N9" s="38"/>
      <c r="O9" s="33" t="s">
        <v>158</v>
      </c>
      <c r="P9" s="37"/>
      <c r="R9" s="38" t="s">
        <v>116</v>
      </c>
      <c r="S9" s="38" t="s">
        <v>117</v>
      </c>
      <c r="T9" s="98" t="s">
        <v>90</v>
      </c>
    </row>
    <row r="10" spans="1:20" s="29" customFormat="1" ht="12.75">
      <c r="A10" s="32" t="s">
        <v>2</v>
      </c>
      <c r="B10" s="34">
        <f aca="true" t="shared" si="0" ref="B10:H10">SUM(B12:B39)</f>
        <v>9451871</v>
      </c>
      <c r="C10" s="34">
        <f t="shared" si="0"/>
        <v>9460835</v>
      </c>
      <c r="D10" s="34">
        <f t="shared" si="0"/>
        <v>9368893</v>
      </c>
      <c r="E10" s="34">
        <f t="shared" si="0"/>
        <v>8691258</v>
      </c>
      <c r="F10" s="34">
        <f t="shared" si="0"/>
        <v>12578981</v>
      </c>
      <c r="G10" s="34">
        <f t="shared" si="0"/>
        <v>17957929</v>
      </c>
      <c r="H10" s="34">
        <f t="shared" si="0"/>
        <v>24167347</v>
      </c>
      <c r="I10" s="34">
        <f>SUM(I12:I39)</f>
        <v>14545581</v>
      </c>
      <c r="J10" s="34">
        <f>SUM(J12:J39)</f>
        <v>15420540</v>
      </c>
      <c r="K10" s="34">
        <f>SUM(K12:K39)</f>
        <v>10931459</v>
      </c>
      <c r="L10" s="180">
        <f>(K10-J10)/J10</f>
        <v>-0.29111049288805707</v>
      </c>
      <c r="M10" s="180">
        <f>(K10-O10)/O10</f>
        <v>0.3124610246299126</v>
      </c>
      <c r="N10" s="180"/>
      <c r="O10" s="34">
        <f>SUM(O12:O39)</f>
        <v>8328978</v>
      </c>
      <c r="P10" s="34"/>
      <c r="R10" s="99">
        <f>SUM(R12:R39)</f>
        <v>10810258.990000002</v>
      </c>
      <c r="S10" s="99">
        <f>SUM(S12:S39)</f>
        <v>121200.00999999998</v>
      </c>
      <c r="T10" s="29">
        <f>SUM(R10:S10)</f>
        <v>10931459.000000002</v>
      </c>
    </row>
    <row r="11" spans="3:19" s="29" customFormat="1" ht="12.75">
      <c r="C11" s="35"/>
      <c r="D11" s="35"/>
      <c r="M11" s="35"/>
      <c r="N11" s="35"/>
      <c r="R11" s="100"/>
      <c r="S11" s="32"/>
    </row>
    <row r="12" spans="1:20" s="29" customFormat="1" ht="12.75">
      <c r="A12" s="29" t="s">
        <v>3</v>
      </c>
      <c r="B12" s="35">
        <v>39690</v>
      </c>
      <c r="C12" s="35">
        <v>34327</v>
      </c>
      <c r="D12" s="35">
        <v>36306</v>
      </c>
      <c r="E12" s="71">
        <v>14526</v>
      </c>
      <c r="F12" s="29">
        <v>4798</v>
      </c>
      <c r="G12" s="29">
        <v>3460</v>
      </c>
      <c r="H12" s="29">
        <v>234399</v>
      </c>
      <c r="I12" s="29">
        <v>154068</v>
      </c>
      <c r="J12" s="29">
        <v>49271</v>
      </c>
      <c r="K12" s="29">
        <v>52424</v>
      </c>
      <c r="L12" s="173">
        <f>(K12-J12)*100/J12</f>
        <v>6.399301820543525</v>
      </c>
      <c r="M12" s="174">
        <f>(K12-O12)*100/O12</f>
        <v>34.669132757912045</v>
      </c>
      <c r="N12" s="174"/>
      <c r="O12" s="185">
        <v>38928</v>
      </c>
      <c r="P12" s="186"/>
      <c r="R12" s="153">
        <v>52423.56</v>
      </c>
      <c r="S12" s="86">
        <v>0</v>
      </c>
      <c r="T12" s="29">
        <f>SUM(R12:S12)</f>
        <v>52423.56</v>
      </c>
    </row>
    <row r="13" spans="1:20" s="29" customFormat="1" ht="12.75">
      <c r="A13" s="29" t="s">
        <v>4</v>
      </c>
      <c r="B13" s="35">
        <v>438135</v>
      </c>
      <c r="C13" s="35">
        <v>566181</v>
      </c>
      <c r="D13" s="35">
        <v>501752</v>
      </c>
      <c r="E13" s="71">
        <v>674883</v>
      </c>
      <c r="F13" s="29">
        <v>487202</v>
      </c>
      <c r="G13" s="29">
        <v>1129721</v>
      </c>
      <c r="H13" s="29">
        <v>1099866</v>
      </c>
      <c r="I13" s="29">
        <v>937850</v>
      </c>
      <c r="J13" s="29">
        <v>1389130</v>
      </c>
      <c r="K13" s="29">
        <v>1084351</v>
      </c>
      <c r="L13" s="173">
        <f>(K13-J13)*100/J13</f>
        <v>-21.940279167536517</v>
      </c>
      <c r="M13" s="174">
        <f>(K13-O13)*100/O13</f>
        <v>147.68521267993623</v>
      </c>
      <c r="N13" s="174"/>
      <c r="O13" s="185">
        <v>437794</v>
      </c>
      <c r="P13" s="186"/>
      <c r="R13" s="153">
        <v>1084350.5</v>
      </c>
      <c r="S13" s="86">
        <v>0</v>
      </c>
      <c r="T13" s="29">
        <f>SUM(R13:S13)</f>
        <v>1084350.5</v>
      </c>
    </row>
    <row r="14" spans="1:20" s="29" customFormat="1" ht="12.75">
      <c r="A14" s="29" t="s">
        <v>5</v>
      </c>
      <c r="B14" s="35">
        <v>444093</v>
      </c>
      <c r="C14" s="35">
        <v>122719</v>
      </c>
      <c r="D14" s="35">
        <v>377402</v>
      </c>
      <c r="E14" s="71">
        <v>449107</v>
      </c>
      <c r="F14" s="29">
        <v>903955</v>
      </c>
      <c r="G14" s="29">
        <v>3486044</v>
      </c>
      <c r="H14" s="29">
        <v>327806</v>
      </c>
      <c r="I14" s="29">
        <v>156197</v>
      </c>
      <c r="J14" s="29">
        <v>92344</v>
      </c>
      <c r="K14" s="29">
        <v>455495</v>
      </c>
      <c r="L14" s="173">
        <f>(K14-J14)*100/J14</f>
        <v>393.25890149874385</v>
      </c>
      <c r="M14" s="174">
        <f>(K14-O14)*100/O14</f>
        <v>297.60387569832403</v>
      </c>
      <c r="N14" s="174"/>
      <c r="O14" s="185">
        <v>114560</v>
      </c>
      <c r="P14" s="186"/>
      <c r="R14" s="153">
        <v>380390</v>
      </c>
      <c r="S14" s="86">
        <v>75104.68</v>
      </c>
      <c r="T14" s="29">
        <f>SUM(R14:S14)</f>
        <v>455494.68</v>
      </c>
    </row>
    <row r="15" spans="1:20" s="29" customFormat="1" ht="12.75">
      <c r="A15" s="29" t="s">
        <v>6</v>
      </c>
      <c r="B15" s="35">
        <v>117513</v>
      </c>
      <c r="C15" s="35">
        <v>102214</v>
      </c>
      <c r="D15" s="35">
        <v>193539</v>
      </c>
      <c r="E15" s="71">
        <v>396253</v>
      </c>
      <c r="F15" s="29">
        <v>1314080</v>
      </c>
      <c r="G15" s="29">
        <v>1233158</v>
      </c>
      <c r="H15" s="29">
        <v>11678704</v>
      </c>
      <c r="I15" s="29">
        <v>2210777</v>
      </c>
      <c r="J15" s="29">
        <v>2187597</v>
      </c>
      <c r="K15" s="29">
        <v>2229953</v>
      </c>
      <c r="L15" s="173">
        <f>(K15-J15)*100/J15</f>
        <v>1.9361884295873508</v>
      </c>
      <c r="M15" s="174">
        <f>(K15-O15)*100/O15</f>
        <v>1445.7231780183827</v>
      </c>
      <c r="N15" s="174"/>
      <c r="O15" s="185">
        <v>144266</v>
      </c>
      <c r="P15" s="186"/>
      <c r="R15" s="153">
        <v>2226436.63</v>
      </c>
      <c r="S15" s="86">
        <v>3516.84</v>
      </c>
      <c r="T15" s="29">
        <f>SUM(R15:S15)</f>
        <v>2229953.4699999997</v>
      </c>
    </row>
    <row r="16" spans="1:20" s="29" customFormat="1" ht="12.75">
      <c r="A16" s="29" t="s">
        <v>7</v>
      </c>
      <c r="B16" s="35">
        <v>183137</v>
      </c>
      <c r="C16" s="35">
        <v>264751</v>
      </c>
      <c r="D16" s="35">
        <v>407637</v>
      </c>
      <c r="E16" s="71">
        <v>358252</v>
      </c>
      <c r="F16" s="29">
        <v>248851</v>
      </c>
      <c r="G16" s="29">
        <v>335798</v>
      </c>
      <c r="H16" s="29">
        <v>311758</v>
      </c>
      <c r="I16" s="29">
        <v>266847</v>
      </c>
      <c r="J16" s="29">
        <v>220102</v>
      </c>
      <c r="K16" s="29">
        <v>319352</v>
      </c>
      <c r="L16" s="173">
        <f>(K16-J16)*100/J16</f>
        <v>45.092729734395874</v>
      </c>
      <c r="M16" s="174">
        <f>(K16-O16)*100/O16</f>
        <v>43.51350865524618</v>
      </c>
      <c r="N16" s="174"/>
      <c r="O16" s="185">
        <v>222524</v>
      </c>
      <c r="P16" s="186"/>
      <c r="R16" s="153">
        <v>319351.58</v>
      </c>
      <c r="S16" s="86">
        <v>0</v>
      </c>
      <c r="T16" s="29">
        <f>SUM(R16:S16)</f>
        <v>319351.58</v>
      </c>
    </row>
    <row r="17" spans="2:19" s="29" customFormat="1" ht="12.75">
      <c r="B17" s="35"/>
      <c r="C17" s="35"/>
      <c r="D17" s="35"/>
      <c r="E17" s="71"/>
      <c r="L17" s="173"/>
      <c r="M17" s="174"/>
      <c r="N17" s="174"/>
      <c r="O17" s="185"/>
      <c r="P17" s="186"/>
      <c r="R17" s="86"/>
      <c r="S17" s="86"/>
    </row>
    <row r="18" spans="1:20" s="29" customFormat="1" ht="12.75">
      <c r="A18" s="29" t="s">
        <v>8</v>
      </c>
      <c r="B18" s="35">
        <v>45934</v>
      </c>
      <c r="C18" s="35">
        <v>42352</v>
      </c>
      <c r="D18" s="35">
        <v>40608</v>
      </c>
      <c r="E18" s="71">
        <v>48298</v>
      </c>
      <c r="F18" s="29">
        <v>88567</v>
      </c>
      <c r="G18" s="29">
        <v>94053</v>
      </c>
      <c r="H18" s="29">
        <v>117915</v>
      </c>
      <c r="I18" s="29">
        <v>92311</v>
      </c>
      <c r="J18" s="29">
        <v>98740</v>
      </c>
      <c r="K18" s="29">
        <v>95101</v>
      </c>
      <c r="L18" s="173">
        <f>(K18-J18)*100/J18</f>
        <v>-3.685436499898724</v>
      </c>
      <c r="M18" s="174">
        <f>(K18-O18)*100/O18</f>
        <v>129.20321989781164</v>
      </c>
      <c r="N18" s="174"/>
      <c r="O18" s="185">
        <v>41492</v>
      </c>
      <c r="P18" s="186"/>
      <c r="R18" s="153">
        <v>95101.45</v>
      </c>
      <c r="S18" s="86">
        <v>0</v>
      </c>
      <c r="T18" s="29">
        <f>SUM(R18:S18)</f>
        <v>95101.45</v>
      </c>
    </row>
    <row r="19" spans="1:20" s="29" customFormat="1" ht="12.75">
      <c r="A19" s="29" t="s">
        <v>9</v>
      </c>
      <c r="B19" s="35">
        <f>271288+3945</f>
        <v>275233</v>
      </c>
      <c r="C19" s="35">
        <f>378493+6758</f>
        <v>385251</v>
      </c>
      <c r="D19" s="35">
        <v>514645</v>
      </c>
      <c r="E19" s="71">
        <v>248098</v>
      </c>
      <c r="F19" s="29">
        <v>276470</v>
      </c>
      <c r="G19" s="29">
        <v>446800</v>
      </c>
      <c r="H19" s="29">
        <v>700576</v>
      </c>
      <c r="I19" s="29">
        <v>627924</v>
      </c>
      <c r="J19" s="29">
        <v>729886</v>
      </c>
      <c r="K19" s="29">
        <v>489866</v>
      </c>
      <c r="L19" s="173">
        <f>(K19-J19)*100/J19</f>
        <v>-32.884587456123285</v>
      </c>
      <c r="M19" s="174">
        <f>(K19-O19)*100/O19</f>
        <v>112.07972915638447</v>
      </c>
      <c r="N19" s="174"/>
      <c r="O19" s="185">
        <f>229618+1364</f>
        <v>230982</v>
      </c>
      <c r="P19" s="186"/>
      <c r="R19" s="153">
        <v>489704.22</v>
      </c>
      <c r="S19" s="150">
        <v>162.06</v>
      </c>
      <c r="T19" s="29">
        <f>SUM(R19:S19)</f>
        <v>489866.27999999997</v>
      </c>
    </row>
    <row r="20" spans="1:20" s="29" customFormat="1" ht="12.75">
      <c r="A20" s="29" t="s">
        <v>10</v>
      </c>
      <c r="B20" s="35">
        <v>151813</v>
      </c>
      <c r="C20" s="35">
        <v>168840</v>
      </c>
      <c r="D20" s="35">
        <v>164238</v>
      </c>
      <c r="E20" s="71">
        <v>191272</v>
      </c>
      <c r="F20" s="29">
        <v>294160</v>
      </c>
      <c r="G20" s="29">
        <v>240958</v>
      </c>
      <c r="H20" s="29">
        <v>243460</v>
      </c>
      <c r="I20" s="29">
        <v>271655</v>
      </c>
      <c r="J20" s="29">
        <v>298111</v>
      </c>
      <c r="K20" s="29">
        <v>210334</v>
      </c>
      <c r="L20" s="173">
        <f>(K20-J20)*100/J20</f>
        <v>-29.44440158196108</v>
      </c>
      <c r="M20" s="174">
        <f>(K20-O20)*100/O20</f>
        <v>41.21493695701798</v>
      </c>
      <c r="N20" s="174"/>
      <c r="O20" s="185">
        <v>148946</v>
      </c>
      <c r="P20" s="186"/>
      <c r="R20" s="153">
        <v>210334.08</v>
      </c>
      <c r="S20" s="86">
        <v>0</v>
      </c>
      <c r="T20" s="29">
        <f>SUM(R20:S20)</f>
        <v>210334.08</v>
      </c>
    </row>
    <row r="21" spans="1:20" s="29" customFormat="1" ht="12.75">
      <c r="A21" s="29" t="s">
        <v>11</v>
      </c>
      <c r="B21" s="35">
        <v>318345</v>
      </c>
      <c r="C21" s="35">
        <v>221947</v>
      </c>
      <c r="D21" s="35">
        <v>704823</v>
      </c>
      <c r="E21" s="71">
        <v>148332</v>
      </c>
      <c r="F21" s="29">
        <v>262237</v>
      </c>
      <c r="G21" s="29">
        <v>352005</v>
      </c>
      <c r="H21" s="29">
        <v>302142</v>
      </c>
      <c r="I21" s="29">
        <v>394192</v>
      </c>
      <c r="J21" s="29">
        <v>329812</v>
      </c>
      <c r="K21" s="29">
        <v>317032</v>
      </c>
      <c r="L21" s="173">
        <f>(K21-J21)*100/J21</f>
        <v>-3.8749348113470705</v>
      </c>
      <c r="M21" s="174">
        <f>(K21-O21)*100/O21</f>
        <v>-7.495331465919701</v>
      </c>
      <c r="N21" s="174"/>
      <c r="O21" s="185">
        <f>281619+61101</f>
        <v>342720</v>
      </c>
      <c r="P21" s="186"/>
      <c r="R21" s="153">
        <v>317032.45</v>
      </c>
      <c r="S21" s="86">
        <v>0</v>
      </c>
      <c r="T21" s="29">
        <f>SUM(R21:S21)</f>
        <v>317032.45</v>
      </c>
    </row>
    <row r="22" spans="1:20" s="29" customFormat="1" ht="12.75">
      <c r="A22" s="29" t="s">
        <v>12</v>
      </c>
      <c r="B22" s="35">
        <f>20457+650</f>
        <v>21107</v>
      </c>
      <c r="C22" s="35">
        <v>25813</v>
      </c>
      <c r="D22" s="35">
        <v>43893</v>
      </c>
      <c r="E22" s="71">
        <v>23077</v>
      </c>
      <c r="F22" s="29">
        <v>45862</v>
      </c>
      <c r="G22" s="29">
        <v>49352</v>
      </c>
      <c r="H22" s="29">
        <v>40251</v>
      </c>
      <c r="I22" s="29">
        <v>27181</v>
      </c>
      <c r="J22" s="29">
        <v>130614</v>
      </c>
      <c r="K22" s="29">
        <v>19945</v>
      </c>
      <c r="L22" s="173">
        <f>(K22-J22)*100/J22</f>
        <v>-84.72981456811674</v>
      </c>
      <c r="M22" s="174">
        <f>(K22-O22)*100/O22</f>
        <v>-53.551467163483935</v>
      </c>
      <c r="N22" s="174"/>
      <c r="O22" s="185">
        <v>42940</v>
      </c>
      <c r="P22" s="186"/>
      <c r="R22" s="153">
        <v>19802</v>
      </c>
      <c r="S22" s="153">
        <v>143</v>
      </c>
      <c r="T22" s="29">
        <f>SUM(R22:S22)</f>
        <v>19945</v>
      </c>
    </row>
    <row r="23" spans="2:19" s="29" customFormat="1" ht="12.75">
      <c r="B23" s="35"/>
      <c r="C23" s="35"/>
      <c r="D23" s="35"/>
      <c r="E23" s="71"/>
      <c r="L23" s="173"/>
      <c r="M23" s="174"/>
      <c r="N23" s="174"/>
      <c r="O23" s="185"/>
      <c r="P23" s="186"/>
      <c r="R23" s="86"/>
      <c r="S23" s="153"/>
    </row>
    <row r="24" spans="1:20" s="29" customFormat="1" ht="12.75">
      <c r="A24" s="29" t="s">
        <v>13</v>
      </c>
      <c r="B24" s="35">
        <v>441347</v>
      </c>
      <c r="C24" s="35">
        <v>434955</v>
      </c>
      <c r="D24" s="35">
        <v>388406</v>
      </c>
      <c r="E24" s="71">
        <v>435263</v>
      </c>
      <c r="F24" s="29">
        <v>401672</v>
      </c>
      <c r="G24" s="29">
        <v>421917</v>
      </c>
      <c r="H24" s="29">
        <v>712565</v>
      </c>
      <c r="I24" s="29">
        <v>778301</v>
      </c>
      <c r="J24" s="29">
        <v>750717</v>
      </c>
      <c r="K24" s="29">
        <v>749301</v>
      </c>
      <c r="L24" s="173">
        <f>(K24-J24)*100/J24</f>
        <v>-0.18861967958631548</v>
      </c>
      <c r="M24" s="174">
        <f>(K24-O24)*100/O24</f>
        <v>62.16846192303447</v>
      </c>
      <c r="N24" s="174"/>
      <c r="O24" s="185">
        <v>462051</v>
      </c>
      <c r="P24" s="186"/>
      <c r="R24" s="153">
        <v>747359.49</v>
      </c>
      <c r="S24" s="153">
        <v>1941.48</v>
      </c>
      <c r="T24" s="29">
        <f>SUM(R24:S24)</f>
        <v>749300.97</v>
      </c>
    </row>
    <row r="25" spans="1:20" s="29" customFormat="1" ht="12.75">
      <c r="A25" s="29" t="s">
        <v>14</v>
      </c>
      <c r="B25" s="35">
        <v>40572</v>
      </c>
      <c r="C25" s="35">
        <v>42600</v>
      </c>
      <c r="D25" s="35">
        <v>37971</v>
      </c>
      <c r="E25" s="71">
        <v>34690</v>
      </c>
      <c r="F25" s="29">
        <v>47579</v>
      </c>
      <c r="G25" s="29">
        <v>54609</v>
      </c>
      <c r="H25" s="29">
        <v>57360</v>
      </c>
      <c r="I25" s="29">
        <v>66130</v>
      </c>
      <c r="J25" s="29">
        <v>57997</v>
      </c>
      <c r="K25" s="29">
        <v>54038</v>
      </c>
      <c r="L25" s="173">
        <f>(K25-J25)*100/J25</f>
        <v>-6.8262151490594345</v>
      </c>
      <c r="M25" s="174">
        <f>(K25-O25)*100/O25</f>
        <v>22.133574415188157</v>
      </c>
      <c r="N25" s="174"/>
      <c r="O25" s="185">
        <v>44245</v>
      </c>
      <c r="P25" s="186"/>
      <c r="R25" s="153">
        <v>54037.91</v>
      </c>
      <c r="S25" s="153">
        <v>0</v>
      </c>
      <c r="T25" s="29">
        <f>SUM(R25:S25)</f>
        <v>54037.91</v>
      </c>
    </row>
    <row r="26" spans="1:20" s="29" customFormat="1" ht="12.75">
      <c r="A26" s="29" t="s">
        <v>15</v>
      </c>
      <c r="B26" s="35">
        <f>1069372+25854</f>
        <v>1095226</v>
      </c>
      <c r="C26" s="35">
        <f>708195+20989</f>
        <v>729184</v>
      </c>
      <c r="D26" s="35">
        <v>656666</v>
      </c>
      <c r="E26" s="71">
        <v>674740</v>
      </c>
      <c r="F26" s="29">
        <v>974172</v>
      </c>
      <c r="G26" s="29">
        <v>455787</v>
      </c>
      <c r="H26" s="29">
        <v>802437</v>
      </c>
      <c r="I26" s="29">
        <v>852613</v>
      </c>
      <c r="J26" s="29">
        <v>881475</v>
      </c>
      <c r="K26" s="29">
        <v>768170</v>
      </c>
      <c r="L26" s="173">
        <f>(K26-J26)*100/J26</f>
        <v>-12.854023086304206</v>
      </c>
      <c r="M26" s="174">
        <f>(K26-O26)*100/O26</f>
        <v>-33.314119086084744</v>
      </c>
      <c r="N26" s="174"/>
      <c r="O26" s="185">
        <f>1112470+39453</f>
        <v>1151923</v>
      </c>
      <c r="P26" s="186"/>
      <c r="R26" s="153">
        <v>761788.98</v>
      </c>
      <c r="S26" s="156">
        <v>6380.55</v>
      </c>
      <c r="T26" s="29">
        <f>SUM(R26:S26)</f>
        <v>768169.53</v>
      </c>
    </row>
    <row r="27" spans="1:20" s="29" customFormat="1" ht="12.75">
      <c r="A27" s="29" t="s">
        <v>16</v>
      </c>
      <c r="B27" s="35">
        <f>1431185+11377</f>
        <v>1442562</v>
      </c>
      <c r="C27" s="35">
        <f>1499554+5619</f>
        <v>1505173</v>
      </c>
      <c r="D27" s="35">
        <v>1686294</v>
      </c>
      <c r="E27" s="71">
        <v>655977</v>
      </c>
      <c r="F27" s="29">
        <v>757612</v>
      </c>
      <c r="G27" s="29">
        <v>765790</v>
      </c>
      <c r="H27" s="29">
        <v>1581293</v>
      </c>
      <c r="I27" s="29">
        <v>1242751</v>
      </c>
      <c r="J27" s="29">
        <v>1502960</v>
      </c>
      <c r="K27" s="29">
        <v>1536377</v>
      </c>
      <c r="L27" s="173">
        <f>(K27-J27)*100/J27</f>
        <v>2.223412466066961</v>
      </c>
      <c r="M27" s="174">
        <f>(K27-O27)*100/O27</f>
        <v>123.4203722177465</v>
      </c>
      <c r="N27" s="174"/>
      <c r="O27" s="185">
        <f>681425+6237</f>
        <v>687662</v>
      </c>
      <c r="P27" s="186"/>
      <c r="R27" s="153">
        <v>1534464.66</v>
      </c>
      <c r="S27" s="153">
        <v>1912.53</v>
      </c>
      <c r="T27" s="29">
        <f>SUM(R27:S27)</f>
        <v>1536377.19</v>
      </c>
    </row>
    <row r="28" spans="1:20" s="29" customFormat="1" ht="12.75">
      <c r="A28" s="29" t="s">
        <v>17</v>
      </c>
      <c r="B28" s="35">
        <v>39969</v>
      </c>
      <c r="C28" s="35">
        <v>32642</v>
      </c>
      <c r="D28" s="35">
        <v>926</v>
      </c>
      <c r="E28" s="71">
        <v>9154</v>
      </c>
      <c r="F28" s="29">
        <v>1058</v>
      </c>
      <c r="G28" s="29">
        <v>60082</v>
      </c>
      <c r="H28" s="29">
        <v>11353</v>
      </c>
      <c r="I28" s="29">
        <v>60162</v>
      </c>
      <c r="J28" s="29">
        <v>1500</v>
      </c>
      <c r="K28" s="29">
        <v>0</v>
      </c>
      <c r="L28" s="173">
        <f>(K28-J28)*100/J28</f>
        <v>-100</v>
      </c>
      <c r="M28" s="174">
        <f>(K28-O28)*100/O28</f>
        <v>-100</v>
      </c>
      <c r="N28" s="174"/>
      <c r="O28" s="185">
        <v>34126</v>
      </c>
      <c r="P28" s="186"/>
      <c r="R28" s="153">
        <v>0</v>
      </c>
      <c r="S28" s="86"/>
      <c r="T28" s="29">
        <f>SUM(R28:S28)</f>
        <v>0</v>
      </c>
    </row>
    <row r="29" spans="2:19" s="29" customFormat="1" ht="12.75">
      <c r="B29" s="35"/>
      <c r="C29" s="35"/>
      <c r="D29" s="35"/>
      <c r="E29" s="71"/>
      <c r="L29" s="173"/>
      <c r="M29" s="174"/>
      <c r="N29" s="174"/>
      <c r="O29" s="185"/>
      <c r="P29" s="186"/>
      <c r="R29" s="86"/>
      <c r="S29" s="86"/>
    </row>
    <row r="30" spans="1:20" s="29" customFormat="1" ht="12.75">
      <c r="A30" s="29" t="s">
        <v>18</v>
      </c>
      <c r="B30" s="35">
        <f>2113387+33528</f>
        <v>2146915</v>
      </c>
      <c r="C30" s="35">
        <f>2452468+31693</f>
        <v>2484161</v>
      </c>
      <c r="D30" s="35">
        <v>2186196</v>
      </c>
      <c r="E30" s="71">
        <v>2652522</v>
      </c>
      <c r="F30" s="29">
        <v>4127075</v>
      </c>
      <c r="G30" s="29">
        <v>4886583</v>
      </c>
      <c r="H30" s="29">
        <v>2886871</v>
      </c>
      <c r="I30" s="29">
        <v>3358750</v>
      </c>
      <c r="J30" s="29">
        <v>2672046</v>
      </c>
      <c r="K30" s="29">
        <v>26860</v>
      </c>
      <c r="L30" s="173">
        <f>(J30-I30)*100/I30</f>
        <v>-20.445225158168963</v>
      </c>
      <c r="M30" s="174">
        <f>(K30-O30)*100/O30</f>
        <v>-98.79487638509578</v>
      </c>
      <c r="N30" s="174"/>
      <c r="O30" s="185">
        <f>2197702+31115</f>
        <v>2228817</v>
      </c>
      <c r="P30" s="186"/>
      <c r="R30" s="153">
        <v>0</v>
      </c>
      <c r="S30" s="86">
        <v>26859.75</v>
      </c>
      <c r="T30" s="29">
        <f>SUM(R30:S30)</f>
        <v>26859.75</v>
      </c>
    </row>
    <row r="31" spans="1:20" s="29" customFormat="1" ht="12.75">
      <c r="A31" s="29" t="s">
        <v>19</v>
      </c>
      <c r="B31" s="35">
        <f>1087871+67</f>
        <v>1087938</v>
      </c>
      <c r="C31" s="35">
        <f>1572536+113</f>
        <v>1572649</v>
      </c>
      <c r="D31" s="35">
        <v>630375</v>
      </c>
      <c r="E31" s="71">
        <v>640664</v>
      </c>
      <c r="F31" s="29">
        <v>1052345</v>
      </c>
      <c r="G31" s="29">
        <v>2587073</v>
      </c>
      <c r="H31" s="29">
        <v>1689013</v>
      </c>
      <c r="I31" s="29">
        <v>1642100</v>
      </c>
      <c r="J31" s="29">
        <v>2805440</v>
      </c>
      <c r="K31" s="29">
        <v>1285158</v>
      </c>
      <c r="L31" s="173">
        <f>(J31-I31)*100/I31</f>
        <v>70.84465014310943</v>
      </c>
      <c r="M31" s="174">
        <f>(K31-O31)*100/O31</f>
        <v>18.786255393249704</v>
      </c>
      <c r="N31" s="174"/>
      <c r="O31" s="185">
        <f>1081911-3</f>
        <v>1081908</v>
      </c>
      <c r="P31" s="186"/>
      <c r="R31" s="153">
        <v>1285157.75</v>
      </c>
      <c r="S31" s="86">
        <v>0</v>
      </c>
      <c r="T31" s="29">
        <f>SUM(R31:S31)</f>
        <v>1285157.75</v>
      </c>
    </row>
    <row r="32" spans="1:20" s="29" customFormat="1" ht="12.75">
      <c r="A32" s="29" t="s">
        <v>20</v>
      </c>
      <c r="B32" s="35">
        <v>212752</v>
      </c>
      <c r="C32" s="35">
        <v>182387</v>
      </c>
      <c r="D32" s="35">
        <v>177704</v>
      </c>
      <c r="E32" s="71">
        <v>152291</v>
      </c>
      <c r="F32" s="29">
        <v>155156</v>
      </c>
      <c r="G32" s="29">
        <v>187841</v>
      </c>
      <c r="H32" s="29">
        <v>207919</v>
      </c>
      <c r="I32" s="29">
        <v>173510</v>
      </c>
      <c r="J32" s="29">
        <v>246770</v>
      </c>
      <c r="K32" s="29">
        <v>135410</v>
      </c>
      <c r="L32" s="173">
        <f>(J32-I32)*100/I32</f>
        <v>42.22235029681286</v>
      </c>
      <c r="M32" s="174">
        <f>(K32-O32)*100/O32</f>
        <v>-19.57927745475926</v>
      </c>
      <c r="N32" s="174"/>
      <c r="O32" s="185">
        <v>168377</v>
      </c>
      <c r="P32" s="186"/>
      <c r="R32" s="153">
        <v>135409.88</v>
      </c>
      <c r="S32" s="86">
        <v>0</v>
      </c>
      <c r="T32" s="29">
        <f>SUM(R32:S32)</f>
        <v>135409.88</v>
      </c>
    </row>
    <row r="33" spans="1:20" s="29" customFormat="1" ht="12.75">
      <c r="A33" s="29" t="s">
        <v>21</v>
      </c>
      <c r="B33" s="35">
        <f>305412+1670</f>
        <v>307082</v>
      </c>
      <c r="C33" s="35">
        <f>65974+1296</f>
        <v>67270</v>
      </c>
      <c r="D33" s="35">
        <v>124381</v>
      </c>
      <c r="E33" s="71">
        <v>308582</v>
      </c>
      <c r="F33" s="29">
        <v>229198</v>
      </c>
      <c r="G33" s="29">
        <v>278553</v>
      </c>
      <c r="H33" s="29">
        <v>287904</v>
      </c>
      <c r="I33" s="29">
        <v>382804</v>
      </c>
      <c r="J33" s="29">
        <v>125442</v>
      </c>
      <c r="K33" s="29">
        <v>222486</v>
      </c>
      <c r="L33" s="173">
        <f>(J33-I33)*100/I33</f>
        <v>-67.23074993991703</v>
      </c>
      <c r="M33" s="174">
        <f>(K33-O33)*100/O33</f>
        <v>32.46604785748733</v>
      </c>
      <c r="N33" s="174"/>
      <c r="O33" s="185">
        <f>166253+1704</f>
        <v>167957</v>
      </c>
      <c r="P33" s="186"/>
      <c r="R33" s="153">
        <v>222486.18</v>
      </c>
      <c r="S33" s="86">
        <v>0</v>
      </c>
      <c r="T33" s="29">
        <f>SUM(R33:S33)</f>
        <v>222486.18</v>
      </c>
    </row>
    <row r="34" spans="1:20" s="29" customFormat="1" ht="12.75">
      <c r="A34" s="29" t="s">
        <v>22</v>
      </c>
      <c r="B34" s="35">
        <v>15592</v>
      </c>
      <c r="C34" s="35">
        <v>10981</v>
      </c>
      <c r="D34" s="35">
        <v>27626</v>
      </c>
      <c r="E34" s="71">
        <v>20506</v>
      </c>
      <c r="F34" s="29">
        <v>78225</v>
      </c>
      <c r="G34" s="29">
        <v>33742</v>
      </c>
      <c r="H34" s="29">
        <v>41152</v>
      </c>
      <c r="I34" s="29">
        <v>28744</v>
      </c>
      <c r="J34" s="29">
        <v>32538</v>
      </c>
      <c r="K34" s="29">
        <v>43651</v>
      </c>
      <c r="L34" s="173">
        <f>(J34-I34)*100/I34</f>
        <v>13.199276370720845</v>
      </c>
      <c r="M34" s="174">
        <f>(K34-O34)*100/O34</f>
        <v>193.13679403666643</v>
      </c>
      <c r="N34" s="174"/>
      <c r="O34" s="185">
        <f>14513+378</f>
        <v>14891</v>
      </c>
      <c r="P34" s="186"/>
      <c r="R34" s="153">
        <v>43650.96</v>
      </c>
      <c r="S34" s="86">
        <v>0</v>
      </c>
      <c r="T34" s="29">
        <f>SUM(R34:S34)</f>
        <v>43650.96</v>
      </c>
    </row>
    <row r="35" spans="2:19" s="29" customFormat="1" ht="12.75">
      <c r="B35" s="35"/>
      <c r="C35" s="35"/>
      <c r="D35" s="35"/>
      <c r="E35" s="71"/>
      <c r="L35" s="173"/>
      <c r="M35" s="174"/>
      <c r="N35" s="174"/>
      <c r="O35" s="185"/>
      <c r="P35" s="186"/>
      <c r="R35" s="86"/>
      <c r="S35" s="86"/>
    </row>
    <row r="36" spans="1:20" s="29" customFormat="1" ht="12.75">
      <c r="A36" s="29" t="s">
        <v>23</v>
      </c>
      <c r="B36" s="35">
        <v>52103</v>
      </c>
      <c r="C36" s="35">
        <v>34035</v>
      </c>
      <c r="D36" s="35">
        <v>37797</v>
      </c>
      <c r="E36" s="71">
        <v>43183</v>
      </c>
      <c r="F36" s="29">
        <v>92725</v>
      </c>
      <c r="G36" s="29">
        <v>38242</v>
      </c>
      <c r="H36" s="29">
        <v>77368</v>
      </c>
      <c r="I36" s="29">
        <v>79442</v>
      </c>
      <c r="J36" s="29">
        <v>51054</v>
      </c>
      <c r="K36" s="29">
        <v>40078</v>
      </c>
      <c r="L36" s="173">
        <f>(K36-J36)*100/J36</f>
        <v>-21.4988051866651</v>
      </c>
      <c r="M36" s="174">
        <f>(K36-O36)*100/O36</f>
        <v>4.2883164194639605</v>
      </c>
      <c r="N36" s="174"/>
      <c r="O36" s="185">
        <v>38430</v>
      </c>
      <c r="P36" s="186"/>
      <c r="R36" s="153">
        <v>36063.17</v>
      </c>
      <c r="S36" s="86">
        <v>4015</v>
      </c>
      <c r="T36" s="29">
        <f>SUM(R36:S36)</f>
        <v>40078.17</v>
      </c>
    </row>
    <row r="37" spans="1:20" s="29" customFormat="1" ht="12.75">
      <c r="A37" s="29" t="s">
        <v>24</v>
      </c>
      <c r="B37" s="35">
        <f>294216+884</f>
        <v>295100</v>
      </c>
      <c r="C37" s="35">
        <f>249785+815</f>
        <v>250600</v>
      </c>
      <c r="D37" s="35">
        <v>250241</v>
      </c>
      <c r="E37" s="71">
        <v>279258</v>
      </c>
      <c r="F37" s="29">
        <v>349303</v>
      </c>
      <c r="G37" s="29">
        <v>408119</v>
      </c>
      <c r="H37" s="29">
        <v>371637</v>
      </c>
      <c r="I37" s="29">
        <v>347364</v>
      </c>
      <c r="J37" s="29">
        <v>347986</v>
      </c>
      <c r="K37" s="29">
        <v>410297</v>
      </c>
      <c r="L37" s="173">
        <f>(K37-J37)*100/J37</f>
        <v>17.906180133683538</v>
      </c>
      <c r="M37" s="174">
        <f>(K37-O37)*100/O37</f>
        <v>70.79127347200426</v>
      </c>
      <c r="N37" s="174"/>
      <c r="O37" s="185">
        <v>240233</v>
      </c>
      <c r="P37" s="186"/>
      <c r="R37" s="153">
        <v>409329</v>
      </c>
      <c r="S37" s="153">
        <v>968</v>
      </c>
      <c r="T37" s="29">
        <f>SUM(R37:S37)</f>
        <v>410297</v>
      </c>
    </row>
    <row r="38" spans="1:20" s="29" customFormat="1" ht="12.75">
      <c r="A38" s="29" t="s">
        <v>25</v>
      </c>
      <c r="B38" s="35">
        <f>116343+1777</f>
        <v>118120</v>
      </c>
      <c r="C38" s="35">
        <f>77870+1661</f>
        <v>79531</v>
      </c>
      <c r="D38" s="35">
        <v>74190</v>
      </c>
      <c r="E38" s="71">
        <v>126472</v>
      </c>
      <c r="F38" s="29">
        <v>225399</v>
      </c>
      <c r="G38" s="29">
        <v>243876</v>
      </c>
      <c r="H38" s="29">
        <v>229167</v>
      </c>
      <c r="I38" s="29">
        <v>235172</v>
      </c>
      <c r="J38" s="29">
        <v>229765</v>
      </c>
      <c r="K38" s="29">
        <v>227842</v>
      </c>
      <c r="L38" s="173">
        <f>(K38-J38)*100/J38</f>
        <v>-0.8369420930080734</v>
      </c>
      <c r="M38" s="174">
        <f>(K38-O38)*100/O38</f>
        <v>80.92318931495319</v>
      </c>
      <c r="N38" s="174"/>
      <c r="O38" s="185">
        <f>124302+1631</f>
        <v>125933</v>
      </c>
      <c r="P38" s="186"/>
      <c r="R38" s="153">
        <v>227842.18</v>
      </c>
      <c r="S38" s="86">
        <v>0</v>
      </c>
      <c r="T38" s="29">
        <f>SUM(R38:S38)</f>
        <v>227842.18</v>
      </c>
    </row>
    <row r="39" spans="1:20" s="29" customFormat="1" ht="12.75">
      <c r="A39" s="40" t="s">
        <v>26</v>
      </c>
      <c r="B39" s="35">
        <f>120573+1020</f>
        <v>121593</v>
      </c>
      <c r="C39" s="35">
        <f>97650+2622</f>
        <v>100272</v>
      </c>
      <c r="D39" s="35">
        <v>105277</v>
      </c>
      <c r="E39" s="71">
        <v>105858</v>
      </c>
      <c r="F39" s="29">
        <v>161280</v>
      </c>
      <c r="G39" s="29">
        <v>164366</v>
      </c>
      <c r="H39" s="29">
        <v>154431</v>
      </c>
      <c r="I39" s="29">
        <v>158736</v>
      </c>
      <c r="J39" s="29">
        <v>189243</v>
      </c>
      <c r="K39" s="29">
        <v>157938</v>
      </c>
      <c r="L39" s="173">
        <f>(K39-J39)*100/J39</f>
        <v>-16.542223490432935</v>
      </c>
      <c r="M39" s="174">
        <f>(K39-O39)*100/O39</f>
        <v>34.675500754649406</v>
      </c>
      <c r="N39" s="174"/>
      <c r="O39" s="185">
        <f>116387+886</f>
        <v>117273</v>
      </c>
      <c r="P39" s="186"/>
      <c r="R39" s="157">
        <v>157742.36</v>
      </c>
      <c r="S39" s="102">
        <v>196.12</v>
      </c>
      <c r="T39" s="29">
        <f>SUM(R39:S39)</f>
        <v>157938.47999999998</v>
      </c>
    </row>
    <row r="40" spans="1:19" s="29" customFormat="1" ht="12.75">
      <c r="A40" s="29" t="s">
        <v>43</v>
      </c>
      <c r="B40" s="36"/>
      <c r="C40" s="41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2"/>
      <c r="S40" s="86"/>
    </row>
    <row r="41" spans="1:19" s="29" customFormat="1" ht="12.75">
      <c r="A41" s="187"/>
      <c r="C41" s="35"/>
      <c r="S41" s="86"/>
    </row>
    <row r="42" spans="2:3" s="29" customFormat="1" ht="12.75">
      <c r="B42" s="35"/>
      <c r="C42" s="35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  <row r="47" spans="2:3" ht="12.75">
      <c r="B47" s="14"/>
      <c r="C47" s="14"/>
    </row>
    <row r="48" spans="2:3" ht="12.75">
      <c r="B48" s="14"/>
      <c r="C48" s="14"/>
    </row>
    <row r="49" spans="2:3" ht="12.75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ht="12.75">
      <c r="C52" s="14"/>
    </row>
    <row r="53" ht="12.75">
      <c r="C53" s="14"/>
    </row>
  </sheetData>
  <mergeCells count="3">
    <mergeCell ref="A3:L3"/>
    <mergeCell ref="A4:L4"/>
    <mergeCell ref="A1:L1"/>
  </mergeCells>
  <printOptions/>
  <pageMargins left="0.49" right="0.47" top="1" bottom="0.9" header="0.5" footer="0.5"/>
  <pageSetup fitToHeight="1" fitToWidth="1" orientation="landscape" scale="71" r:id="rId1"/>
  <headerFooter alignWithMargins="0">
    <oddHeader>&amp;R&amp;10
</oddHeader>
    <oddFooter>&amp;L&amp;"Lucida Sans,Italic"&amp;10MSDE-DBS 1 / 2006
&amp;C- 14 -&amp;R&amp;"Lucida Sans,Italic"&amp;10Selected Financial Data - Part 4</oddFooter>
  </headerFooter>
  <rowBreaks count="1" manualBreakCount="1">
    <brk id="4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workbookViewId="0" topLeftCell="H2">
      <selection activeCell="O2" sqref="O2"/>
    </sheetView>
  </sheetViews>
  <sheetFormatPr defaultColWidth="9.00390625" defaultRowHeight="15.75"/>
  <cols>
    <col min="1" max="1" width="17.50390625" style="29" customWidth="1"/>
    <col min="2" max="10" width="12.625" style="29" customWidth="1"/>
    <col min="11" max="11" width="11.375" style="29" customWidth="1"/>
    <col min="12" max="14" width="6.625" style="29" customWidth="1"/>
    <col min="15" max="15" width="12.625" style="29" customWidth="1"/>
    <col min="16" max="16" width="3.125" style="29" customWidth="1"/>
    <col min="17" max="17" width="13.00390625" style="29" customWidth="1"/>
    <col min="18" max="33" width="10.125" style="29" customWidth="1"/>
    <col min="34" max="16384" width="10.00390625" style="29" customWidth="1"/>
  </cols>
  <sheetData>
    <row r="1" spans="1:15" ht="15.75" customHeight="1">
      <c r="A1" s="244" t="s">
        <v>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09"/>
      <c r="O1" s="109"/>
    </row>
    <row r="2" spans="1:15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219" t="s">
        <v>181</v>
      </c>
    </row>
    <row r="3" spans="1:15" ht="12.75">
      <c r="A3" s="244" t="s">
        <v>46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109"/>
      <c r="O3" s="109"/>
    </row>
    <row r="4" spans="1:15" ht="12.75">
      <c r="A4" s="244" t="s">
        <v>164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109"/>
      <c r="O4" s="109"/>
    </row>
    <row r="5" spans="17:19" ht="13.5" thickBot="1">
      <c r="Q5" s="237" t="s">
        <v>166</v>
      </c>
      <c r="R5" s="237"/>
      <c r="S5" s="237"/>
    </row>
    <row r="6" spans="1:19" ht="13.5" thickTop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Q6" s="246" t="s">
        <v>110</v>
      </c>
      <c r="R6" s="246"/>
      <c r="S6" s="246"/>
    </row>
    <row r="7" spans="1:19" ht="12.75">
      <c r="A7" s="32"/>
      <c r="B7" s="32"/>
      <c r="C7" s="32"/>
      <c r="L7" s="239" t="s">
        <v>28</v>
      </c>
      <c r="M7" s="239"/>
      <c r="N7" s="211"/>
      <c r="O7" s="32"/>
      <c r="Q7" s="246" t="s">
        <v>111</v>
      </c>
      <c r="R7" s="246"/>
      <c r="S7" s="246"/>
    </row>
    <row r="8" spans="1:19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28" t="s">
        <v>59</v>
      </c>
      <c r="M8" s="28" t="s">
        <v>60</v>
      </c>
      <c r="N8" s="28"/>
      <c r="O8" s="32"/>
      <c r="Q8" s="239" t="s">
        <v>84</v>
      </c>
      <c r="R8" s="239"/>
      <c r="S8" s="239"/>
    </row>
    <row r="9" spans="1:19" ht="13.5" thickBot="1">
      <c r="A9" s="33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38" t="s">
        <v>58</v>
      </c>
      <c r="M9" s="38" t="s">
        <v>58</v>
      </c>
      <c r="N9" s="37"/>
      <c r="O9" s="33" t="s">
        <v>158</v>
      </c>
      <c r="Q9" s="38" t="s">
        <v>112</v>
      </c>
      <c r="R9" s="245" t="s">
        <v>113</v>
      </c>
      <c r="S9" s="245"/>
    </row>
    <row r="10" spans="1:19" ht="12.75">
      <c r="A10" s="32" t="s">
        <v>2</v>
      </c>
      <c r="B10" s="48">
        <v>6337.74</v>
      </c>
      <c r="C10" s="49">
        <v>6445.42</v>
      </c>
      <c r="D10" s="50">
        <v>6584.22</v>
      </c>
      <c r="E10" s="73">
        <v>6821.41</v>
      </c>
      <c r="F10" s="73">
        <v>7125.3</v>
      </c>
      <c r="G10" s="73">
        <f>7466.58</f>
        <v>7466.58</v>
      </c>
      <c r="H10" s="73">
        <v>7970.84</v>
      </c>
      <c r="I10" s="73">
        <v>8351.42</v>
      </c>
      <c r="J10" s="73">
        <v>8765.45</v>
      </c>
      <c r="K10" s="73">
        <v>9078.008584984722</v>
      </c>
      <c r="L10" s="180">
        <f>(K10-J10)/J10</f>
        <v>0.03565801926709081</v>
      </c>
      <c r="M10" s="180">
        <f>(K10-O10)/O10</f>
        <v>0.4866432460778271</v>
      </c>
      <c r="N10" s="180"/>
      <c r="O10" s="47">
        <v>6106.38</v>
      </c>
      <c r="Q10" s="73">
        <v>9078.008584984722</v>
      </c>
      <c r="R10" s="183"/>
      <c r="S10" s="183"/>
    </row>
    <row r="11" spans="2:17" ht="12.75">
      <c r="B11" s="113"/>
      <c r="C11" s="180"/>
      <c r="D11" s="180"/>
      <c r="E11" s="180"/>
      <c r="F11" s="180"/>
      <c r="G11" s="180"/>
      <c r="H11" s="180"/>
      <c r="I11" s="47"/>
      <c r="J11" s="47"/>
      <c r="K11" s="47"/>
      <c r="M11" s="172"/>
      <c r="N11" s="172"/>
      <c r="O11" s="113"/>
      <c r="Q11" s="47"/>
    </row>
    <row r="12" spans="1:18" ht="12.75">
      <c r="A12" s="29" t="s">
        <v>3</v>
      </c>
      <c r="B12" s="72">
        <v>5623.59</v>
      </c>
      <c r="C12" s="51">
        <v>5843.24</v>
      </c>
      <c r="D12" s="53">
        <v>5888.74</v>
      </c>
      <c r="E12" s="72">
        <v>6130.88</v>
      </c>
      <c r="F12" s="72">
        <v>6476.04</v>
      </c>
      <c r="G12" s="72">
        <v>6967.45</v>
      </c>
      <c r="H12" s="51">
        <v>7209.84</v>
      </c>
      <c r="I12" s="72">
        <v>7848.37</v>
      </c>
      <c r="J12" s="72">
        <v>8051.21</v>
      </c>
      <c r="K12" s="72">
        <v>8788.972758610256</v>
      </c>
      <c r="L12" s="181">
        <f>(K12-J12)*100/J12</f>
        <v>9.16337741296347</v>
      </c>
      <c r="M12" s="181">
        <f>((K12-O12)*100)/O12</f>
        <v>64.38740781090912</v>
      </c>
      <c r="N12" s="181"/>
      <c r="O12" s="52">
        <v>5346.5</v>
      </c>
      <c r="Q12" s="72">
        <v>8788.972758610256</v>
      </c>
      <c r="R12" s="29">
        <v>11</v>
      </c>
    </row>
    <row r="13" spans="1:18" ht="12.75">
      <c r="A13" s="29" t="s">
        <v>4</v>
      </c>
      <c r="B13" s="72">
        <v>6451.81</v>
      </c>
      <c r="C13" s="51">
        <v>6455.32</v>
      </c>
      <c r="D13" s="53">
        <v>6463.42</v>
      </c>
      <c r="E13" s="72">
        <v>6628.59</v>
      </c>
      <c r="F13" s="72">
        <v>6811.6</v>
      </c>
      <c r="G13" s="72">
        <v>7190.8</v>
      </c>
      <c r="H13" s="51">
        <v>7782.27</v>
      </c>
      <c r="I13" s="72">
        <v>8103.5</v>
      </c>
      <c r="J13" s="72">
        <v>8522.46</v>
      </c>
      <c r="K13" s="72">
        <v>8796.44699768887</v>
      </c>
      <c r="L13" s="181">
        <f>(K13-J13)*100/J13</f>
        <v>3.214881591569468</v>
      </c>
      <c r="M13" s="181">
        <f>((K13-O13)*100)/O13</f>
        <v>43.166211458718436</v>
      </c>
      <c r="N13" s="181"/>
      <c r="O13" s="52">
        <v>6144.22</v>
      </c>
      <c r="Q13" s="72">
        <v>8796.44699768887</v>
      </c>
      <c r="R13" s="29">
        <v>10</v>
      </c>
    </row>
    <row r="14" spans="1:18" ht="12.75">
      <c r="A14" s="29" t="s">
        <v>5</v>
      </c>
      <c r="B14" s="72">
        <v>5872.83</v>
      </c>
      <c r="C14" s="51">
        <v>6151.88</v>
      </c>
      <c r="D14" s="53">
        <v>6407.68</v>
      </c>
      <c r="E14" s="72">
        <v>6924.13</v>
      </c>
      <c r="F14" s="72">
        <v>7415.36</v>
      </c>
      <c r="G14" s="72">
        <v>7963.33</v>
      </c>
      <c r="H14" s="51">
        <v>8789.62</v>
      </c>
      <c r="I14" s="72">
        <v>9086.31</v>
      </c>
      <c r="J14" s="72">
        <v>9585.49</v>
      </c>
      <c r="K14" s="72">
        <v>9325.6010547027</v>
      </c>
      <c r="L14" s="181">
        <f>(K14-J14)*100/J14</f>
        <v>-2.7112744919383345</v>
      </c>
      <c r="M14" s="181">
        <f>((K14-O14)*100)/O14</f>
        <v>67.56028286130854</v>
      </c>
      <c r="N14" s="181"/>
      <c r="O14" s="52">
        <v>5565.52</v>
      </c>
      <c r="Q14" s="72">
        <v>9325.6010547027</v>
      </c>
      <c r="R14" s="29">
        <v>6</v>
      </c>
    </row>
    <row r="15" spans="1:18" ht="12.75">
      <c r="A15" s="29" t="s">
        <v>6</v>
      </c>
      <c r="B15" s="72">
        <v>6337.14</v>
      </c>
      <c r="C15" s="51">
        <v>6380.34</v>
      </c>
      <c r="D15" s="53">
        <v>6600.55</v>
      </c>
      <c r="E15" s="72">
        <v>6917.99</v>
      </c>
      <c r="F15" s="72">
        <v>7006.98</v>
      </c>
      <c r="G15" s="72">
        <v>7320.69</v>
      </c>
      <c r="H15" s="51">
        <v>7907.94</v>
      </c>
      <c r="I15" s="72">
        <v>8240.94</v>
      </c>
      <c r="J15" s="72">
        <v>8562.39</v>
      </c>
      <c r="K15" s="72">
        <v>8899.463811873075</v>
      </c>
      <c r="L15" s="181">
        <f>(K15-J15)*100/J15</f>
        <v>3.936679033226414</v>
      </c>
      <c r="M15" s="181">
        <f>((K15-O15)*100)/O15</f>
        <v>43.741440600085184</v>
      </c>
      <c r="N15" s="181"/>
      <c r="O15" s="52">
        <v>6191.3</v>
      </c>
      <c r="Q15" s="72">
        <v>8899.463811873075</v>
      </c>
      <c r="R15" s="29">
        <v>9</v>
      </c>
    </row>
    <row r="16" spans="1:18" ht="12.75">
      <c r="A16" s="29" t="s">
        <v>7</v>
      </c>
      <c r="B16" s="72">
        <v>5872.26</v>
      </c>
      <c r="C16" s="51">
        <v>5996.86</v>
      </c>
      <c r="D16" s="53">
        <v>6038.52</v>
      </c>
      <c r="E16" s="72">
        <v>6227.32</v>
      </c>
      <c r="F16" s="72">
        <v>6520.8</v>
      </c>
      <c r="G16" s="72">
        <v>6706.31</v>
      </c>
      <c r="H16" s="51">
        <v>7043.38</v>
      </c>
      <c r="I16" s="72">
        <v>7642.87</v>
      </c>
      <c r="J16" s="72">
        <v>8224.67</v>
      </c>
      <c r="K16" s="72">
        <v>8731.201994542478</v>
      </c>
      <c r="L16" s="181">
        <f>(K16-J16)*100/J16</f>
        <v>6.158690799053069</v>
      </c>
      <c r="M16" s="181">
        <f>((K16-O16)*100)/O16</f>
        <v>53.53156625553206</v>
      </c>
      <c r="N16" s="181"/>
      <c r="O16" s="52">
        <v>5686.91</v>
      </c>
      <c r="Q16" s="72">
        <v>8731.201994542478</v>
      </c>
      <c r="R16" s="29">
        <v>13</v>
      </c>
    </row>
    <row r="17" spans="2:17" ht="12.75">
      <c r="B17" s="72"/>
      <c r="C17" s="51"/>
      <c r="D17" s="53"/>
      <c r="E17" s="72"/>
      <c r="F17" s="72"/>
      <c r="G17" s="72"/>
      <c r="H17" s="51"/>
      <c r="I17" s="72"/>
      <c r="J17" s="72"/>
      <c r="K17" s="72"/>
      <c r="L17" s="174"/>
      <c r="M17" s="174"/>
      <c r="N17" s="174"/>
      <c r="O17" s="52"/>
      <c r="Q17" s="72"/>
    </row>
    <row r="18" spans="1:18" ht="12.75">
      <c r="A18" s="29" t="s">
        <v>8</v>
      </c>
      <c r="B18" s="72">
        <v>5262.09</v>
      </c>
      <c r="C18" s="51">
        <v>5354.61</v>
      </c>
      <c r="D18" s="53">
        <v>5631.2</v>
      </c>
      <c r="E18" s="72">
        <v>5984.79</v>
      </c>
      <c r="F18" s="72">
        <v>6281.77</v>
      </c>
      <c r="G18" s="72">
        <v>6419.54</v>
      </c>
      <c r="H18" s="51">
        <v>6681.47</v>
      </c>
      <c r="I18" s="72">
        <v>7090.43</v>
      </c>
      <c r="J18" s="72">
        <v>7657.2</v>
      </c>
      <c r="K18" s="72">
        <v>8343.24898198361</v>
      </c>
      <c r="L18" s="181">
        <f>(K18-J18)*100/J18</f>
        <v>8.95952805181542</v>
      </c>
      <c r="M18" s="181">
        <f>((K18-O18)*100)/O18</f>
        <v>64.78864274113391</v>
      </c>
      <c r="N18" s="181"/>
      <c r="O18" s="52">
        <v>5063</v>
      </c>
      <c r="Q18" s="72">
        <v>8343.24898198361</v>
      </c>
      <c r="R18" s="29">
        <v>18</v>
      </c>
    </row>
    <row r="19" spans="1:18" ht="12.75">
      <c r="A19" s="29" t="s">
        <v>9</v>
      </c>
      <c r="B19" s="72">
        <v>5795.44</v>
      </c>
      <c r="C19" s="51">
        <v>5827.92</v>
      </c>
      <c r="D19" s="53">
        <v>5873.88</v>
      </c>
      <c r="E19" s="72">
        <v>6066.49</v>
      </c>
      <c r="F19" s="72">
        <v>6379.48</v>
      </c>
      <c r="G19" s="72">
        <v>6621.8</v>
      </c>
      <c r="H19" s="51">
        <v>7058.83</v>
      </c>
      <c r="I19" s="72">
        <v>7334.79</v>
      </c>
      <c r="J19" s="72">
        <v>7723.83</v>
      </c>
      <c r="K19" s="72">
        <v>8223.108027219976</v>
      </c>
      <c r="L19" s="181">
        <f>(K19-J19)*100/J19</f>
        <v>6.4641250159568004</v>
      </c>
      <c r="M19" s="181">
        <f>((K19-O19)*100)/O19</f>
        <v>48.71825156113186</v>
      </c>
      <c r="N19" s="181"/>
      <c r="O19" s="52">
        <v>5529.32</v>
      </c>
      <c r="Q19" s="72">
        <v>8223.108027219976</v>
      </c>
      <c r="R19" s="29">
        <v>19</v>
      </c>
    </row>
    <row r="20" spans="1:18" ht="12.75">
      <c r="A20" s="29" t="s">
        <v>10</v>
      </c>
      <c r="B20" s="72">
        <v>5687.69</v>
      </c>
      <c r="C20" s="51">
        <v>5830.79</v>
      </c>
      <c r="D20" s="53">
        <v>5893.97</v>
      </c>
      <c r="E20" s="72">
        <v>6122.02</v>
      </c>
      <c r="F20" s="72">
        <v>6451.34</v>
      </c>
      <c r="G20" s="72">
        <v>6729.38</v>
      </c>
      <c r="H20" s="51">
        <v>7185.25</v>
      </c>
      <c r="I20" s="72">
        <v>7454.28</v>
      </c>
      <c r="J20" s="72">
        <v>7798.56</v>
      </c>
      <c r="K20" s="72">
        <v>8211.581323813021</v>
      </c>
      <c r="L20" s="181">
        <f>(K20-J20)*100/J20</f>
        <v>5.296122922860385</v>
      </c>
      <c r="M20" s="181">
        <f>((K20-O20)*100)/O20</f>
        <v>49.91503998753117</v>
      </c>
      <c r="N20" s="181"/>
      <c r="O20" s="52">
        <v>5477.49</v>
      </c>
      <c r="Q20" s="72">
        <v>8211.581323813021</v>
      </c>
      <c r="R20" s="29">
        <v>20</v>
      </c>
    </row>
    <row r="21" spans="1:18" ht="12.75">
      <c r="A21" s="29" t="s">
        <v>11</v>
      </c>
      <c r="B21" s="72">
        <v>5958.52</v>
      </c>
      <c r="C21" s="51">
        <v>5969.27</v>
      </c>
      <c r="D21" s="53">
        <v>6157.69</v>
      </c>
      <c r="E21" s="72">
        <v>6271.22</v>
      </c>
      <c r="F21" s="72">
        <v>6422.98</v>
      </c>
      <c r="G21" s="72">
        <v>6748.79</v>
      </c>
      <c r="H21" s="51">
        <v>7023.29</v>
      </c>
      <c r="I21" s="72">
        <v>7363.01</v>
      </c>
      <c r="J21" s="72">
        <v>7786.32</v>
      </c>
      <c r="K21" s="72">
        <v>8015.722422176225</v>
      </c>
      <c r="L21" s="181">
        <f>(K21-J21)*100/J21</f>
        <v>2.946223918054044</v>
      </c>
      <c r="M21" s="181">
        <f>((K21-O21)*100)/O21</f>
        <v>37.47774522818091</v>
      </c>
      <c r="N21" s="181"/>
      <c r="O21" s="52">
        <v>5830.56</v>
      </c>
      <c r="Q21" s="72">
        <v>8015.722422176225</v>
      </c>
      <c r="R21" s="29">
        <v>23</v>
      </c>
    </row>
    <row r="22" spans="1:18" ht="12.75">
      <c r="A22" s="29" t="s">
        <v>12</v>
      </c>
      <c r="B22" s="72">
        <v>6057.77</v>
      </c>
      <c r="C22" s="51">
        <v>6137.75</v>
      </c>
      <c r="D22" s="53">
        <v>6428.24</v>
      </c>
      <c r="E22" s="72">
        <v>6791.72</v>
      </c>
      <c r="F22" s="72">
        <v>6937.82</v>
      </c>
      <c r="G22" s="72">
        <v>7435.29</v>
      </c>
      <c r="H22" s="51">
        <v>8066.98</v>
      </c>
      <c r="I22" s="72">
        <v>8280.43</v>
      </c>
      <c r="J22" s="72">
        <v>8830.7</v>
      </c>
      <c r="K22" s="72">
        <v>9025.217937358611</v>
      </c>
      <c r="L22" s="181">
        <f>(K22-J22)*100/J22</f>
        <v>2.20274652472183</v>
      </c>
      <c r="M22" s="181">
        <f>((K22-O22)*100)/O22</f>
        <v>59.228276448168</v>
      </c>
      <c r="N22" s="181"/>
      <c r="O22" s="52">
        <v>5668.1</v>
      </c>
      <c r="Q22" s="72">
        <v>9025.217937358611</v>
      </c>
      <c r="R22" s="29">
        <v>8</v>
      </c>
    </row>
    <row r="23" spans="2:17" ht="12.75">
      <c r="B23" s="72"/>
      <c r="C23" s="51"/>
      <c r="D23" s="53"/>
      <c r="E23" s="72"/>
      <c r="F23" s="72"/>
      <c r="G23" s="72"/>
      <c r="H23" s="51"/>
      <c r="I23" s="72"/>
      <c r="J23" s="72"/>
      <c r="K23" s="72"/>
      <c r="L23" s="174"/>
      <c r="M23" s="174"/>
      <c r="N23" s="174"/>
      <c r="O23" s="52"/>
      <c r="Q23" s="72"/>
    </row>
    <row r="24" spans="1:18" ht="12.75">
      <c r="A24" s="29" t="s">
        <v>13</v>
      </c>
      <c r="B24" s="72">
        <v>5767.39</v>
      </c>
      <c r="C24" s="51">
        <v>5803.58</v>
      </c>
      <c r="D24" s="53">
        <v>5858.42</v>
      </c>
      <c r="E24" s="72">
        <v>6116.11</v>
      </c>
      <c r="F24" s="72">
        <v>6364.13</v>
      </c>
      <c r="G24" s="72">
        <v>6573.55</v>
      </c>
      <c r="H24" s="51">
        <v>6973.44</v>
      </c>
      <c r="I24" s="72">
        <v>7436.25</v>
      </c>
      <c r="J24" s="72">
        <v>7930.36</v>
      </c>
      <c r="K24" s="72">
        <v>8417.821008804889</v>
      </c>
      <c r="L24" s="181">
        <f>(K24-J24)*100/J24</f>
        <v>6.146770245044228</v>
      </c>
      <c r="M24" s="181">
        <f>((K24-O24)*100)/O24</f>
        <v>52.66075709602688</v>
      </c>
      <c r="N24" s="181"/>
      <c r="O24" s="52">
        <v>5514.07</v>
      </c>
      <c r="Q24" s="72">
        <v>8417.821008804889</v>
      </c>
      <c r="R24" s="29">
        <v>16</v>
      </c>
    </row>
    <row r="25" spans="1:18" ht="12.75">
      <c r="A25" s="29" t="s">
        <v>14</v>
      </c>
      <c r="B25" s="72">
        <v>5710.73</v>
      </c>
      <c r="C25" s="51">
        <v>5865.05</v>
      </c>
      <c r="D25" s="53">
        <v>6105.15</v>
      </c>
      <c r="E25" s="72">
        <v>6471.54</v>
      </c>
      <c r="F25" s="72">
        <v>6701.91</v>
      </c>
      <c r="G25" s="72">
        <v>6977.85</v>
      </c>
      <c r="H25" s="51">
        <v>7455.2</v>
      </c>
      <c r="I25" s="72">
        <v>7927.12</v>
      </c>
      <c r="J25" s="72">
        <v>8402.57</v>
      </c>
      <c r="K25" s="72">
        <v>8782.422503744094</v>
      </c>
      <c r="L25" s="181">
        <f>(K25-J25)*100/J25</f>
        <v>4.520670506096279</v>
      </c>
      <c r="M25" s="181">
        <f>((K25-O25)*100)/O25</f>
        <v>61.504529407491404</v>
      </c>
      <c r="N25" s="181"/>
      <c r="O25" s="52">
        <v>5437.88</v>
      </c>
      <c r="Q25" s="72">
        <v>8782.422503744094</v>
      </c>
      <c r="R25" s="29">
        <v>12</v>
      </c>
    </row>
    <row r="26" spans="1:18" ht="12.75">
      <c r="A26" s="29" t="s">
        <v>15</v>
      </c>
      <c r="B26" s="72">
        <v>5696.95</v>
      </c>
      <c r="C26" s="51">
        <v>5858.13</v>
      </c>
      <c r="D26" s="53">
        <v>5945.78</v>
      </c>
      <c r="E26" s="72">
        <v>6131.75</v>
      </c>
      <c r="F26" s="72">
        <v>6218.09</v>
      </c>
      <c r="G26" s="72">
        <v>6532.17</v>
      </c>
      <c r="H26" s="51">
        <v>6962.42</v>
      </c>
      <c r="I26" s="72">
        <v>7311.55</v>
      </c>
      <c r="J26" s="72">
        <v>7304.12</v>
      </c>
      <c r="K26" s="72">
        <v>7655.018070202411</v>
      </c>
      <c r="L26" s="181">
        <f>(K26-J26)*100/J26</f>
        <v>4.804111517916066</v>
      </c>
      <c r="M26" s="181">
        <f>((K26-O26)*100)/O26</f>
        <v>40.52402340536196</v>
      </c>
      <c r="N26" s="181"/>
      <c r="O26" s="52">
        <v>5447.48</v>
      </c>
      <c r="Q26" s="72">
        <v>7655.018070202411</v>
      </c>
      <c r="R26" s="29">
        <v>24</v>
      </c>
    </row>
    <row r="27" spans="1:18" ht="12.75">
      <c r="A27" s="29" t="s">
        <v>16</v>
      </c>
      <c r="B27" s="72">
        <v>6793.21</v>
      </c>
      <c r="C27" s="51">
        <v>5996.98</v>
      </c>
      <c r="D27" s="53">
        <v>6987.95</v>
      </c>
      <c r="E27" s="72">
        <v>7189.81</v>
      </c>
      <c r="F27" s="72">
        <v>7434.36</v>
      </c>
      <c r="G27" s="72">
        <v>7879.56</v>
      </c>
      <c r="H27" s="51">
        <v>8431.89</v>
      </c>
      <c r="I27" s="72">
        <v>8976.89</v>
      </c>
      <c r="J27" s="72">
        <v>8969.6</v>
      </c>
      <c r="K27" s="72">
        <v>9928.057773612449</v>
      </c>
      <c r="L27" s="181">
        <f>(K27-J27)*100/J27</f>
        <v>10.685624482835895</v>
      </c>
      <c r="M27" s="181">
        <f>((K27-O27)*100)/O27</f>
        <v>51.090833149885384</v>
      </c>
      <c r="N27" s="181"/>
      <c r="O27" s="52">
        <v>6570.92</v>
      </c>
      <c r="Q27" s="72">
        <v>9928.057773612449</v>
      </c>
      <c r="R27" s="29">
        <v>5</v>
      </c>
    </row>
    <row r="28" spans="1:18" ht="12.75">
      <c r="A28" s="29" t="s">
        <v>17</v>
      </c>
      <c r="B28" s="72">
        <v>6688.63</v>
      </c>
      <c r="C28" s="51">
        <v>6815.05</v>
      </c>
      <c r="D28" s="53">
        <v>6944.64</v>
      </c>
      <c r="E28" s="72">
        <v>7850.25</v>
      </c>
      <c r="F28" s="72">
        <v>7771.19</v>
      </c>
      <c r="G28" s="72">
        <v>7964.04</v>
      </c>
      <c r="H28" s="51">
        <v>8979.82</v>
      </c>
      <c r="I28" s="72">
        <v>9460.65</v>
      </c>
      <c r="J28" s="72">
        <v>10038.36</v>
      </c>
      <c r="K28" s="72">
        <v>10007.792033731886</v>
      </c>
      <c r="L28" s="181">
        <f>(K28-J28)*100/J28</f>
        <v>-0.3045115563509787</v>
      </c>
      <c r="M28" s="181">
        <f>((K28-O28)*100)/O28</f>
        <v>55.63806297083726</v>
      </c>
      <c r="N28" s="181"/>
      <c r="O28" s="52">
        <v>6430.17</v>
      </c>
      <c r="Q28" s="72">
        <v>10007.792033731886</v>
      </c>
      <c r="R28" s="29">
        <v>3</v>
      </c>
    </row>
    <row r="29" spans="2:17" ht="12.75">
      <c r="B29" s="72"/>
      <c r="C29" s="51"/>
      <c r="D29" s="53"/>
      <c r="E29" s="72"/>
      <c r="F29" s="72"/>
      <c r="G29" s="72"/>
      <c r="H29" s="51"/>
      <c r="I29" s="72"/>
      <c r="J29" s="72"/>
      <c r="K29" s="72"/>
      <c r="L29" s="174"/>
      <c r="M29" s="174"/>
      <c r="N29" s="174"/>
      <c r="O29" s="52"/>
      <c r="Q29" s="72"/>
    </row>
    <row r="30" spans="1:18" ht="12.75">
      <c r="A30" s="29" t="s">
        <v>18</v>
      </c>
      <c r="B30" s="72">
        <v>7697.39</v>
      </c>
      <c r="C30" s="51">
        <v>7886.82</v>
      </c>
      <c r="D30" s="53">
        <v>8034.88</v>
      </c>
      <c r="E30" s="72">
        <v>8287</v>
      </c>
      <c r="F30" s="72">
        <v>8574.38</v>
      </c>
      <c r="G30" s="72">
        <v>8888.19</v>
      </c>
      <c r="H30" s="51">
        <v>9488.3</v>
      </c>
      <c r="I30" s="72">
        <v>9876.27</v>
      </c>
      <c r="J30" s="72">
        <v>10415.11</v>
      </c>
      <c r="K30" s="72">
        <v>10993.807169075699</v>
      </c>
      <c r="L30" s="181">
        <f>(K30-J30)*100/J30</f>
        <v>5.556323160059741</v>
      </c>
      <c r="M30" s="181">
        <f>((K30-O30)*100)/O30</f>
        <v>45.83179795263765</v>
      </c>
      <c r="N30" s="181"/>
      <c r="O30" s="52">
        <v>7538.69</v>
      </c>
      <c r="Q30" s="72">
        <v>10993.807169075699</v>
      </c>
      <c r="R30" s="29">
        <v>1</v>
      </c>
    </row>
    <row r="31" spans="1:18" ht="12.75">
      <c r="A31" s="29" t="s">
        <v>19</v>
      </c>
      <c r="B31" s="72">
        <v>6272.26</v>
      </c>
      <c r="C31" s="51">
        <v>6282.47</v>
      </c>
      <c r="D31" s="53">
        <v>6370.12</v>
      </c>
      <c r="E31" s="72">
        <v>6584.5</v>
      </c>
      <c r="F31" s="72">
        <v>6853.48</v>
      </c>
      <c r="G31" s="72">
        <v>7116.13</v>
      </c>
      <c r="H31" s="51">
        <v>7313.09</v>
      </c>
      <c r="I31" s="72">
        <v>7698.87</v>
      </c>
      <c r="J31" s="72">
        <v>8261.77</v>
      </c>
      <c r="K31" s="72">
        <v>8364.635123979218</v>
      </c>
      <c r="L31" s="181">
        <f>(K31-J31)*100/J31</f>
        <v>1.2450736825065085</v>
      </c>
      <c r="M31" s="181">
        <f>((K31-O31)*100)/O31</f>
        <v>38.98298109448627</v>
      </c>
      <c r="N31" s="181"/>
      <c r="O31" s="52">
        <v>6018.46</v>
      </c>
      <c r="Q31" s="72">
        <v>8364.635123979218</v>
      </c>
      <c r="R31" s="29">
        <v>17</v>
      </c>
    </row>
    <row r="32" spans="1:18" ht="12.75">
      <c r="A32" s="29" t="s">
        <v>20</v>
      </c>
      <c r="B32" s="72">
        <v>6095.58</v>
      </c>
      <c r="C32" s="51">
        <v>6059.12</v>
      </c>
      <c r="D32" s="53">
        <v>6281.33</v>
      </c>
      <c r="E32" s="72">
        <v>6382.87</v>
      </c>
      <c r="F32" s="72">
        <v>6741.51</v>
      </c>
      <c r="G32" s="72">
        <v>6966.58</v>
      </c>
      <c r="H32" s="51">
        <v>7395.2</v>
      </c>
      <c r="I32" s="72">
        <v>7919.13</v>
      </c>
      <c r="J32" s="72">
        <v>8098</v>
      </c>
      <c r="K32" s="72">
        <v>8536.51915247388</v>
      </c>
      <c r="L32" s="181">
        <f>(K32-J32)*100/J32</f>
        <v>5.415153772213883</v>
      </c>
      <c r="M32" s="181">
        <f>((K32-O32)*100)/O32</f>
        <v>43.89606859382646</v>
      </c>
      <c r="N32" s="181"/>
      <c r="O32" s="52">
        <v>5932.42</v>
      </c>
      <c r="Q32" s="72">
        <v>8536.51915247388</v>
      </c>
      <c r="R32" s="29">
        <v>15</v>
      </c>
    </row>
    <row r="33" spans="1:18" ht="12.75">
      <c r="A33" s="29" t="s">
        <v>21</v>
      </c>
      <c r="B33" s="72">
        <v>6234.93</v>
      </c>
      <c r="C33" s="51">
        <v>5993.81</v>
      </c>
      <c r="D33" s="53">
        <v>6270.88</v>
      </c>
      <c r="E33" s="72">
        <v>6421.45</v>
      </c>
      <c r="F33" s="72">
        <v>6708.32</v>
      </c>
      <c r="G33" s="72">
        <v>6953.05</v>
      </c>
      <c r="H33" s="51">
        <v>7425.96</v>
      </c>
      <c r="I33" s="72">
        <v>7852.41</v>
      </c>
      <c r="J33" s="72">
        <v>7968.32</v>
      </c>
      <c r="K33" s="72">
        <v>8167.934931745511</v>
      </c>
      <c r="L33" s="181">
        <f>(K33-J33)*100/J33</f>
        <v>2.505106870024184</v>
      </c>
      <c r="M33" s="181">
        <f>((K33-O33)*100)/O33</f>
        <v>35.66375668932471</v>
      </c>
      <c r="N33" s="181"/>
      <c r="O33" s="52">
        <v>6020.72</v>
      </c>
      <c r="Q33" s="72">
        <v>8167.934931745511</v>
      </c>
      <c r="R33" s="29">
        <v>21</v>
      </c>
    </row>
    <row r="34" spans="1:18" ht="12.75">
      <c r="A34" s="29" t="s">
        <v>22</v>
      </c>
      <c r="B34" s="72">
        <v>5956.8</v>
      </c>
      <c r="C34" s="51">
        <v>6586.33</v>
      </c>
      <c r="D34" s="53">
        <v>6624.11</v>
      </c>
      <c r="E34" s="72">
        <v>7313.89</v>
      </c>
      <c r="F34" s="72">
        <v>7637.66</v>
      </c>
      <c r="G34" s="72">
        <v>8033.8</v>
      </c>
      <c r="H34" s="51">
        <v>8465.22</v>
      </c>
      <c r="I34" s="72">
        <v>8978.08</v>
      </c>
      <c r="J34" s="72">
        <v>9523.81</v>
      </c>
      <c r="K34" s="72">
        <v>9951.11688040506</v>
      </c>
      <c r="L34" s="181">
        <f>(K34-J34)*100/J34</f>
        <v>4.486722019917028</v>
      </c>
      <c r="M34" s="181">
        <f>((K34-O34)*100)/O34</f>
        <v>76.98866475537504</v>
      </c>
      <c r="N34" s="181"/>
      <c r="O34" s="52">
        <v>5622.46</v>
      </c>
      <c r="Q34" s="72">
        <v>9951.11688040506</v>
      </c>
      <c r="R34" s="29">
        <v>4</v>
      </c>
    </row>
    <row r="35" spans="2:17" ht="12.75">
      <c r="B35" s="72"/>
      <c r="C35" s="51"/>
      <c r="D35" s="53"/>
      <c r="E35" s="72"/>
      <c r="F35" s="72"/>
      <c r="G35" s="72"/>
      <c r="H35" s="51"/>
      <c r="I35" s="72"/>
      <c r="J35" s="72"/>
      <c r="K35" s="72"/>
      <c r="L35" s="174"/>
      <c r="M35" s="174"/>
      <c r="N35" s="174"/>
      <c r="O35" s="52"/>
      <c r="Q35" s="72"/>
    </row>
    <row r="36" spans="1:18" ht="12.75">
      <c r="A36" s="29" t="s">
        <v>23</v>
      </c>
      <c r="B36" s="72">
        <v>5879.46</v>
      </c>
      <c r="C36" s="51">
        <v>6023.79</v>
      </c>
      <c r="D36" s="53">
        <v>6163.83</v>
      </c>
      <c r="E36" s="72">
        <v>6201.98</v>
      </c>
      <c r="F36" s="72">
        <v>6608.51</v>
      </c>
      <c r="G36" s="72">
        <v>6819.4</v>
      </c>
      <c r="H36" s="51">
        <v>7337.71</v>
      </c>
      <c r="I36" s="72">
        <v>7911.52</v>
      </c>
      <c r="J36" s="72">
        <v>8483.29</v>
      </c>
      <c r="K36" s="72">
        <v>9073.123580274569</v>
      </c>
      <c r="L36" s="181">
        <f>(K36-J36)*100/J36</f>
        <v>6.952887149614922</v>
      </c>
      <c r="M36" s="181">
        <f>((K36-O36)*100)/O36</f>
        <v>59.18821921943162</v>
      </c>
      <c r="N36" s="181"/>
      <c r="O36" s="52">
        <v>5699.62</v>
      </c>
      <c r="Q36" s="72">
        <v>9073.123580274569</v>
      </c>
      <c r="R36" s="29">
        <v>7</v>
      </c>
    </row>
    <row r="37" spans="1:18" ht="12.75">
      <c r="A37" s="29" t="s">
        <v>24</v>
      </c>
      <c r="B37" s="72">
        <v>5723.08</v>
      </c>
      <c r="C37" s="51">
        <v>5695.8</v>
      </c>
      <c r="D37" s="53">
        <v>5869.49</v>
      </c>
      <c r="E37" s="72">
        <v>6047.48</v>
      </c>
      <c r="F37" s="72">
        <v>6412.16</v>
      </c>
      <c r="G37" s="72">
        <v>6792.21</v>
      </c>
      <c r="H37" s="51">
        <v>7085.97</v>
      </c>
      <c r="I37" s="72">
        <v>7593.66</v>
      </c>
      <c r="J37" s="72">
        <v>7910.1</v>
      </c>
      <c r="K37" s="72">
        <v>8167.320168740276</v>
      </c>
      <c r="L37" s="181">
        <f>(K37-J37)*100/J37</f>
        <v>3.251794145968771</v>
      </c>
      <c r="M37" s="181">
        <f>((K37-O37)*100)/O37</f>
        <v>48.373175950577085</v>
      </c>
      <c r="N37" s="181"/>
      <c r="O37" s="52">
        <v>5504.58</v>
      </c>
      <c r="Q37" s="72">
        <v>8167.320168740276</v>
      </c>
      <c r="R37" s="29">
        <v>22</v>
      </c>
    </row>
    <row r="38" spans="1:18" ht="12.75">
      <c r="A38" s="29" t="s">
        <v>25</v>
      </c>
      <c r="B38" s="72">
        <v>5526.54</v>
      </c>
      <c r="C38" s="51">
        <v>5567.09</v>
      </c>
      <c r="D38" s="53">
        <v>5882.29</v>
      </c>
      <c r="E38" s="72">
        <v>6216.07</v>
      </c>
      <c r="F38" s="72">
        <v>6580.28</v>
      </c>
      <c r="G38" s="72">
        <v>7011.51</v>
      </c>
      <c r="H38" s="51">
        <v>7686.17</v>
      </c>
      <c r="I38" s="72">
        <v>7948.4</v>
      </c>
      <c r="J38" s="72">
        <v>8298.92</v>
      </c>
      <c r="K38" s="72">
        <v>8642.934324487047</v>
      </c>
      <c r="L38" s="181">
        <f>(K38-J38)*100/J38</f>
        <v>4.145290284603863</v>
      </c>
      <c r="M38" s="181">
        <f>((K38-O38)*100)/O38</f>
        <v>62.90057437801301</v>
      </c>
      <c r="N38" s="181"/>
      <c r="O38" s="52">
        <v>5305.65</v>
      </c>
      <c r="Q38" s="72">
        <v>8642.934324487047</v>
      </c>
      <c r="R38" s="29">
        <v>14</v>
      </c>
    </row>
    <row r="39" spans="1:19" ht="12.75">
      <c r="A39" s="40" t="s">
        <v>26</v>
      </c>
      <c r="B39" s="54">
        <v>6304.4</v>
      </c>
      <c r="C39" s="51">
        <v>6399.96</v>
      </c>
      <c r="D39" s="54">
        <v>6649.65</v>
      </c>
      <c r="E39" s="54">
        <v>7027.51</v>
      </c>
      <c r="F39" s="54">
        <v>7409.32</v>
      </c>
      <c r="G39" s="54">
        <v>7769.11</v>
      </c>
      <c r="H39" s="158">
        <v>8506.95</v>
      </c>
      <c r="I39" s="54">
        <v>9417.95</v>
      </c>
      <c r="J39" s="54">
        <v>10749.71</v>
      </c>
      <c r="K39" s="54">
        <v>10672.955891949121</v>
      </c>
      <c r="L39" s="182">
        <f>(K39-J39)*100/J39</f>
        <v>-0.7140109644900015</v>
      </c>
      <c r="M39" s="182">
        <f>((K39-O39)*100)/O39</f>
        <v>68.40158875239231</v>
      </c>
      <c r="N39" s="181"/>
      <c r="O39" s="52">
        <v>6337.8</v>
      </c>
      <c r="Q39" s="54">
        <v>10672.955891949121</v>
      </c>
      <c r="R39" s="40">
        <v>2</v>
      </c>
      <c r="S39" s="40"/>
    </row>
    <row r="40" spans="1:15" ht="12.75">
      <c r="A40" s="29" t="s">
        <v>53</v>
      </c>
      <c r="B40" s="36"/>
      <c r="C40" s="36"/>
      <c r="D40" s="36"/>
      <c r="E40" s="36"/>
      <c r="F40" s="36"/>
      <c r="G40" s="53"/>
      <c r="H40" s="53"/>
      <c r="I40" s="53"/>
      <c r="J40" s="53"/>
      <c r="K40" s="53"/>
      <c r="L40" s="53"/>
      <c r="M40" s="53"/>
      <c r="N40" s="53"/>
      <c r="O40" s="41"/>
    </row>
    <row r="41" spans="1:15" ht="12.75">
      <c r="A41" s="29" t="s">
        <v>54</v>
      </c>
      <c r="G41" s="53"/>
      <c r="H41" s="53"/>
      <c r="I41" s="53"/>
      <c r="J41" s="53"/>
      <c r="K41" s="53"/>
      <c r="L41" s="53"/>
      <c r="M41" s="53"/>
      <c r="N41" s="53"/>
      <c r="O41" s="35"/>
    </row>
    <row r="42" spans="7:15" ht="12.75">
      <c r="G42" s="53"/>
      <c r="H42" s="53"/>
      <c r="I42" s="53"/>
      <c r="J42" s="53"/>
      <c r="K42" s="53"/>
      <c r="L42" s="53"/>
      <c r="M42" s="53"/>
      <c r="N42" s="53"/>
      <c r="O42" s="35"/>
    </row>
    <row r="43" spans="7:15" ht="12.75">
      <c r="G43" s="53"/>
      <c r="H43" s="53"/>
      <c r="I43" s="53"/>
      <c r="J43" s="53"/>
      <c r="K43" s="53"/>
      <c r="L43" s="53"/>
      <c r="M43" s="53"/>
      <c r="N43" s="53"/>
      <c r="O43" s="35"/>
    </row>
    <row r="44" spans="7:15" ht="12.75">
      <c r="G44" s="53"/>
      <c r="H44" s="53"/>
      <c r="I44" s="53"/>
      <c r="J44" s="53"/>
      <c r="K44" s="53"/>
      <c r="L44" s="53"/>
      <c r="M44" s="53"/>
      <c r="N44" s="53"/>
      <c r="O44" s="35"/>
    </row>
    <row r="45" spans="7:15" ht="12.75">
      <c r="G45" s="53"/>
      <c r="H45" s="53"/>
      <c r="I45" s="53"/>
      <c r="J45" s="53"/>
      <c r="K45" s="53"/>
      <c r="L45" s="53"/>
      <c r="M45" s="53"/>
      <c r="N45" s="53"/>
      <c r="O45" s="35"/>
    </row>
    <row r="46" spans="7:15" ht="12.75">
      <c r="G46" s="53"/>
      <c r="H46" s="53"/>
      <c r="I46" s="53"/>
      <c r="J46" s="53"/>
      <c r="K46" s="53"/>
      <c r="L46" s="53"/>
      <c r="M46" s="53"/>
      <c r="N46" s="53"/>
      <c r="O46" s="35"/>
    </row>
    <row r="47" spans="7:15" ht="12.75">
      <c r="G47" s="53"/>
      <c r="H47" s="53"/>
      <c r="I47" s="53"/>
      <c r="J47" s="53"/>
      <c r="K47" s="53"/>
      <c r="L47" s="53"/>
      <c r="M47" s="53"/>
      <c r="N47" s="53"/>
      <c r="O47" s="35"/>
    </row>
    <row r="48" spans="7:15" ht="12.75">
      <c r="G48" s="53"/>
      <c r="H48" s="53"/>
      <c r="I48" s="53"/>
      <c r="J48" s="53"/>
      <c r="K48" s="53"/>
      <c r="L48" s="53"/>
      <c r="M48" s="53"/>
      <c r="N48" s="53"/>
      <c r="O48" s="35"/>
    </row>
    <row r="49" spans="7:15" ht="12.75">
      <c r="G49" s="53"/>
      <c r="H49" s="53"/>
      <c r="I49" s="53"/>
      <c r="J49" s="53"/>
      <c r="K49" s="53"/>
      <c r="L49" s="53"/>
      <c r="M49" s="53"/>
      <c r="N49" s="53"/>
      <c r="O49" s="35"/>
    </row>
    <row r="50" spans="7:15" ht="12.75">
      <c r="G50" s="53"/>
      <c r="H50" s="53"/>
      <c r="I50" s="53"/>
      <c r="J50" s="53"/>
      <c r="K50" s="53"/>
      <c r="L50" s="53"/>
      <c r="M50" s="53"/>
      <c r="N50" s="53"/>
      <c r="O50" s="35"/>
    </row>
    <row r="51" spans="7:15" ht="12.75">
      <c r="G51" s="53"/>
      <c r="H51" s="53"/>
      <c r="I51" s="53"/>
      <c r="J51" s="53"/>
      <c r="K51" s="53"/>
      <c r="L51" s="53"/>
      <c r="M51" s="53"/>
      <c r="N51" s="53"/>
      <c r="O51" s="35"/>
    </row>
    <row r="52" spans="7:15" ht="12.75">
      <c r="G52" s="53"/>
      <c r="H52" s="53"/>
      <c r="I52" s="53"/>
      <c r="J52" s="53"/>
      <c r="K52" s="53"/>
      <c r="L52" s="53"/>
      <c r="M52" s="53"/>
      <c r="N52" s="53"/>
      <c r="O52" s="35"/>
    </row>
    <row r="53" spans="7:15" ht="12.75">
      <c r="G53" s="53"/>
      <c r="H53" s="53"/>
      <c r="I53" s="53"/>
      <c r="J53" s="53"/>
      <c r="K53" s="53"/>
      <c r="L53" s="53"/>
      <c r="M53" s="53"/>
      <c r="N53" s="53"/>
      <c r="O53" s="35"/>
    </row>
    <row r="54" spans="7:14" ht="12.75">
      <c r="G54" s="53"/>
      <c r="H54" s="53"/>
      <c r="I54" s="53"/>
      <c r="J54" s="53"/>
      <c r="K54" s="53"/>
      <c r="L54" s="53"/>
      <c r="M54" s="53"/>
      <c r="N54" s="53"/>
    </row>
    <row r="55" spans="7:14" ht="12.75">
      <c r="G55" s="53"/>
      <c r="H55" s="53"/>
      <c r="I55" s="53"/>
      <c r="J55" s="53"/>
      <c r="K55" s="53"/>
      <c r="L55" s="53"/>
      <c r="M55" s="53"/>
      <c r="N55" s="53"/>
    </row>
    <row r="56" spans="7:14" ht="12.75">
      <c r="G56" s="53"/>
      <c r="H56" s="53"/>
      <c r="I56" s="53"/>
      <c r="J56" s="53"/>
      <c r="K56" s="53"/>
      <c r="L56" s="53"/>
      <c r="M56" s="53"/>
      <c r="N56" s="53"/>
    </row>
    <row r="57" spans="7:14" ht="12.75">
      <c r="G57" s="53"/>
      <c r="H57" s="53"/>
      <c r="I57" s="53"/>
      <c r="J57" s="53"/>
      <c r="K57" s="53"/>
      <c r="L57" s="53"/>
      <c r="M57" s="53"/>
      <c r="N57" s="53"/>
    </row>
    <row r="58" spans="7:14" ht="12.75">
      <c r="G58" s="53"/>
      <c r="H58" s="53"/>
      <c r="I58" s="53"/>
      <c r="J58" s="53"/>
      <c r="K58" s="53"/>
      <c r="L58" s="53"/>
      <c r="M58" s="53"/>
      <c r="N58" s="53"/>
    </row>
    <row r="59" spans="7:14" ht="12.75">
      <c r="G59" s="53"/>
      <c r="H59" s="53"/>
      <c r="I59" s="53"/>
      <c r="J59" s="53"/>
      <c r="K59" s="53"/>
      <c r="L59" s="53"/>
      <c r="M59" s="53"/>
      <c r="N59" s="53"/>
    </row>
    <row r="60" spans="7:14" ht="12.75">
      <c r="G60" s="53"/>
      <c r="H60" s="53"/>
      <c r="I60" s="53"/>
      <c r="J60" s="53"/>
      <c r="K60" s="53"/>
      <c r="L60" s="53"/>
      <c r="M60" s="53"/>
      <c r="N60" s="53"/>
    </row>
    <row r="61" spans="7:14" ht="12.75">
      <c r="G61" s="53"/>
      <c r="H61" s="53"/>
      <c r="I61" s="53"/>
      <c r="J61" s="53"/>
      <c r="K61" s="53"/>
      <c r="L61" s="53"/>
      <c r="M61" s="53"/>
      <c r="N61" s="53"/>
    </row>
    <row r="62" spans="7:14" ht="12.75">
      <c r="G62" s="53"/>
      <c r="H62" s="53"/>
      <c r="I62" s="53"/>
      <c r="J62" s="53"/>
      <c r="K62" s="53"/>
      <c r="L62" s="53"/>
      <c r="M62" s="53"/>
      <c r="N62" s="53"/>
    </row>
    <row r="63" spans="7:14" ht="12.75">
      <c r="G63" s="53"/>
      <c r="H63" s="53"/>
      <c r="I63" s="53"/>
      <c r="J63" s="53"/>
      <c r="K63" s="53"/>
      <c r="L63" s="53"/>
      <c r="M63" s="53"/>
      <c r="N63" s="53"/>
    </row>
    <row r="64" spans="7:14" ht="12.75">
      <c r="G64" s="53"/>
      <c r="H64" s="53"/>
      <c r="I64" s="53"/>
      <c r="J64" s="53"/>
      <c r="K64" s="53"/>
      <c r="L64" s="53"/>
      <c r="M64" s="53"/>
      <c r="N64" s="53"/>
    </row>
    <row r="65" spans="7:14" ht="12.75">
      <c r="G65" s="53"/>
      <c r="H65" s="53"/>
      <c r="I65" s="53"/>
      <c r="J65" s="53"/>
      <c r="K65" s="53"/>
      <c r="L65" s="53"/>
      <c r="M65" s="53"/>
      <c r="N65" s="53"/>
    </row>
    <row r="66" spans="7:14" ht="12.75">
      <c r="G66" s="53"/>
      <c r="H66" s="53"/>
      <c r="I66" s="53"/>
      <c r="J66" s="53"/>
      <c r="K66" s="53"/>
      <c r="L66" s="53"/>
      <c r="M66" s="53"/>
      <c r="N66" s="53"/>
    </row>
    <row r="67" spans="7:14" ht="12.75">
      <c r="G67" s="53"/>
      <c r="H67" s="53"/>
      <c r="I67" s="53"/>
      <c r="J67" s="53"/>
      <c r="K67" s="53"/>
      <c r="L67" s="53"/>
      <c r="M67" s="53"/>
      <c r="N67" s="53"/>
    </row>
    <row r="68" spans="7:14" ht="12.75">
      <c r="G68" s="53"/>
      <c r="H68" s="53"/>
      <c r="I68" s="53"/>
      <c r="J68" s="53"/>
      <c r="K68" s="53"/>
      <c r="L68" s="53"/>
      <c r="M68" s="53"/>
      <c r="N68" s="53"/>
    </row>
    <row r="69" spans="7:14" ht="12.75">
      <c r="G69" s="53"/>
      <c r="H69" s="53"/>
      <c r="I69" s="53"/>
      <c r="J69" s="53"/>
      <c r="K69" s="53"/>
      <c r="L69" s="53"/>
      <c r="M69" s="53"/>
      <c r="N69" s="53"/>
    </row>
    <row r="70" spans="7:14" ht="12.75">
      <c r="G70" s="53"/>
      <c r="H70" s="53"/>
      <c r="I70" s="53"/>
      <c r="J70" s="53"/>
      <c r="K70" s="53"/>
      <c r="L70" s="53"/>
      <c r="M70" s="53"/>
      <c r="N70" s="53"/>
    </row>
    <row r="71" spans="7:14" ht="12.75">
      <c r="G71" s="53"/>
      <c r="H71" s="53"/>
      <c r="I71" s="53"/>
      <c r="J71" s="53"/>
      <c r="K71" s="53"/>
      <c r="L71" s="53"/>
      <c r="M71" s="53"/>
      <c r="N71" s="53"/>
    </row>
    <row r="72" spans="7:14" ht="12.75">
      <c r="G72" s="53"/>
      <c r="H72" s="53"/>
      <c r="I72" s="53"/>
      <c r="J72" s="53"/>
      <c r="K72" s="53"/>
      <c r="L72" s="53"/>
      <c r="M72" s="53"/>
      <c r="N72" s="53"/>
    </row>
    <row r="73" spans="7:14" ht="12.75">
      <c r="G73" s="53"/>
      <c r="H73" s="53"/>
      <c r="I73" s="53"/>
      <c r="J73" s="53"/>
      <c r="K73" s="53"/>
      <c r="L73" s="53"/>
      <c r="M73" s="53"/>
      <c r="N73" s="53"/>
    </row>
    <row r="74" spans="7:14" ht="12.75">
      <c r="G74" s="53"/>
      <c r="H74" s="53"/>
      <c r="I74" s="53"/>
      <c r="J74" s="53"/>
      <c r="K74" s="53"/>
      <c r="L74" s="53"/>
      <c r="M74" s="53"/>
      <c r="N74" s="53"/>
    </row>
    <row r="75" spans="7:14" ht="12.75">
      <c r="G75" s="53"/>
      <c r="H75" s="53"/>
      <c r="I75" s="53"/>
      <c r="J75" s="53"/>
      <c r="K75" s="53"/>
      <c r="L75" s="53"/>
      <c r="M75" s="53"/>
      <c r="N75" s="53"/>
    </row>
  </sheetData>
  <mergeCells count="9">
    <mergeCell ref="A1:M1"/>
    <mergeCell ref="A3:M3"/>
    <mergeCell ref="A4:M4"/>
    <mergeCell ref="R9:S9"/>
    <mergeCell ref="Q6:S6"/>
    <mergeCell ref="L7:M7"/>
    <mergeCell ref="Q5:S5"/>
    <mergeCell ref="Q7:S7"/>
    <mergeCell ref="Q8:S8"/>
  </mergeCells>
  <printOptions/>
  <pageMargins left="0.61" right="0.64" top="1" bottom="1" header="0.5" footer="0.5"/>
  <pageSetup fitToHeight="1" fitToWidth="1" orientation="landscape" scale="74" r:id="rId1"/>
  <headerFooter alignWithMargins="0">
    <oddFooter>&amp;L&amp;"Lucida Sans,Italic"&amp;10MSDE-DBS  1 / 2006&amp;C-15 -&amp;R&amp;"Lucida Sans,Italic"&amp;10Selected Financial Data - Part 4</oddFooter>
  </headerFooter>
  <rowBreaks count="1" manualBreakCount="1">
    <brk id="4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workbookViewId="0" topLeftCell="H2">
      <pane xSplit="14925" topLeftCell="A8" activePane="topLeft" state="split"/>
      <selection pane="topLeft" activeCell="P2" sqref="P2"/>
      <selection pane="topRight" activeCell="X3" sqref="X3"/>
    </sheetView>
  </sheetViews>
  <sheetFormatPr defaultColWidth="9.00390625" defaultRowHeight="15.75"/>
  <cols>
    <col min="1" max="1" width="15.50390625" style="1" customWidth="1"/>
    <col min="2" max="12" width="12.625" style="1" customWidth="1"/>
    <col min="13" max="15" width="6.625" style="1" customWidth="1"/>
    <col min="16" max="17" width="10.125" style="3" customWidth="1"/>
    <col min="18" max="18" width="14.125" style="3" customWidth="1"/>
    <col min="19" max="19" width="11.75390625" style="3" customWidth="1"/>
    <col min="20" max="20" width="10.125" style="160" customWidth="1"/>
    <col min="21" max="21" width="10.125" style="96" customWidth="1"/>
    <col min="22" max="22" width="10.125" style="3" customWidth="1"/>
    <col min="23" max="16384" width="10.00390625" style="3" customWidth="1"/>
  </cols>
  <sheetData>
    <row r="1" spans="1:15" ht="15.75" customHeight="1">
      <c r="A1" s="228" t="s">
        <v>51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08"/>
    </row>
    <row r="2" spans="1:16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219" t="s">
        <v>181</v>
      </c>
    </row>
    <row r="3" spans="1:15" ht="12.75">
      <c r="A3" s="228" t="s">
        <v>47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108"/>
    </row>
    <row r="4" spans="1:15" ht="12.75">
      <c r="A4" s="228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108"/>
    </row>
    <row r="5" spans="1:18" ht="13.5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R5" s="3" t="s">
        <v>175</v>
      </c>
    </row>
    <row r="6" spans="1:15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31"/>
      <c r="M6" s="5"/>
      <c r="N6" s="5"/>
      <c r="O6" s="5"/>
    </row>
    <row r="7" spans="1:21" ht="16.5" thickTop="1">
      <c r="A7" s="7"/>
      <c r="B7" s="7"/>
      <c r="C7" s="7"/>
      <c r="D7" s="7"/>
      <c r="E7" s="7"/>
      <c r="F7" s="7"/>
      <c r="H7" s="29"/>
      <c r="I7" s="29"/>
      <c r="L7" s="29"/>
      <c r="M7" s="239" t="s">
        <v>28</v>
      </c>
      <c r="N7" s="239"/>
      <c r="O7" s="211"/>
      <c r="P7" s="7"/>
      <c r="Q7" s="7"/>
      <c r="R7" s="93" t="s">
        <v>101</v>
      </c>
      <c r="S7" s="93" t="s">
        <v>104</v>
      </c>
      <c r="T7" s="192" t="s">
        <v>106</v>
      </c>
      <c r="U7" s="5"/>
    </row>
    <row r="8" spans="1:21" ht="15.75">
      <c r="A8" s="7"/>
      <c r="B8" s="7"/>
      <c r="C8" s="7"/>
      <c r="D8" s="7"/>
      <c r="E8" s="7"/>
      <c r="F8" s="7"/>
      <c r="G8" s="7"/>
      <c r="H8" s="32"/>
      <c r="I8" s="32"/>
      <c r="J8" s="7"/>
      <c r="K8" s="7"/>
      <c r="L8" s="32"/>
      <c r="M8" s="28" t="s">
        <v>59</v>
      </c>
      <c r="N8" s="28" t="s">
        <v>60</v>
      </c>
      <c r="O8" s="28"/>
      <c r="P8" s="7"/>
      <c r="Q8" s="7"/>
      <c r="R8" s="94" t="s">
        <v>102</v>
      </c>
      <c r="S8" s="94" t="s">
        <v>101</v>
      </c>
      <c r="T8" s="193" t="s">
        <v>101</v>
      </c>
      <c r="U8" s="94" t="s">
        <v>108</v>
      </c>
    </row>
    <row r="9" spans="1:21" ht="16.5" thickBot="1">
      <c r="A9" s="8" t="s">
        <v>1</v>
      </c>
      <c r="B9" s="33" t="s">
        <v>158</v>
      </c>
      <c r="C9" s="33" t="s">
        <v>159</v>
      </c>
      <c r="D9" s="33" t="s">
        <v>160</v>
      </c>
      <c r="E9" s="33" t="s">
        <v>161</v>
      </c>
      <c r="F9" s="33" t="s">
        <v>162</v>
      </c>
      <c r="G9" s="38" t="s">
        <v>163</v>
      </c>
      <c r="H9" s="38" t="s">
        <v>82</v>
      </c>
      <c r="I9" s="38" t="s">
        <v>83</v>
      </c>
      <c r="J9" s="38" t="s">
        <v>140</v>
      </c>
      <c r="K9" s="38" t="s">
        <v>149</v>
      </c>
      <c r="L9" s="38" t="s">
        <v>165</v>
      </c>
      <c r="M9" s="38" t="s">
        <v>58</v>
      </c>
      <c r="N9" s="38" t="s">
        <v>58</v>
      </c>
      <c r="O9" s="37"/>
      <c r="P9" s="7" t="s">
        <v>158</v>
      </c>
      <c r="Q9" s="7"/>
      <c r="R9" s="95" t="s">
        <v>103</v>
      </c>
      <c r="S9" s="95" t="s">
        <v>105</v>
      </c>
      <c r="T9" s="194" t="s">
        <v>107</v>
      </c>
      <c r="U9" s="95" t="s">
        <v>109</v>
      </c>
    </row>
    <row r="10" spans="1:22" ht="15.75">
      <c r="A10" s="7" t="s">
        <v>2</v>
      </c>
      <c r="B10" s="42">
        <f>2987.64+535.85</f>
        <v>3523.49</v>
      </c>
      <c r="C10" s="55">
        <v>3704.73</v>
      </c>
      <c r="D10" s="43">
        <f>3178.33+593.15</f>
        <v>3771.48</v>
      </c>
      <c r="E10" s="50">
        <v>3849.2</v>
      </c>
      <c r="F10" s="50">
        <v>3656.13</v>
      </c>
      <c r="G10" s="81">
        <v>3850.06</v>
      </c>
      <c r="H10" s="81">
        <v>4043.74</v>
      </c>
      <c r="I10" s="81">
        <v>4392.63</v>
      </c>
      <c r="J10" s="81">
        <v>4694.88</v>
      </c>
      <c r="K10" s="81">
        <v>4862.83</v>
      </c>
      <c r="L10" s="81">
        <v>4942.772826442548</v>
      </c>
      <c r="M10" s="12">
        <f>(L10-K10)/K10</f>
        <v>0.016439568408220688</v>
      </c>
      <c r="N10" s="12">
        <f>(L10-B10)/B10</f>
        <v>0.40280597545119984</v>
      </c>
      <c r="O10" s="12"/>
      <c r="P10" s="197">
        <v>3523.49</v>
      </c>
      <c r="Q10" s="197"/>
      <c r="R10" s="90">
        <v>3708.644272237635</v>
      </c>
      <c r="S10" s="90">
        <v>213.22738950898372</v>
      </c>
      <c r="T10" s="159">
        <v>92.57779468531777</v>
      </c>
      <c r="U10" s="195">
        <v>928.3233700106116</v>
      </c>
      <c r="V10" s="159">
        <f>SUM(R10:U10)</f>
        <v>4942.772826442548</v>
      </c>
    </row>
    <row r="11" spans="4:22" ht="15.75">
      <c r="D11" s="14"/>
      <c r="E11" s="29"/>
      <c r="F11" s="29"/>
      <c r="N11" s="84"/>
      <c r="O11" s="84"/>
      <c r="P11" s="42"/>
      <c r="Q11" s="42"/>
      <c r="R11" s="91"/>
      <c r="S11" s="91"/>
      <c r="U11" s="196"/>
      <c r="V11" s="96"/>
    </row>
    <row r="12" spans="1:22" ht="15.75">
      <c r="A12" s="1" t="s">
        <v>3</v>
      </c>
      <c r="B12" s="46">
        <f>2691.17+384.97</f>
        <v>3076.1400000000003</v>
      </c>
      <c r="C12" s="46">
        <v>3217.06</v>
      </c>
      <c r="D12" s="44">
        <f>2890.23+470.3</f>
        <v>3360.53</v>
      </c>
      <c r="E12" s="53">
        <v>3378.38</v>
      </c>
      <c r="F12" s="53">
        <v>3312.7</v>
      </c>
      <c r="G12" s="44">
        <v>3562.27</v>
      </c>
      <c r="H12" s="44">
        <v>3736.9</v>
      </c>
      <c r="I12" s="44">
        <v>3899.32</v>
      </c>
      <c r="J12" s="44">
        <v>4353.24</v>
      </c>
      <c r="K12" s="44">
        <v>4427.71</v>
      </c>
      <c r="L12" s="44">
        <v>4829.498271639961</v>
      </c>
      <c r="M12" s="15">
        <f>(L12-K12)*100/K12</f>
        <v>9.07440350971407</v>
      </c>
      <c r="N12" s="114">
        <f>((L12-B12)*100)/B12</f>
        <v>56.998649984719826</v>
      </c>
      <c r="O12" s="114"/>
      <c r="P12" s="44">
        <v>3076.1</v>
      </c>
      <c r="Q12" s="44"/>
      <c r="R12" s="91">
        <v>3483.6545615591576</v>
      </c>
      <c r="S12" s="91">
        <v>322.90073397670346</v>
      </c>
      <c r="T12" s="160">
        <v>89.81734280057495</v>
      </c>
      <c r="U12" s="160">
        <v>933.1256333035245</v>
      </c>
      <c r="V12" s="160">
        <f>SUM(R12:U12)</f>
        <v>4829.498271639961</v>
      </c>
    </row>
    <row r="13" spans="1:22" ht="15.75">
      <c r="A13" s="1" t="s">
        <v>4</v>
      </c>
      <c r="B13" s="46">
        <f>3047.86+489.19</f>
        <v>3537.05</v>
      </c>
      <c r="C13" s="46">
        <v>3723.53</v>
      </c>
      <c r="D13" s="44">
        <f>3185.09+520.24</f>
        <v>3705.33</v>
      </c>
      <c r="E13" s="53">
        <v>3718.17</v>
      </c>
      <c r="F13" s="53">
        <v>3442.61</v>
      </c>
      <c r="G13" s="44">
        <v>3568.9</v>
      </c>
      <c r="H13" s="44">
        <v>3792.15</v>
      </c>
      <c r="I13" s="44">
        <v>4169.31</v>
      </c>
      <c r="J13" s="44">
        <v>4377.38</v>
      </c>
      <c r="K13" s="44">
        <v>4547.35</v>
      </c>
      <c r="L13" s="44">
        <v>4653.954061090999</v>
      </c>
      <c r="M13" s="15">
        <f>(L13-K13)*100/K13</f>
        <v>2.3443117659955486</v>
      </c>
      <c r="N13" s="114">
        <f>((L13-B13)*100)/B13</f>
        <v>31.577276574857542</v>
      </c>
      <c r="O13" s="114"/>
      <c r="P13" s="45">
        <v>3537.05</v>
      </c>
      <c r="Q13" s="45"/>
      <c r="R13" s="91">
        <v>3420.08695421043</v>
      </c>
      <c r="S13" s="91">
        <v>259.083767779953</v>
      </c>
      <c r="T13" s="160">
        <v>143.5164476241601</v>
      </c>
      <c r="U13" s="160">
        <v>831.2668914764554</v>
      </c>
      <c r="V13" s="160">
        <f>SUM(R13:U13)</f>
        <v>4653.954061090999</v>
      </c>
    </row>
    <row r="14" spans="1:22" ht="15.75">
      <c r="A14" s="1" t="s">
        <v>5</v>
      </c>
      <c r="B14" s="46">
        <f>2490.13+692.48</f>
        <v>3182.61</v>
      </c>
      <c r="C14" s="46">
        <v>3459.36</v>
      </c>
      <c r="D14" s="44">
        <f>2803.59+887.57</f>
        <v>3691.1600000000003</v>
      </c>
      <c r="E14" s="53">
        <v>3779.48</v>
      </c>
      <c r="F14" s="53">
        <v>3750.06</v>
      </c>
      <c r="G14" s="44">
        <v>4082.53</v>
      </c>
      <c r="H14" s="44">
        <v>4195.28</v>
      </c>
      <c r="I14" s="44">
        <v>4838.53</v>
      </c>
      <c r="J14" s="44">
        <v>5261.24</v>
      </c>
      <c r="K14" s="44">
        <v>5492.31</v>
      </c>
      <c r="L14" s="44">
        <v>5165.544715807735</v>
      </c>
      <c r="M14" s="15">
        <f>(L14-K14)*100/K14</f>
        <v>-5.949505475697209</v>
      </c>
      <c r="N14" s="114">
        <f>((L14-B14)*100)/B14</f>
        <v>62.30530023495605</v>
      </c>
      <c r="O14" s="114"/>
      <c r="P14" s="45">
        <v>3182.61</v>
      </c>
      <c r="Q14" s="45"/>
      <c r="R14" s="91">
        <v>3486.033715452231</v>
      </c>
      <c r="S14" s="91">
        <v>133.91043122125123</v>
      </c>
      <c r="T14" s="160">
        <v>177.728996416687</v>
      </c>
      <c r="U14" s="160">
        <v>1367.8715727175659</v>
      </c>
      <c r="V14" s="160">
        <f>SUM(R14:U14)</f>
        <v>5165.544715807735</v>
      </c>
    </row>
    <row r="15" spans="1:22" ht="15.75">
      <c r="A15" s="1" t="s">
        <v>6</v>
      </c>
      <c r="B15" s="46">
        <f>3056.47+505.74</f>
        <v>3562.21</v>
      </c>
      <c r="C15" s="46">
        <v>3701.71</v>
      </c>
      <c r="D15" s="44">
        <f>3204.6+530.05</f>
        <v>3734.6499999999996</v>
      </c>
      <c r="E15" s="53">
        <v>3904.21</v>
      </c>
      <c r="F15" s="53">
        <v>3667.37</v>
      </c>
      <c r="G15" s="44">
        <v>3703.6</v>
      </c>
      <c r="H15" s="44">
        <v>3973.68</v>
      </c>
      <c r="I15" s="44">
        <v>4346.25</v>
      </c>
      <c r="J15" s="44">
        <v>4556.16</v>
      </c>
      <c r="K15" s="44">
        <v>4607.15</v>
      </c>
      <c r="L15" s="44">
        <v>4770.100471234543</v>
      </c>
      <c r="M15" s="15">
        <f>(L15-K15)*100/K15</f>
        <v>3.536903969580833</v>
      </c>
      <c r="N15" s="114">
        <f>((L15-B15)*100)/B15</f>
        <v>33.90845770559689</v>
      </c>
      <c r="O15" s="114"/>
      <c r="P15" s="45">
        <v>3562.21</v>
      </c>
      <c r="Q15" s="45"/>
      <c r="R15" s="91">
        <v>3543.459145923325</v>
      </c>
      <c r="S15" s="91">
        <v>223.1983500986323</v>
      </c>
      <c r="T15" s="160">
        <v>109.33618403559475</v>
      </c>
      <c r="U15" s="160">
        <v>894.1067911769914</v>
      </c>
      <c r="V15" s="160">
        <f>SUM(R15:U15)</f>
        <v>4770.100471234543</v>
      </c>
    </row>
    <row r="16" spans="1:22" ht="15.75">
      <c r="A16" s="1" t="s">
        <v>7</v>
      </c>
      <c r="B16" s="46">
        <f>2917.1+458.58</f>
        <v>3375.68</v>
      </c>
      <c r="C16" s="46">
        <v>3452.04</v>
      </c>
      <c r="D16" s="44">
        <f>3068.11+496.65</f>
        <v>3564.76</v>
      </c>
      <c r="E16" s="53">
        <v>3593.29</v>
      </c>
      <c r="F16" s="53">
        <v>3392.28</v>
      </c>
      <c r="G16" s="44">
        <v>3538.3</v>
      </c>
      <c r="H16" s="44">
        <v>3714.6</v>
      </c>
      <c r="I16" s="44">
        <v>3917.68</v>
      </c>
      <c r="J16" s="44">
        <v>4283.22</v>
      </c>
      <c r="K16" s="44">
        <v>4625.91</v>
      </c>
      <c r="L16" s="44">
        <v>4914.958007035849</v>
      </c>
      <c r="M16" s="15">
        <f>(L16-K16)*100/K16</f>
        <v>6.248457212437098</v>
      </c>
      <c r="N16" s="114">
        <f>((L16-B16)*100)/B16</f>
        <v>45.599049881382385</v>
      </c>
      <c r="O16" s="114"/>
      <c r="P16" s="45">
        <v>3375.68</v>
      </c>
      <c r="Q16" s="45"/>
      <c r="R16" s="91">
        <v>3797.893947321294</v>
      </c>
      <c r="S16" s="91">
        <v>189.16084396941557</v>
      </c>
      <c r="T16" s="160">
        <v>50.23465456120264</v>
      </c>
      <c r="U16" s="160">
        <v>877.6685611839367</v>
      </c>
      <c r="V16" s="160">
        <f>SUM(R16:U16)</f>
        <v>4914.958007035849</v>
      </c>
    </row>
    <row r="17" spans="2:22" ht="15.75">
      <c r="B17" s="46"/>
      <c r="C17" s="46"/>
      <c r="D17" s="44"/>
      <c r="E17" s="53"/>
      <c r="F17" s="53"/>
      <c r="G17" s="44"/>
      <c r="H17" s="44"/>
      <c r="I17" s="44"/>
      <c r="J17" s="44"/>
      <c r="K17" s="44"/>
      <c r="L17" s="44"/>
      <c r="M17" s="15"/>
      <c r="N17" s="16"/>
      <c r="O17" s="16"/>
      <c r="P17" s="45"/>
      <c r="Q17" s="45"/>
      <c r="R17"/>
      <c r="S17"/>
      <c r="U17" s="160"/>
      <c r="V17" s="160"/>
    </row>
    <row r="18" spans="1:22" ht="15.75">
      <c r="A18" s="1" t="s">
        <v>8</v>
      </c>
      <c r="B18" s="46">
        <f>2621.91+338.79</f>
        <v>2960.7</v>
      </c>
      <c r="C18" s="46">
        <v>3080.34</v>
      </c>
      <c r="D18" s="44">
        <f>2781.2+384.77</f>
        <v>3165.97</v>
      </c>
      <c r="E18" s="53">
        <v>3342.7</v>
      </c>
      <c r="F18" s="53">
        <v>3152</v>
      </c>
      <c r="G18" s="44">
        <v>3384.52</v>
      </c>
      <c r="H18" s="44">
        <v>3542.67</v>
      </c>
      <c r="I18" s="44">
        <v>3721.11</v>
      </c>
      <c r="J18" s="44">
        <v>3992.21</v>
      </c>
      <c r="K18" s="44">
        <v>4273.05</v>
      </c>
      <c r="L18" s="44">
        <v>4585.100008520065</v>
      </c>
      <c r="M18" s="15">
        <f>(L18-K18)*100/K18</f>
        <v>7.302746481320478</v>
      </c>
      <c r="N18" s="114">
        <f>((L18-B18)*100)/B18</f>
        <v>54.86540373965837</v>
      </c>
      <c r="O18" s="114"/>
      <c r="P18" s="45">
        <v>2960.7</v>
      </c>
      <c r="Q18" s="45"/>
      <c r="R18" s="91">
        <v>3520.2993250215363</v>
      </c>
      <c r="S18" s="91">
        <v>221.56941107419087</v>
      </c>
      <c r="T18" s="160">
        <v>110.54057160167751</v>
      </c>
      <c r="U18" s="160">
        <v>732.6907008226597</v>
      </c>
      <c r="V18" s="160">
        <f>SUM(R18:U18)</f>
        <v>4585.100008520065</v>
      </c>
    </row>
    <row r="19" spans="1:22" ht="15.75">
      <c r="A19" s="1" t="s">
        <v>9</v>
      </c>
      <c r="B19" s="46">
        <f>2803.06+389.06</f>
        <v>3192.12</v>
      </c>
      <c r="C19" s="46">
        <v>3378.47</v>
      </c>
      <c r="D19" s="44">
        <f>2910.01+441.9</f>
        <v>3351.9100000000003</v>
      </c>
      <c r="E19" s="53">
        <v>3341.7</v>
      </c>
      <c r="F19" s="53">
        <v>3136.44</v>
      </c>
      <c r="G19" s="44">
        <v>3338.92</v>
      </c>
      <c r="H19" s="44">
        <v>3488.05</v>
      </c>
      <c r="I19" s="44">
        <v>3767.64</v>
      </c>
      <c r="J19" s="44">
        <v>3991.86</v>
      </c>
      <c r="K19" s="44">
        <v>4261.28</v>
      </c>
      <c r="L19" s="44">
        <v>4441.2624556093715</v>
      </c>
      <c r="M19" s="15">
        <f>(L19-K19)*100/K19</f>
        <v>4.223671188219778</v>
      </c>
      <c r="N19" s="114">
        <f>((L19-B19)*100)/B19</f>
        <v>39.13206444649235</v>
      </c>
      <c r="O19" s="114"/>
      <c r="P19" s="45">
        <v>3192.12</v>
      </c>
      <c r="Q19" s="45"/>
      <c r="R19" s="91">
        <v>3405.7487246387177</v>
      </c>
      <c r="S19" s="91">
        <v>235.43054185788012</v>
      </c>
      <c r="T19" s="160">
        <v>78.17632739508183</v>
      </c>
      <c r="U19" s="160">
        <v>721.9068617176914</v>
      </c>
      <c r="V19" s="160">
        <f>SUM(R19:U19)</f>
        <v>4441.2624556093715</v>
      </c>
    </row>
    <row r="20" spans="1:22" ht="15.75">
      <c r="A20" s="1" t="s">
        <v>10</v>
      </c>
      <c r="B20" s="46">
        <f>2707.62+465.72</f>
        <v>3173.34</v>
      </c>
      <c r="C20" s="46">
        <v>3352.2</v>
      </c>
      <c r="D20" s="44">
        <f>2892.03+521.46</f>
        <v>3413.4900000000002</v>
      </c>
      <c r="E20" s="53">
        <v>3501.66</v>
      </c>
      <c r="F20" s="53">
        <v>3258.69</v>
      </c>
      <c r="G20" s="44">
        <v>3485.08</v>
      </c>
      <c r="H20" s="44">
        <v>3622.29</v>
      </c>
      <c r="I20" s="44">
        <v>3884.3</v>
      </c>
      <c r="J20" s="44">
        <v>4072.14</v>
      </c>
      <c r="K20" s="44">
        <v>4235.71</v>
      </c>
      <c r="L20" s="44">
        <v>4396.543548567969</v>
      </c>
      <c r="M20" s="15">
        <f>(L20-K20)*100/K20</f>
        <v>3.7970859328889146</v>
      </c>
      <c r="N20" s="114">
        <f>((L20-B20)*100)/B20</f>
        <v>38.54624933250042</v>
      </c>
      <c r="O20" s="114"/>
      <c r="P20" s="45">
        <v>3173.34</v>
      </c>
      <c r="Q20" s="45"/>
      <c r="R20" s="91">
        <v>3270.214053423645</v>
      </c>
      <c r="S20" s="91">
        <v>169.2061311913466</v>
      </c>
      <c r="T20" s="160">
        <v>77.29081058220044</v>
      </c>
      <c r="U20" s="160">
        <v>879.8325533707774</v>
      </c>
      <c r="V20" s="160">
        <f>SUM(R20:U20)</f>
        <v>4396.543548567969</v>
      </c>
    </row>
    <row r="21" spans="1:22" ht="15.75">
      <c r="A21" s="1" t="s">
        <v>11</v>
      </c>
      <c r="B21" s="46">
        <f>2845.49+507.46</f>
        <v>3352.95</v>
      </c>
      <c r="C21" s="46">
        <v>3433.5</v>
      </c>
      <c r="D21" s="44">
        <f>2897.15+494.29</f>
        <v>3391.44</v>
      </c>
      <c r="E21" s="53">
        <v>3546.04</v>
      </c>
      <c r="F21" s="53">
        <v>3247.98</v>
      </c>
      <c r="G21" s="44">
        <v>3390.25</v>
      </c>
      <c r="H21" s="44">
        <v>3608.8</v>
      </c>
      <c r="I21" s="44">
        <v>3852.68</v>
      </c>
      <c r="J21" s="44">
        <v>4095.48</v>
      </c>
      <c r="K21" s="44">
        <v>4282.12</v>
      </c>
      <c r="L21" s="44">
        <v>4366.40617762389</v>
      </c>
      <c r="M21" s="15">
        <f>(L21-K21)*100/K21</f>
        <v>1.9683282491824068</v>
      </c>
      <c r="N21" s="114">
        <f>((L21-B21)*100)/B21</f>
        <v>30.225806457713055</v>
      </c>
      <c r="O21" s="114"/>
      <c r="P21" s="45">
        <v>3352.95</v>
      </c>
      <c r="Q21" s="45"/>
      <c r="R21" s="91">
        <v>3367.2844352938714</v>
      </c>
      <c r="S21" s="91">
        <v>236.38509265366542</v>
      </c>
      <c r="T21" s="160">
        <v>46.99939805167719</v>
      </c>
      <c r="U21" s="160">
        <v>715.7372516246754</v>
      </c>
      <c r="V21" s="160">
        <f>SUM(R21:U21)</f>
        <v>4366.40617762389</v>
      </c>
    </row>
    <row r="22" spans="1:22" ht="15.75">
      <c r="A22" s="1" t="s">
        <v>12</v>
      </c>
      <c r="B22" s="46">
        <f>2834.06+448.05</f>
        <v>3282.11</v>
      </c>
      <c r="C22" s="46">
        <v>3532.64</v>
      </c>
      <c r="D22" s="44">
        <f>3042.02+502.85</f>
        <v>3544.87</v>
      </c>
      <c r="E22" s="53">
        <v>3782.27</v>
      </c>
      <c r="F22" s="53">
        <v>3668.21</v>
      </c>
      <c r="G22" s="44">
        <v>3767.53</v>
      </c>
      <c r="H22" s="44">
        <v>4079.3</v>
      </c>
      <c r="I22" s="44">
        <v>4456.37</v>
      </c>
      <c r="J22" s="44">
        <v>4382.88</v>
      </c>
      <c r="K22" s="44">
        <v>4720.93</v>
      </c>
      <c r="L22" s="44">
        <v>4913.801672079029</v>
      </c>
      <c r="M22" s="15">
        <f>(L22-K22)*100/K22</f>
        <v>4.085459264997128</v>
      </c>
      <c r="N22" s="114">
        <f>((L22-B22)*100)/B22</f>
        <v>49.714716206313284</v>
      </c>
      <c r="O22" s="114"/>
      <c r="P22" s="45">
        <v>3282.11</v>
      </c>
      <c r="Q22" s="45"/>
      <c r="R22" s="91">
        <v>3612.76742581195</v>
      </c>
      <c r="S22" s="91">
        <v>303.16659014713935</v>
      </c>
      <c r="T22" s="160">
        <v>199.18900836881545</v>
      </c>
      <c r="U22" s="160">
        <v>798.6786477511238</v>
      </c>
      <c r="V22" s="160">
        <f>SUM(R22:U22)</f>
        <v>4913.801672079029</v>
      </c>
    </row>
    <row r="23" spans="2:22" ht="15.75">
      <c r="B23" s="46"/>
      <c r="C23" s="46"/>
      <c r="D23" s="44"/>
      <c r="E23" s="53"/>
      <c r="F23" s="53"/>
      <c r="G23" s="44"/>
      <c r="H23" s="44"/>
      <c r="I23" s="44"/>
      <c r="J23" s="44"/>
      <c r="K23" s="44"/>
      <c r="L23" s="44"/>
      <c r="M23" s="15"/>
      <c r="N23" s="16"/>
      <c r="O23" s="16"/>
      <c r="P23" s="45"/>
      <c r="Q23" s="45"/>
      <c r="R23" s="91"/>
      <c r="S23" s="91"/>
      <c r="U23" s="160"/>
      <c r="V23" s="160"/>
    </row>
    <row r="24" spans="1:22" ht="15.75">
      <c r="A24" s="1" t="s">
        <v>13</v>
      </c>
      <c r="B24" s="46">
        <f>2882.93+393.73</f>
        <v>3276.66</v>
      </c>
      <c r="C24" s="46">
        <v>3468.41</v>
      </c>
      <c r="D24" s="44">
        <f>3020.1+431.55</f>
        <v>3451.65</v>
      </c>
      <c r="E24" s="53">
        <v>3454.18</v>
      </c>
      <c r="F24" s="53">
        <v>3317.06</v>
      </c>
      <c r="G24" s="44">
        <v>3511.87</v>
      </c>
      <c r="H24" s="44">
        <v>3646.57</v>
      </c>
      <c r="I24" s="44">
        <v>3889.25</v>
      </c>
      <c r="J24" s="44">
        <v>4161.26</v>
      </c>
      <c r="K24" s="44">
        <v>4338.91</v>
      </c>
      <c r="L24" s="44">
        <v>4581.200537810171</v>
      </c>
      <c r="M24" s="15">
        <f>(L24-K24)*100/K24</f>
        <v>5.584133752720646</v>
      </c>
      <c r="N24" s="114">
        <f>((L24-B24)*100)/B24</f>
        <v>39.81311877979929</v>
      </c>
      <c r="O24" s="114"/>
      <c r="P24" s="45">
        <v>3276.66</v>
      </c>
      <c r="Q24" s="45"/>
      <c r="R24" s="91">
        <v>3593.246052843132</v>
      </c>
      <c r="S24" s="91">
        <v>255.70869285599443</v>
      </c>
      <c r="T24" s="160">
        <v>55.05036470336031</v>
      </c>
      <c r="U24" s="160">
        <v>677.1954274076851</v>
      </c>
      <c r="V24" s="160">
        <f>SUM(R24:U24)</f>
        <v>4581.200537810171</v>
      </c>
    </row>
    <row r="25" spans="1:22" ht="15.75">
      <c r="A25" s="1" t="s">
        <v>14</v>
      </c>
      <c r="B25" s="46">
        <f>2671.05+401.92</f>
        <v>3072.9700000000003</v>
      </c>
      <c r="C25" s="46">
        <v>3254.81</v>
      </c>
      <c r="D25" s="44">
        <f>2934.34+424.37</f>
        <v>3358.71</v>
      </c>
      <c r="E25" s="53">
        <v>3558.03</v>
      </c>
      <c r="F25" s="53">
        <v>3433.41</v>
      </c>
      <c r="G25" s="44">
        <v>3581.33</v>
      </c>
      <c r="H25" s="44">
        <v>3733.58</v>
      </c>
      <c r="I25" s="44">
        <v>4059.82</v>
      </c>
      <c r="J25" s="44">
        <v>4369.6</v>
      </c>
      <c r="K25" s="44">
        <v>4490.06</v>
      </c>
      <c r="L25" s="44">
        <v>4642.61307903047</v>
      </c>
      <c r="M25" s="15">
        <f>(L25-K25)*100/K25</f>
        <v>3.397573284777246</v>
      </c>
      <c r="N25" s="114">
        <f>((L25-B25)*100)/B25</f>
        <v>51.07902384437431</v>
      </c>
      <c r="O25" s="114"/>
      <c r="P25" s="45">
        <v>3072.97</v>
      </c>
      <c r="Q25" s="45"/>
      <c r="R25" s="91">
        <v>3689.683539327017</v>
      </c>
      <c r="S25" s="91">
        <v>224.33722943722947</v>
      </c>
      <c r="T25" s="160">
        <v>80.25725578769057</v>
      </c>
      <c r="U25" s="160">
        <v>648.3350544785328</v>
      </c>
      <c r="V25" s="160">
        <f>SUM(R25:U25)</f>
        <v>4642.61307903047</v>
      </c>
    </row>
    <row r="26" spans="1:22" ht="15.75">
      <c r="A26" s="1" t="s">
        <v>15</v>
      </c>
      <c r="B26" s="46">
        <f>2820.47+365.37</f>
        <v>3185.8399999999997</v>
      </c>
      <c r="C26" s="46">
        <v>3378.61</v>
      </c>
      <c r="D26" s="44">
        <f>2992.77+428.76</f>
        <v>3421.5299999999997</v>
      </c>
      <c r="E26" s="53">
        <v>3474.71</v>
      </c>
      <c r="F26" s="53">
        <v>3334.61</v>
      </c>
      <c r="G26" s="44">
        <v>3429.73</v>
      </c>
      <c r="H26" s="44">
        <v>3565.27</v>
      </c>
      <c r="I26" s="44">
        <v>3781</v>
      </c>
      <c r="J26" s="44">
        <v>4084.61</v>
      </c>
      <c r="K26" s="44">
        <v>4008.7</v>
      </c>
      <c r="L26" s="44">
        <v>4082.5701683506727</v>
      </c>
      <c r="M26" s="15">
        <f>(L26-K26)*100/K26</f>
        <v>1.8427462357041657</v>
      </c>
      <c r="N26" s="114">
        <f>((L26-B26)*100)/B26</f>
        <v>28.14736987264499</v>
      </c>
      <c r="O26" s="114"/>
      <c r="P26" s="45">
        <v>3185.84</v>
      </c>
      <c r="Q26" s="45"/>
      <c r="R26" s="91">
        <v>3208.2694190427646</v>
      </c>
      <c r="S26" s="91">
        <v>171.8513489541171</v>
      </c>
      <c r="T26" s="160">
        <v>62.87139312805446</v>
      </c>
      <c r="U26" s="160">
        <v>639.5780072257367</v>
      </c>
      <c r="V26" s="160">
        <f>SUM(R26:U26)</f>
        <v>4082.5701683506727</v>
      </c>
    </row>
    <row r="27" spans="1:22" ht="15.75">
      <c r="A27" s="1" t="s">
        <v>16</v>
      </c>
      <c r="B27" s="46">
        <f>3180.92+564.69</f>
        <v>3745.61</v>
      </c>
      <c r="C27" s="46">
        <v>3931.89</v>
      </c>
      <c r="D27" s="44">
        <f>3445.87+615.57</f>
        <v>4061.44</v>
      </c>
      <c r="E27" s="53">
        <v>4064.03</v>
      </c>
      <c r="F27" s="53">
        <v>3802.87</v>
      </c>
      <c r="G27" s="44">
        <v>3974.61</v>
      </c>
      <c r="H27" s="44">
        <v>4304.01</v>
      </c>
      <c r="I27" s="44">
        <v>4714.94</v>
      </c>
      <c r="J27" s="44">
        <v>5059.77</v>
      </c>
      <c r="K27" s="44">
        <v>5074.37</v>
      </c>
      <c r="L27" s="44">
        <v>5687.551339715705</v>
      </c>
      <c r="M27" s="15">
        <f>(L27-K27)*100/K27</f>
        <v>12.08389099958625</v>
      </c>
      <c r="N27" s="114">
        <f>((L27-B27)*100)/B27</f>
        <v>51.84579653823288</v>
      </c>
      <c r="O27" s="114"/>
      <c r="P27" s="45">
        <v>3745.61</v>
      </c>
      <c r="Q27" s="45"/>
      <c r="R27" s="91">
        <v>4160.234484270134</v>
      </c>
      <c r="S27" s="91">
        <v>232.2619799134035</v>
      </c>
      <c r="T27" s="160">
        <v>60.468277148181784</v>
      </c>
      <c r="U27" s="160">
        <v>1234.5865983839851</v>
      </c>
      <c r="V27" s="160">
        <f>SUM(R27:U27)</f>
        <v>5687.551339715705</v>
      </c>
    </row>
    <row r="28" spans="1:22" ht="15.75">
      <c r="A28" s="1" t="s">
        <v>17</v>
      </c>
      <c r="B28" s="46">
        <f>3232.18+458.43</f>
        <v>3690.6099999999997</v>
      </c>
      <c r="C28" s="46">
        <v>3917.35</v>
      </c>
      <c r="D28" s="44">
        <f>3482.23+504.17</f>
        <v>3986.4</v>
      </c>
      <c r="E28" s="53">
        <v>4060.32</v>
      </c>
      <c r="F28" s="53">
        <v>4297.26</v>
      </c>
      <c r="G28" s="44">
        <v>4156.62</v>
      </c>
      <c r="H28" s="44">
        <v>4263.78</v>
      </c>
      <c r="I28" s="44">
        <v>4850.98</v>
      </c>
      <c r="J28" s="44">
        <v>5190.07</v>
      </c>
      <c r="K28" s="44">
        <v>5442.03</v>
      </c>
      <c r="L28" s="44">
        <v>5193.439442733349</v>
      </c>
      <c r="M28" s="15">
        <f>(L28-K28)*100/K28</f>
        <v>-4.567974767993757</v>
      </c>
      <c r="N28" s="114">
        <f>((L28-B28)*100)/B28</f>
        <v>40.72035361995305</v>
      </c>
      <c r="O28" s="114"/>
      <c r="P28" s="45">
        <v>3690.61</v>
      </c>
      <c r="Q28" s="45"/>
      <c r="R28" s="91">
        <v>4042.75856898622</v>
      </c>
      <c r="S28" s="91">
        <v>170.5972229327626</v>
      </c>
      <c r="T28" s="160">
        <v>123.43772851847987</v>
      </c>
      <c r="U28" s="160">
        <v>856.6459222958864</v>
      </c>
      <c r="V28" s="160">
        <f>SUM(R28:U28)</f>
        <v>5193.439442733349</v>
      </c>
    </row>
    <row r="29" spans="2:22" ht="15.75">
      <c r="B29" s="46"/>
      <c r="C29" s="46"/>
      <c r="D29" s="44"/>
      <c r="E29" s="53"/>
      <c r="F29" s="53"/>
      <c r="G29" s="44"/>
      <c r="H29" s="44"/>
      <c r="I29" s="44"/>
      <c r="J29" s="44"/>
      <c r="K29" s="44"/>
      <c r="L29" s="44"/>
      <c r="M29" s="15"/>
      <c r="N29" s="16"/>
      <c r="O29" s="16"/>
      <c r="P29" s="45"/>
      <c r="Q29" s="45"/>
      <c r="R29" s="91"/>
      <c r="S29" s="91"/>
      <c r="U29" s="160"/>
      <c r="V29" s="160"/>
    </row>
    <row r="30" spans="1:22" ht="15.75">
      <c r="A30" s="1" t="s">
        <v>18</v>
      </c>
      <c r="B30" s="46">
        <f>3831.15+654.25</f>
        <v>4485.4</v>
      </c>
      <c r="C30" s="46">
        <v>4610.23</v>
      </c>
      <c r="D30" s="44">
        <f>4008.99+697.5</f>
        <v>4706.49</v>
      </c>
      <c r="E30" s="53">
        <v>4783.18</v>
      </c>
      <c r="F30" s="53">
        <v>4514.96</v>
      </c>
      <c r="G30" s="44">
        <v>4744.66</v>
      </c>
      <c r="H30" s="44">
        <v>4970.18</v>
      </c>
      <c r="I30" s="44">
        <v>5404.41</v>
      </c>
      <c r="J30" s="44">
        <v>5770.06</v>
      </c>
      <c r="K30" s="44">
        <v>5993.99</v>
      </c>
      <c r="L30" s="44">
        <v>6193.8939228198815</v>
      </c>
      <c r="M30" s="15">
        <f>(L30-K30)*100/K30</f>
        <v>3.3350726781306226</v>
      </c>
      <c r="N30" s="114">
        <f>((L30-B30)*100)/B30</f>
        <v>38.0901128733197</v>
      </c>
      <c r="O30" s="114"/>
      <c r="P30" s="45">
        <v>4485.4</v>
      </c>
      <c r="Q30" s="45"/>
      <c r="R30" s="91">
        <v>4827.330820940245</v>
      </c>
      <c r="S30" s="91">
        <v>187.9286425515889</v>
      </c>
      <c r="T30" s="160">
        <v>75.86674830788506</v>
      </c>
      <c r="U30" s="160">
        <v>1102.7677110201626</v>
      </c>
      <c r="V30" s="160">
        <f>SUM(R30:U30)</f>
        <v>6193.8939228198815</v>
      </c>
    </row>
    <row r="31" spans="1:22" ht="15.75">
      <c r="A31" s="1" t="s">
        <v>19</v>
      </c>
      <c r="B31" s="46">
        <f>2779.06+542.31</f>
        <v>3321.37</v>
      </c>
      <c r="C31" s="46">
        <v>3516.4</v>
      </c>
      <c r="D31" s="44">
        <f>2971.57+578.08</f>
        <v>3549.65</v>
      </c>
      <c r="E31" s="53">
        <v>3586.77</v>
      </c>
      <c r="F31" s="53">
        <v>3401.77</v>
      </c>
      <c r="G31" s="44">
        <v>3630.78</v>
      </c>
      <c r="H31" s="44">
        <v>3775.18</v>
      </c>
      <c r="I31" s="44">
        <v>3943.81</v>
      </c>
      <c r="J31" s="44">
        <v>4226.47</v>
      </c>
      <c r="K31" s="44">
        <v>4467.32</v>
      </c>
      <c r="L31" s="44">
        <v>4300.891148670843</v>
      </c>
      <c r="M31" s="15">
        <f>(L31-K31)*100/K31</f>
        <v>-3.7254741395099686</v>
      </c>
      <c r="N31" s="114">
        <f>((L31-B31)*100)/B31</f>
        <v>29.491479379618745</v>
      </c>
      <c r="O31" s="114"/>
      <c r="P31" s="45">
        <v>3321.37</v>
      </c>
      <c r="Q31" s="45"/>
      <c r="R31" s="91">
        <v>3263.4767381730803</v>
      </c>
      <c r="S31" s="91">
        <v>210.46026986906404</v>
      </c>
      <c r="T31" s="160">
        <v>46.79613204079995</v>
      </c>
      <c r="U31" s="160">
        <v>780.1580085878985</v>
      </c>
      <c r="V31" s="160">
        <f>SUM(R31:U31)</f>
        <v>4300.891148670843</v>
      </c>
    </row>
    <row r="32" spans="1:22" ht="15.75">
      <c r="A32" s="1" t="s">
        <v>20</v>
      </c>
      <c r="B32" s="46">
        <f>2962.77+446.09</f>
        <v>3408.86</v>
      </c>
      <c r="C32" s="46">
        <v>3450.15</v>
      </c>
      <c r="D32" s="44">
        <f>2994.7+454.15</f>
        <v>3448.85</v>
      </c>
      <c r="E32" s="53">
        <v>3623.32</v>
      </c>
      <c r="F32" s="53">
        <v>3434.93</v>
      </c>
      <c r="G32" s="44">
        <v>3679.53</v>
      </c>
      <c r="H32" s="44">
        <v>3854.27</v>
      </c>
      <c r="I32" s="44">
        <v>4094.33</v>
      </c>
      <c r="J32" s="44">
        <v>4487.5</v>
      </c>
      <c r="K32" s="44">
        <v>4563.6</v>
      </c>
      <c r="L32" s="44">
        <v>4681.129513426907</v>
      </c>
      <c r="M32" s="15">
        <f>(L32-K32)*100/K32</f>
        <v>2.5753684246407724</v>
      </c>
      <c r="N32" s="114">
        <f>((L32-B32)*100)/B32</f>
        <v>37.32243370003187</v>
      </c>
      <c r="O32" s="114"/>
      <c r="P32" s="45">
        <v>3408.86</v>
      </c>
      <c r="Q32" s="45"/>
      <c r="R32" s="91">
        <v>3545.242982900659</v>
      </c>
      <c r="S32" s="91">
        <v>264.4258900566381</v>
      </c>
      <c r="T32" s="160">
        <v>100.07256591386749</v>
      </c>
      <c r="U32" s="160">
        <v>771.3880745557423</v>
      </c>
      <c r="V32" s="160">
        <f>SUM(R32:U32)</f>
        <v>4681.129513426907</v>
      </c>
    </row>
    <row r="33" spans="1:22" ht="15.75">
      <c r="A33" s="1" t="s">
        <v>21</v>
      </c>
      <c r="B33" s="46">
        <f>2831.91+514.09</f>
        <v>3346</v>
      </c>
      <c r="C33" s="46">
        <v>3537.13</v>
      </c>
      <c r="D33" s="44">
        <f>2888.83+532.14</f>
        <v>3420.97</v>
      </c>
      <c r="E33" s="53">
        <v>3593.54</v>
      </c>
      <c r="F33" s="53">
        <v>3369.98</v>
      </c>
      <c r="G33" s="44">
        <v>3578.4</v>
      </c>
      <c r="H33" s="44">
        <v>3707.13</v>
      </c>
      <c r="I33" s="44">
        <v>3948.61</v>
      </c>
      <c r="J33" s="44">
        <v>4297.64</v>
      </c>
      <c r="K33" s="44">
        <v>4290.06</v>
      </c>
      <c r="L33" s="44">
        <v>4433.282304104842</v>
      </c>
      <c r="M33" s="15">
        <f>(L33-K33)*100/K33</f>
        <v>3.338468555331205</v>
      </c>
      <c r="N33" s="114">
        <f>((L33-B33)*100)/B33</f>
        <v>32.49498816810647</v>
      </c>
      <c r="O33" s="114"/>
      <c r="P33" s="45">
        <v>3346</v>
      </c>
      <c r="Q33" s="45"/>
      <c r="R33" s="91">
        <v>3285.022432166909</v>
      </c>
      <c r="S33" s="91">
        <v>213.54688097774442</v>
      </c>
      <c r="T33" s="160">
        <v>108.87533611115585</v>
      </c>
      <c r="U33" s="160">
        <v>825.8376548490336</v>
      </c>
      <c r="V33" s="160">
        <f>SUM(R33:U33)</f>
        <v>4433.282304104842</v>
      </c>
    </row>
    <row r="34" spans="1:22" ht="15.75">
      <c r="A34" s="1" t="s">
        <v>22</v>
      </c>
      <c r="B34" s="46">
        <f>2810.12+463.21</f>
        <v>3273.33</v>
      </c>
      <c r="C34" s="46">
        <v>3502.99</v>
      </c>
      <c r="D34" s="44">
        <f>3264.09+512.11</f>
        <v>3776.2000000000003</v>
      </c>
      <c r="E34" s="53">
        <v>3814.36</v>
      </c>
      <c r="F34" s="53">
        <v>3780.42</v>
      </c>
      <c r="G34" s="44">
        <v>3994.91</v>
      </c>
      <c r="H34" s="44">
        <v>4293.08</v>
      </c>
      <c r="I34" s="44">
        <v>4548.68</v>
      </c>
      <c r="J34" s="44">
        <v>4870.63</v>
      </c>
      <c r="K34" s="44">
        <v>5126.54</v>
      </c>
      <c r="L34" s="44">
        <v>5265.7279292341</v>
      </c>
      <c r="M34" s="15">
        <f>(L34-K34)*100/K34</f>
        <v>2.71504619556465</v>
      </c>
      <c r="N34" s="114">
        <f>((L34-B34)*100)/B34</f>
        <v>60.867615829571115</v>
      </c>
      <c r="O34" s="114"/>
      <c r="P34" s="45">
        <v>3273.33</v>
      </c>
      <c r="Q34" s="45"/>
      <c r="R34" s="91">
        <v>3926.6192903947867</v>
      </c>
      <c r="S34" s="91">
        <v>288.04925729585744</v>
      </c>
      <c r="T34" s="160">
        <v>228.98138139443995</v>
      </c>
      <c r="U34" s="160">
        <v>822.0780001490153</v>
      </c>
      <c r="V34" s="160">
        <f>SUM(R34:U34)</f>
        <v>5265.7279292341</v>
      </c>
    </row>
    <row r="35" spans="2:22" ht="15.75">
      <c r="B35" s="46"/>
      <c r="C35" s="46"/>
      <c r="D35" s="44"/>
      <c r="E35" s="53"/>
      <c r="F35" s="53"/>
      <c r="G35" s="44"/>
      <c r="H35" s="44"/>
      <c r="I35" s="44"/>
      <c r="J35" s="44"/>
      <c r="K35" s="44"/>
      <c r="L35" s="44"/>
      <c r="M35" s="15"/>
      <c r="N35" s="16"/>
      <c r="O35" s="16"/>
      <c r="P35" s="45"/>
      <c r="Q35" s="45"/>
      <c r="R35"/>
      <c r="S35"/>
      <c r="U35" s="160"/>
      <c r="V35" s="160"/>
    </row>
    <row r="36" spans="1:22" ht="15.75">
      <c r="A36" s="1" t="s">
        <v>23</v>
      </c>
      <c r="B36" s="46">
        <f>2997.13+447.19</f>
        <v>3444.32</v>
      </c>
      <c r="C36" s="46">
        <v>3585.58</v>
      </c>
      <c r="D36" s="44">
        <f>3233.62+458.39</f>
        <v>3692.0099999999998</v>
      </c>
      <c r="E36" s="53">
        <v>3877.18</v>
      </c>
      <c r="F36" s="53">
        <v>3526.22</v>
      </c>
      <c r="G36" s="44">
        <v>3738.45</v>
      </c>
      <c r="H36" s="44">
        <v>3855.24</v>
      </c>
      <c r="I36" s="44">
        <v>4160.08</v>
      </c>
      <c r="J36" s="44">
        <v>4541.32</v>
      </c>
      <c r="K36" s="44">
        <v>4678.28</v>
      </c>
      <c r="L36" s="44">
        <v>4963.864606844663</v>
      </c>
      <c r="M36" s="15">
        <f>(L36-K36)*100/K36</f>
        <v>6.104478715354009</v>
      </c>
      <c r="N36" s="114">
        <f>((L36-B36)*100)/B36</f>
        <v>44.11740508560944</v>
      </c>
      <c r="O36" s="114"/>
      <c r="P36" s="45">
        <v>3444.32</v>
      </c>
      <c r="Q36" s="45"/>
      <c r="R36" s="91">
        <v>3833.0102302963564</v>
      </c>
      <c r="S36" s="91">
        <v>260.82365813377373</v>
      </c>
      <c r="T36" s="160">
        <v>150.1338448481512</v>
      </c>
      <c r="U36" s="160">
        <v>719.8968735663822</v>
      </c>
      <c r="V36" s="160">
        <f>SUM(R36:U36)</f>
        <v>4963.864606844663</v>
      </c>
    </row>
    <row r="37" spans="1:22" ht="15.75">
      <c r="A37" s="1" t="s">
        <v>24</v>
      </c>
      <c r="B37" s="46">
        <f>2859+406.74</f>
        <v>3265.74</v>
      </c>
      <c r="C37" s="46">
        <v>3462.82</v>
      </c>
      <c r="D37" s="44">
        <f>3054.16+457.04</f>
        <v>3511.2</v>
      </c>
      <c r="E37" s="53">
        <v>3550.21</v>
      </c>
      <c r="F37" s="53">
        <v>3368.62</v>
      </c>
      <c r="G37" s="44">
        <v>3604.86</v>
      </c>
      <c r="H37" s="44">
        <v>3827.8</v>
      </c>
      <c r="I37" s="44">
        <v>3993.55</v>
      </c>
      <c r="J37" s="44">
        <v>4312.79</v>
      </c>
      <c r="K37" s="44">
        <v>4447.87</v>
      </c>
      <c r="L37" s="44">
        <v>4626.851437435067</v>
      </c>
      <c r="M37" s="15">
        <f>(L37-K37)*100/K37</f>
        <v>4.023980859041905</v>
      </c>
      <c r="N37" s="114">
        <f>((L37-B37)*100)/B37</f>
        <v>41.67849974079588</v>
      </c>
      <c r="O37" s="114"/>
      <c r="P37" s="45">
        <v>3265.74</v>
      </c>
      <c r="Q37" s="45"/>
      <c r="R37" s="91">
        <v>3515.173408387178</v>
      </c>
      <c r="S37" s="91">
        <v>316.2344252380981</v>
      </c>
      <c r="T37" s="160">
        <v>99.32992565994465</v>
      </c>
      <c r="U37" s="160">
        <v>696.1136781498458</v>
      </c>
      <c r="V37" s="160">
        <f>SUM(R37:U37)</f>
        <v>4626.851437435067</v>
      </c>
    </row>
    <row r="38" spans="1:22" ht="15.75">
      <c r="A38" s="1" t="s">
        <v>25</v>
      </c>
      <c r="B38" s="46">
        <f>2785.28+408.9</f>
        <v>3194.1800000000003</v>
      </c>
      <c r="C38" s="46">
        <v>3372.48</v>
      </c>
      <c r="D38" s="44">
        <f>2936.13+424.19</f>
        <v>3360.32</v>
      </c>
      <c r="E38" s="53">
        <v>3571.91</v>
      </c>
      <c r="F38" s="53">
        <v>3404.32</v>
      </c>
      <c r="G38" s="44">
        <v>3713.24</v>
      </c>
      <c r="H38" s="44">
        <v>3941.14</v>
      </c>
      <c r="I38" s="44">
        <v>4326.2</v>
      </c>
      <c r="J38" s="44">
        <v>4545.74</v>
      </c>
      <c r="K38" s="44">
        <v>4678.81</v>
      </c>
      <c r="L38" s="44">
        <v>4797.178277532197</v>
      </c>
      <c r="M38" s="15">
        <f>(L38-K38)*100/K38</f>
        <v>2.529879980854037</v>
      </c>
      <c r="N38" s="114">
        <f>((L38-B38)*100)/B38</f>
        <v>50.18497008722729</v>
      </c>
      <c r="O38" s="114"/>
      <c r="P38" s="45">
        <v>3194.18</v>
      </c>
      <c r="Q38" s="45"/>
      <c r="R38" s="91">
        <v>3669.493900236841</v>
      </c>
      <c r="S38" s="91">
        <v>241.82150177668146</v>
      </c>
      <c r="T38" s="160">
        <v>86.76931556314132</v>
      </c>
      <c r="U38" s="160">
        <v>799.0935599555329</v>
      </c>
      <c r="V38" s="160">
        <f>SUM(R38:U38)</f>
        <v>4797.178277532197</v>
      </c>
    </row>
    <row r="39" spans="1:22" ht="15.75">
      <c r="A39" s="17" t="s">
        <v>26</v>
      </c>
      <c r="B39" s="46">
        <f>3439.36+401.02</f>
        <v>3840.38</v>
      </c>
      <c r="C39" s="46">
        <v>3875.69</v>
      </c>
      <c r="D39" s="44">
        <f>3406.86+449.39</f>
        <v>3856.25</v>
      </c>
      <c r="E39" s="54">
        <v>4034.53</v>
      </c>
      <c r="F39" s="54">
        <v>3881.84</v>
      </c>
      <c r="G39" s="82">
        <v>4144.52</v>
      </c>
      <c r="H39" s="82">
        <v>4383.22</v>
      </c>
      <c r="I39" s="82">
        <v>4886.01</v>
      </c>
      <c r="J39" s="82">
        <v>5391.77</v>
      </c>
      <c r="K39" s="82">
        <v>6083.15</v>
      </c>
      <c r="L39" s="82">
        <v>6079.913366768526</v>
      </c>
      <c r="M39" s="179">
        <f>(L39-K39)*100/K39</f>
        <v>-0.05320653331700199</v>
      </c>
      <c r="N39" s="114">
        <f>((L39-B39)*100)/B39</f>
        <v>58.31541063042007</v>
      </c>
      <c r="O39" s="114"/>
      <c r="P39" s="45">
        <v>3840.38</v>
      </c>
      <c r="Q39" s="45"/>
      <c r="R39" s="92">
        <v>4640.8016732746855</v>
      </c>
      <c r="S39" s="92">
        <v>370.28813394890483</v>
      </c>
      <c r="T39" s="160">
        <v>140.9513478389376</v>
      </c>
      <c r="U39" s="160">
        <v>927.8722117059986</v>
      </c>
      <c r="V39" s="160">
        <f>SUM(R39:U39)</f>
        <v>6079.913366768526</v>
      </c>
    </row>
    <row r="40" spans="1:15" ht="12.75">
      <c r="A40" s="1" t="s">
        <v>49</v>
      </c>
      <c r="B40" s="18"/>
      <c r="C40" s="19"/>
      <c r="D40" s="18"/>
      <c r="E40" s="18"/>
      <c r="F40" s="18"/>
      <c r="G40" s="18"/>
      <c r="H40" s="18"/>
      <c r="I40" s="53"/>
      <c r="J40" s="53"/>
      <c r="K40" s="53"/>
      <c r="L40" s="53"/>
      <c r="M40" s="72"/>
      <c r="N40" s="36"/>
      <c r="O40" s="36"/>
    </row>
    <row r="41" spans="3:15" ht="12.75">
      <c r="C41" s="14"/>
      <c r="I41" s="53"/>
      <c r="J41" s="53"/>
      <c r="K41" s="53"/>
      <c r="L41" s="53"/>
      <c r="M41" s="72"/>
      <c r="N41" s="29"/>
      <c r="O41" s="29"/>
    </row>
    <row r="42" spans="1:3" ht="12.75">
      <c r="A42" s="29" t="s">
        <v>78</v>
      </c>
      <c r="B42" s="14"/>
      <c r="C42" s="14"/>
    </row>
    <row r="43" spans="1:3" ht="12.75">
      <c r="A43" s="1" t="s">
        <v>79</v>
      </c>
      <c r="B43" s="14"/>
      <c r="C43" s="14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  <row r="47" spans="2:3" ht="12.75">
      <c r="B47" s="14"/>
      <c r="C47" s="14"/>
    </row>
    <row r="48" spans="2:3" ht="12.75">
      <c r="B48" s="14"/>
      <c r="C48" s="14"/>
    </row>
    <row r="49" spans="2:3" ht="12.75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ht="12.75">
      <c r="C52" s="14"/>
    </row>
    <row r="53" ht="12.75">
      <c r="C53" s="14"/>
    </row>
  </sheetData>
  <mergeCells count="4">
    <mergeCell ref="M7:N7"/>
    <mergeCell ref="A1:N1"/>
    <mergeCell ref="A3:N3"/>
    <mergeCell ref="A4:N4"/>
  </mergeCells>
  <printOptions/>
  <pageMargins left="0.54" right="0.54" top="0.74" bottom="0.48" header="0.5" footer="0.32"/>
  <pageSetup fitToHeight="1" fitToWidth="1" orientation="landscape" scale="70" r:id="rId1"/>
  <headerFooter alignWithMargins="0">
    <oddFooter>&amp;L&amp;"Lucida Sans,Italic"&amp;10MSDE-DBS  1 / 2006&amp;C- 16 -&amp;R&amp;"Lucida Sans,Italic"&amp;10Selected Financial Data - Part 4</oddFooter>
  </headerFooter>
  <rowBreaks count="1" manualBreakCount="1">
    <brk id="4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workbookViewId="0" topLeftCell="A3">
      <selection activeCell="A3" sqref="A3:M3"/>
    </sheetView>
  </sheetViews>
  <sheetFormatPr defaultColWidth="9.00390625" defaultRowHeight="15.75"/>
  <cols>
    <col min="1" max="1" width="12.875" style="1" customWidth="1"/>
    <col min="2" max="7" width="12.625" style="1" customWidth="1"/>
    <col min="8" max="8" width="12.625" style="56" customWidth="1"/>
    <col min="9" max="11" width="12.625" style="58" customWidth="1"/>
    <col min="12" max="12" width="6.625" style="58" customWidth="1"/>
    <col min="13" max="14" width="6.625" style="1" customWidth="1"/>
    <col min="15" max="15" width="12.75390625" style="1" customWidth="1"/>
    <col min="16" max="16" width="11.125" style="1" bestFit="1" customWidth="1"/>
    <col min="17" max="17" width="11.125" style="3" bestFit="1" customWidth="1"/>
    <col min="18" max="18" width="10.125" style="3" customWidth="1"/>
    <col min="19" max="19" width="3.25390625" style="3" customWidth="1"/>
    <col min="20" max="20" width="11.125" style="3" bestFit="1" customWidth="1"/>
    <col min="21" max="21" width="10.125" style="3" customWidth="1"/>
    <col min="22" max="22" width="2.875" style="3" customWidth="1"/>
    <col min="23" max="23" width="12.125" style="3" customWidth="1"/>
    <col min="24" max="34" width="10.125" style="3" customWidth="1"/>
    <col min="35" max="16384" width="10.00390625" style="3" customWidth="1"/>
  </cols>
  <sheetData>
    <row r="1" spans="1:14" ht="15.75" customHeight="1">
      <c r="A1" s="247" t="s">
        <v>75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110"/>
    </row>
    <row r="2" spans="1:15" ht="12.75">
      <c r="A2" s="108"/>
      <c r="B2" s="108"/>
      <c r="C2" s="108"/>
      <c r="D2" s="108"/>
      <c r="E2" s="108"/>
      <c r="F2" s="108"/>
      <c r="G2" s="108"/>
      <c r="H2" s="111"/>
      <c r="I2" s="110"/>
      <c r="J2" s="110"/>
      <c r="K2" s="110"/>
      <c r="L2" s="110"/>
      <c r="M2" s="108"/>
      <c r="N2" s="108"/>
      <c r="O2" s="219" t="s">
        <v>181</v>
      </c>
    </row>
    <row r="3" spans="1:14" ht="15.75">
      <c r="A3" s="228" t="s">
        <v>77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12"/>
    </row>
    <row r="4" spans="1:14" ht="12.75">
      <c r="A4" s="228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8"/>
    </row>
    <row r="5" spans="7:23" ht="13.5" thickBot="1">
      <c r="G5" s="11"/>
      <c r="H5" s="11"/>
      <c r="Q5" s="38" t="s">
        <v>140</v>
      </c>
      <c r="T5" s="38" t="s">
        <v>149</v>
      </c>
      <c r="W5" s="38" t="s">
        <v>165</v>
      </c>
    </row>
    <row r="6" spans="1:23" ht="13.5" thickTop="1">
      <c r="A6" s="5"/>
      <c r="B6" s="5"/>
      <c r="C6" s="5"/>
      <c r="D6" s="5"/>
      <c r="E6" s="5"/>
      <c r="F6" s="5"/>
      <c r="G6" s="57"/>
      <c r="H6" s="74"/>
      <c r="I6" s="5"/>
      <c r="J6" s="5"/>
      <c r="K6" s="5"/>
      <c r="L6" s="5"/>
      <c r="M6" s="5"/>
      <c r="N6" s="7"/>
      <c r="O6" s="5"/>
      <c r="P6" s="7"/>
      <c r="Q6" s="1" t="s">
        <v>97</v>
      </c>
      <c r="R6" s="1"/>
      <c r="T6" s="1" t="s">
        <v>97</v>
      </c>
      <c r="W6" s="1" t="s">
        <v>97</v>
      </c>
    </row>
    <row r="7" spans="1:23" ht="12.75">
      <c r="A7" s="7"/>
      <c r="B7" s="7"/>
      <c r="C7" s="7"/>
      <c r="D7" s="7"/>
      <c r="E7" s="7"/>
      <c r="G7" s="58"/>
      <c r="H7" s="58"/>
      <c r="I7" s="1"/>
      <c r="J7" s="1"/>
      <c r="K7" s="1"/>
      <c r="L7" s="239" t="s">
        <v>28</v>
      </c>
      <c r="M7" s="239"/>
      <c r="N7" s="211"/>
      <c r="O7" s="7"/>
      <c r="P7" s="7"/>
      <c r="Q7" s="1" t="s">
        <v>65</v>
      </c>
      <c r="R7" s="1"/>
      <c r="T7" s="1" t="s">
        <v>65</v>
      </c>
      <c r="W7" s="1" t="s">
        <v>65</v>
      </c>
    </row>
    <row r="8" spans="1:23" ht="12.75">
      <c r="A8" s="7"/>
      <c r="B8" s="7"/>
      <c r="C8" s="7"/>
      <c r="D8" s="7"/>
      <c r="E8" s="7"/>
      <c r="F8" s="7"/>
      <c r="G8" s="59"/>
      <c r="H8" s="59"/>
      <c r="I8" s="7"/>
      <c r="J8" s="7"/>
      <c r="K8" s="7"/>
      <c r="L8" s="28" t="s">
        <v>59</v>
      </c>
      <c r="M8" s="28" t="s">
        <v>60</v>
      </c>
      <c r="N8" s="28"/>
      <c r="O8" s="7"/>
      <c r="P8" s="7"/>
      <c r="Q8" s="1" t="s">
        <v>98</v>
      </c>
      <c r="R8" s="1"/>
      <c r="T8" s="1" t="s">
        <v>98</v>
      </c>
      <c r="W8" s="1" t="s">
        <v>98</v>
      </c>
    </row>
    <row r="9" spans="1:18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38" t="s">
        <v>58</v>
      </c>
      <c r="M9" s="38" t="s">
        <v>58</v>
      </c>
      <c r="N9" s="37"/>
      <c r="O9" s="33" t="s">
        <v>158</v>
      </c>
      <c r="P9" s="25"/>
      <c r="Q9" s="1"/>
      <c r="R9" s="1"/>
    </row>
    <row r="10" spans="1:24" ht="12.75">
      <c r="A10" s="7" t="s">
        <v>2</v>
      </c>
      <c r="B10" s="11">
        <f aca="true" t="shared" si="0" ref="B10:I10">SUM(B12:B39)</f>
        <v>121072</v>
      </c>
      <c r="C10" s="11">
        <f t="shared" si="0"/>
        <v>123319</v>
      </c>
      <c r="D10" s="11">
        <f t="shared" si="0"/>
        <v>127364</v>
      </c>
      <c r="E10" s="11">
        <f t="shared" si="0"/>
        <v>130462</v>
      </c>
      <c r="F10" s="11">
        <f t="shared" si="0"/>
        <v>134108</v>
      </c>
      <c r="G10" s="11">
        <f t="shared" si="0"/>
        <v>138965.27000000002</v>
      </c>
      <c r="H10" s="11">
        <f t="shared" si="0"/>
        <v>142702</v>
      </c>
      <c r="I10" s="11">
        <f t="shared" si="0"/>
        <v>339646</v>
      </c>
      <c r="J10" s="11">
        <f>SUM(J12:J39)</f>
        <v>356969</v>
      </c>
      <c r="K10" s="11">
        <f>SUM(K12:K39)</f>
        <v>382106</v>
      </c>
      <c r="L10" s="12">
        <f>(K10-J10)/J10</f>
        <v>0.07041787942370346</v>
      </c>
      <c r="M10" s="12">
        <f>(K10-O10)/O10</f>
        <v>2.248233943979258</v>
      </c>
      <c r="N10" s="12"/>
      <c r="O10" s="11">
        <f>SUM(O12:O39)</f>
        <v>117635</v>
      </c>
      <c r="P10" s="11"/>
      <c r="Q10" s="11">
        <f>SUM(Q12:Q39)</f>
        <v>339642268</v>
      </c>
      <c r="R10" s="1"/>
      <c r="T10" s="11">
        <f>SUM(T12:T39)</f>
        <v>356968969</v>
      </c>
      <c r="W10" s="11">
        <f>SUM(W12:W39)</f>
        <v>382105908</v>
      </c>
      <c r="X10" s="11">
        <f>SUM(X12:X39)</f>
        <v>382105.908</v>
      </c>
    </row>
    <row r="11" spans="2:18" ht="12.75">
      <c r="B11" s="14"/>
      <c r="C11" s="14"/>
      <c r="D11" s="58"/>
      <c r="E11" s="76"/>
      <c r="F11" s="58"/>
      <c r="G11" s="58"/>
      <c r="H11" s="58"/>
      <c r="L11" s="1"/>
      <c r="M11" s="84"/>
      <c r="N11" s="84"/>
      <c r="Q11" s="1"/>
      <c r="R11" s="1"/>
    </row>
    <row r="12" spans="1:24" ht="12.75">
      <c r="A12" s="1" t="s">
        <v>3</v>
      </c>
      <c r="B12" s="14">
        <v>1204</v>
      </c>
      <c r="C12" s="14">
        <v>1184</v>
      </c>
      <c r="D12" s="58">
        <v>1175</v>
      </c>
      <c r="E12" s="76">
        <v>1177</v>
      </c>
      <c r="F12" s="58">
        <v>1320</v>
      </c>
      <c r="G12" s="58">
        <v>1556.36</v>
      </c>
      <c r="H12" s="60">
        <v>1510</v>
      </c>
      <c r="I12" s="60">
        <v>2605</v>
      </c>
      <c r="J12" s="60">
        <v>2565</v>
      </c>
      <c r="K12" s="60">
        <v>2604</v>
      </c>
      <c r="L12" s="15">
        <f>(K12-J12)*100/J12</f>
        <v>1.5204678362573099</v>
      </c>
      <c r="M12" s="114">
        <f>((K12-O12)*100)/O12</f>
        <v>119.00756938603868</v>
      </c>
      <c r="N12" s="114"/>
      <c r="O12" s="27">
        <v>1189</v>
      </c>
      <c r="P12" s="26"/>
      <c r="Q12" s="116">
        <v>2604574</v>
      </c>
      <c r="R12" s="1">
        <f>Q12/1000</f>
        <v>2604.574</v>
      </c>
      <c r="T12" s="3">
        <v>2565195</v>
      </c>
      <c r="U12" s="1">
        <f>T12/1000</f>
        <v>2565.195</v>
      </c>
      <c r="W12" s="3">
        <v>2604327</v>
      </c>
      <c r="X12" s="1">
        <f>W12/1000</f>
        <v>2604.327</v>
      </c>
    </row>
    <row r="13" spans="1:24" ht="12.75">
      <c r="A13" s="1" t="s">
        <v>4</v>
      </c>
      <c r="B13" s="14">
        <v>12607</v>
      </c>
      <c r="C13" s="14">
        <v>12968</v>
      </c>
      <c r="D13" s="58">
        <v>13328</v>
      </c>
      <c r="E13" s="76">
        <v>13676</v>
      </c>
      <c r="F13" s="58">
        <v>14081</v>
      </c>
      <c r="G13" s="58">
        <v>14589.16</v>
      </c>
      <c r="H13" s="60">
        <v>14939</v>
      </c>
      <c r="I13" s="60">
        <v>35809</v>
      </c>
      <c r="J13" s="60">
        <v>38119</v>
      </c>
      <c r="K13" s="60">
        <v>41298</v>
      </c>
      <c r="L13" s="15">
        <f>(K13-J13)*100/J13</f>
        <v>8.339673128885858</v>
      </c>
      <c r="M13" s="114">
        <f>((K13-O13)*100)/O13</f>
        <v>239.5937834059699</v>
      </c>
      <c r="N13" s="114"/>
      <c r="O13" s="27">
        <v>12161</v>
      </c>
      <c r="P13" s="26"/>
      <c r="Q13" s="116">
        <v>35808505</v>
      </c>
      <c r="R13" s="1">
        <f>Q13/1000</f>
        <v>35808.505</v>
      </c>
      <c r="T13" s="3">
        <v>38118944</v>
      </c>
      <c r="U13" s="1">
        <f>T13/1000</f>
        <v>38118.944</v>
      </c>
      <c r="W13" s="3">
        <v>41297966</v>
      </c>
      <c r="X13" s="1">
        <f>W13/1000</f>
        <v>41297.966</v>
      </c>
    </row>
    <row r="14" spans="1:24" ht="12.75">
      <c r="A14" s="1" t="s">
        <v>5</v>
      </c>
      <c r="B14" s="14">
        <v>8512</v>
      </c>
      <c r="C14" s="14">
        <v>8443</v>
      </c>
      <c r="D14" s="58">
        <v>8394</v>
      </c>
      <c r="E14" s="76">
        <v>8365</v>
      </c>
      <c r="F14" s="58">
        <v>8526</v>
      </c>
      <c r="G14" s="58">
        <v>8579.72</v>
      </c>
      <c r="H14" s="60">
        <v>8722</v>
      </c>
      <c r="I14" s="60">
        <v>19176</v>
      </c>
      <c r="J14" s="60">
        <v>19674</v>
      </c>
      <c r="K14" s="60">
        <v>20219</v>
      </c>
      <c r="L14" s="15">
        <f>(K14-J14)*100/J14</f>
        <v>2.7701535020839687</v>
      </c>
      <c r="M14" s="114">
        <f>((K14-O14)*100)/O14</f>
        <v>139.10832544938506</v>
      </c>
      <c r="N14" s="114"/>
      <c r="O14" s="27">
        <v>8456</v>
      </c>
      <c r="P14" s="26"/>
      <c r="Q14" s="116">
        <v>19176195</v>
      </c>
      <c r="R14" s="1">
        <f>Q14/1000</f>
        <v>19176.195</v>
      </c>
      <c r="T14" s="3">
        <v>19674089</v>
      </c>
      <c r="U14" s="1">
        <f>T14/1000</f>
        <v>19674.089</v>
      </c>
      <c r="W14" s="3">
        <v>20218975</v>
      </c>
      <c r="X14" s="1">
        <f>W14/1000</f>
        <v>20218.975</v>
      </c>
    </row>
    <row r="15" spans="1:24" ht="12.75">
      <c r="A15" s="1" t="s">
        <v>6</v>
      </c>
      <c r="B15" s="14">
        <v>16220</v>
      </c>
      <c r="C15" s="14">
        <v>16535</v>
      </c>
      <c r="D15" s="58">
        <v>16987</v>
      </c>
      <c r="E15" s="76">
        <v>17355</v>
      </c>
      <c r="F15" s="58">
        <v>17833</v>
      </c>
      <c r="G15" s="58">
        <v>18450.83</v>
      </c>
      <c r="H15" s="60">
        <v>18972</v>
      </c>
      <c r="I15" s="60">
        <v>44465</v>
      </c>
      <c r="J15" s="60">
        <v>46023</v>
      </c>
      <c r="K15" s="60">
        <v>47861</v>
      </c>
      <c r="L15" s="15">
        <f>(K15-J15)*100/J15</f>
        <v>3.9936553462399234</v>
      </c>
      <c r="M15" s="114">
        <f>((K15-O15)*100)/O15</f>
        <v>204.51740153973404</v>
      </c>
      <c r="N15" s="114"/>
      <c r="O15" s="27">
        <v>15717</v>
      </c>
      <c r="P15" s="26"/>
      <c r="Q15" s="116">
        <v>44464713</v>
      </c>
      <c r="R15" s="1">
        <f>Q15/1000</f>
        <v>44464.713</v>
      </c>
      <c r="T15" s="3">
        <v>46023190</v>
      </c>
      <c r="U15" s="1">
        <f>T15/1000</f>
        <v>46023.19</v>
      </c>
      <c r="W15" s="3">
        <v>47861367</v>
      </c>
      <c r="X15" s="1">
        <f>W15/1000</f>
        <v>47861.367</v>
      </c>
    </row>
    <row r="16" spans="1:24" ht="12.75">
      <c r="A16" s="1" t="s">
        <v>7</v>
      </c>
      <c r="B16" s="14">
        <v>2458</v>
      </c>
      <c r="C16" s="14">
        <v>2530</v>
      </c>
      <c r="D16" s="58">
        <v>2713</v>
      </c>
      <c r="E16" s="76">
        <v>2819</v>
      </c>
      <c r="F16" s="58">
        <v>2905</v>
      </c>
      <c r="G16" s="58">
        <v>3013.17</v>
      </c>
      <c r="H16" s="60">
        <v>2933</v>
      </c>
      <c r="I16" s="60">
        <v>5993</v>
      </c>
      <c r="J16" s="60">
        <v>6337</v>
      </c>
      <c r="K16" s="60">
        <v>6820</v>
      </c>
      <c r="L16" s="15">
        <f>(K16-J16)*100/J16</f>
        <v>7.621903108726527</v>
      </c>
      <c r="M16" s="114">
        <f>((K16-O16)*100)/O16</f>
        <v>198.07692307692307</v>
      </c>
      <c r="N16" s="114"/>
      <c r="O16" s="27">
        <v>2288</v>
      </c>
      <c r="P16" s="26"/>
      <c r="Q16" s="116">
        <v>5993478</v>
      </c>
      <c r="R16" s="1">
        <f>Q16/1000</f>
        <v>5993.478</v>
      </c>
      <c r="T16" s="3">
        <v>6336952</v>
      </c>
      <c r="U16" s="1">
        <f>T16/1000</f>
        <v>6336.952</v>
      </c>
      <c r="W16" s="3">
        <v>6819523</v>
      </c>
      <c r="X16" s="1">
        <f>W16/1000</f>
        <v>6819.523</v>
      </c>
    </row>
    <row r="17" spans="2:18" ht="12.75">
      <c r="B17" s="14"/>
      <c r="C17" s="14"/>
      <c r="D17" s="58"/>
      <c r="E17" s="76"/>
      <c r="F17" s="58"/>
      <c r="G17" s="58"/>
      <c r="H17" s="58"/>
      <c r="L17" s="15"/>
      <c r="M17" s="16"/>
      <c r="N17" s="16"/>
      <c r="O17" s="27"/>
      <c r="P17" s="26"/>
      <c r="Q17" s="116"/>
      <c r="R17" s="1"/>
    </row>
    <row r="18" spans="1:24" ht="12.75">
      <c r="A18" s="1" t="s">
        <v>8</v>
      </c>
      <c r="B18" s="14">
        <v>437</v>
      </c>
      <c r="C18" s="14">
        <v>447</v>
      </c>
      <c r="D18" s="58">
        <v>466</v>
      </c>
      <c r="E18" s="76">
        <v>508</v>
      </c>
      <c r="F18" s="58">
        <v>505</v>
      </c>
      <c r="G18" s="58">
        <v>525.76</v>
      </c>
      <c r="H18" s="60">
        <v>554</v>
      </c>
      <c r="I18" s="60">
        <v>1319</v>
      </c>
      <c r="J18" s="60">
        <v>1380</v>
      </c>
      <c r="K18" s="60">
        <v>1451</v>
      </c>
      <c r="L18" s="15">
        <f>(K18-J18)*100/J18</f>
        <v>5.144927536231884</v>
      </c>
      <c r="M18" s="114">
        <f>((K18-O18)*100)/O18</f>
        <v>247.12918660287082</v>
      </c>
      <c r="N18" s="114"/>
      <c r="O18" s="27">
        <v>418</v>
      </c>
      <c r="P18" s="26"/>
      <c r="Q18" s="116">
        <v>1318953</v>
      </c>
      <c r="R18" s="1">
        <f>Q18/1000</f>
        <v>1318.953</v>
      </c>
      <c r="T18" s="3">
        <v>1380313</v>
      </c>
      <c r="U18" s="1">
        <f>T18/1000</f>
        <v>1380.313</v>
      </c>
      <c r="W18" s="3">
        <v>1451362</v>
      </c>
      <c r="X18" s="1">
        <f>W18/1000</f>
        <v>1451.362</v>
      </c>
    </row>
    <row r="19" spans="1:24" ht="12.75">
      <c r="A19" s="1" t="s">
        <v>9</v>
      </c>
      <c r="B19" s="14">
        <v>3071</v>
      </c>
      <c r="C19" s="14">
        <v>3198</v>
      </c>
      <c r="D19" s="58">
        <v>3351</v>
      </c>
      <c r="E19" s="76">
        <v>3453</v>
      </c>
      <c r="F19" s="58">
        <v>3580</v>
      </c>
      <c r="G19" s="58">
        <v>3793.98</v>
      </c>
      <c r="H19" s="60">
        <v>3957</v>
      </c>
      <c r="I19" s="60">
        <v>9666</v>
      </c>
      <c r="J19" s="60">
        <v>10278</v>
      </c>
      <c r="K19" s="60">
        <v>10941</v>
      </c>
      <c r="L19" s="15">
        <f>(K19-J19)*100/J19</f>
        <v>6.450671336835961</v>
      </c>
      <c r="M19" s="114">
        <f>((K19-O19)*100)/O19</f>
        <v>282.2851153039832</v>
      </c>
      <c r="N19" s="114"/>
      <c r="O19" s="27">
        <v>2862</v>
      </c>
      <c r="P19" s="26"/>
      <c r="Q19" s="116">
        <v>9665960</v>
      </c>
      <c r="R19" s="1">
        <f>Q19/1000</f>
        <v>9665.96</v>
      </c>
      <c r="T19" s="3">
        <v>10278303</v>
      </c>
      <c r="U19" s="1">
        <f>T19/1000</f>
        <v>10278.303</v>
      </c>
      <c r="W19" s="3">
        <v>10941349</v>
      </c>
      <c r="X19" s="1">
        <f>W19/1000</f>
        <v>10941.349</v>
      </c>
    </row>
    <row r="20" spans="1:24" ht="12.75">
      <c r="A20" s="1" t="s">
        <v>10</v>
      </c>
      <c r="B20" s="14">
        <v>1633</v>
      </c>
      <c r="C20" s="14">
        <v>1688</v>
      </c>
      <c r="D20" s="58">
        <v>1753</v>
      </c>
      <c r="E20" s="76">
        <v>1806</v>
      </c>
      <c r="F20" s="58">
        <v>1865</v>
      </c>
      <c r="G20" s="58">
        <v>1952.55</v>
      </c>
      <c r="H20" s="60">
        <v>2025</v>
      </c>
      <c r="I20" s="60">
        <v>4924</v>
      </c>
      <c r="J20" s="60">
        <v>5223</v>
      </c>
      <c r="K20" s="60">
        <v>5621</v>
      </c>
      <c r="L20" s="15">
        <f>(K20-J20)*100/J20</f>
        <v>7.62014168102623</v>
      </c>
      <c r="M20" s="114">
        <f>((K20-O20)*100)/O20</f>
        <v>269.80263157894734</v>
      </c>
      <c r="N20" s="114"/>
      <c r="O20" s="27">
        <v>1520</v>
      </c>
      <c r="P20" s="26"/>
      <c r="Q20" s="116">
        <v>4924083</v>
      </c>
      <c r="R20" s="1">
        <f>Q20/1000</f>
        <v>4924.083</v>
      </c>
      <c r="T20" s="3">
        <v>5222682</v>
      </c>
      <c r="U20" s="1">
        <f>T20/1000</f>
        <v>5222.682</v>
      </c>
      <c r="W20" s="3">
        <v>5620734</v>
      </c>
      <c r="X20" s="1">
        <f>W20/1000</f>
        <v>5620.734</v>
      </c>
    </row>
    <row r="21" spans="1:24" ht="12.75">
      <c r="A21" s="1" t="s">
        <v>11</v>
      </c>
      <c r="B21" s="14">
        <v>2735</v>
      </c>
      <c r="C21" s="14">
        <v>2849</v>
      </c>
      <c r="D21" s="58">
        <v>3033</v>
      </c>
      <c r="E21" s="76">
        <v>3095</v>
      </c>
      <c r="F21" s="58">
        <v>3208</v>
      </c>
      <c r="G21" s="58">
        <v>3345.26</v>
      </c>
      <c r="H21" s="60">
        <v>3384</v>
      </c>
      <c r="I21" s="60">
        <v>8204</v>
      </c>
      <c r="J21" s="60">
        <v>8672</v>
      </c>
      <c r="K21" s="60">
        <v>9310</v>
      </c>
      <c r="L21" s="15">
        <f>(K21-J21)*100/J21</f>
        <v>7.357011070110701</v>
      </c>
      <c r="M21" s="114">
        <f>((K21-O21)*100)/O21</f>
        <v>265.2412710867007</v>
      </c>
      <c r="N21" s="114"/>
      <c r="O21" s="27">
        <v>2549</v>
      </c>
      <c r="P21" s="26"/>
      <c r="Q21" s="116">
        <v>8204465</v>
      </c>
      <c r="R21" s="1">
        <f>Q21/1000</f>
        <v>8204.465</v>
      </c>
      <c r="T21" s="3">
        <v>8672489</v>
      </c>
      <c r="U21" s="1">
        <f>T21/1000</f>
        <v>8672.489</v>
      </c>
      <c r="W21" s="3">
        <v>9310426</v>
      </c>
      <c r="X21" s="1">
        <f>W21/1000</f>
        <v>9310.426</v>
      </c>
    </row>
    <row r="22" spans="1:24" ht="12.75">
      <c r="A22" s="1" t="s">
        <v>12</v>
      </c>
      <c r="B22" s="14">
        <v>613</v>
      </c>
      <c r="C22" s="14">
        <v>629</v>
      </c>
      <c r="D22" s="58">
        <v>647</v>
      </c>
      <c r="E22" s="76">
        <v>664</v>
      </c>
      <c r="F22" s="58">
        <v>678</v>
      </c>
      <c r="G22" s="58">
        <v>685.4</v>
      </c>
      <c r="H22" s="60">
        <v>697</v>
      </c>
      <c r="I22" s="60">
        <v>1562</v>
      </c>
      <c r="J22" s="60">
        <v>1649</v>
      </c>
      <c r="K22" s="60">
        <v>1818</v>
      </c>
      <c r="L22" s="15">
        <f>(K22-J22)*100/J22</f>
        <v>10.248635536688901</v>
      </c>
      <c r="M22" s="114">
        <f>((K22-O22)*100)/O22</f>
        <v>204.0133779264214</v>
      </c>
      <c r="N22" s="114"/>
      <c r="O22" s="27">
        <v>598</v>
      </c>
      <c r="P22" s="26"/>
      <c r="Q22" s="116">
        <v>1562057</v>
      </c>
      <c r="R22" s="1">
        <f>Q22/1000</f>
        <v>1562.057</v>
      </c>
      <c r="T22" s="3">
        <v>1648897</v>
      </c>
      <c r="U22" s="1">
        <f>T22/1000</f>
        <v>1648.897</v>
      </c>
      <c r="W22" s="3">
        <v>1817529</v>
      </c>
      <c r="X22" s="1">
        <f>W22/1000</f>
        <v>1817.529</v>
      </c>
    </row>
    <row r="23" spans="2:18" ht="12.75">
      <c r="B23" s="14"/>
      <c r="C23" s="14"/>
      <c r="D23" s="58"/>
      <c r="E23" s="76"/>
      <c r="F23" s="58"/>
      <c r="G23" s="58"/>
      <c r="H23" s="58"/>
      <c r="L23" s="15"/>
      <c r="M23" s="16"/>
      <c r="N23" s="16"/>
      <c r="O23" s="27"/>
      <c r="P23" s="26"/>
      <c r="Q23" s="161"/>
      <c r="R23" s="1"/>
    </row>
    <row r="24" spans="1:24" ht="12.75">
      <c r="A24" s="1" t="s">
        <v>13</v>
      </c>
      <c r="B24" s="14">
        <v>4043</v>
      </c>
      <c r="C24" s="14">
        <v>4175</v>
      </c>
      <c r="D24" s="58">
        <v>4410</v>
      </c>
      <c r="E24" s="76">
        <v>4551</v>
      </c>
      <c r="F24" s="58">
        <v>4732</v>
      </c>
      <c r="G24" s="58">
        <v>5026.38</v>
      </c>
      <c r="H24" s="60">
        <v>5197</v>
      </c>
      <c r="I24" s="60">
        <v>13224</v>
      </c>
      <c r="J24" s="60">
        <v>14007</v>
      </c>
      <c r="K24" s="60">
        <v>14952</v>
      </c>
      <c r="L24" s="15">
        <f>(K24-J24)*100/J24</f>
        <v>6.746626686656672</v>
      </c>
      <c r="M24" s="114">
        <f>((K24-O24)*100)/O24</f>
        <v>295.0330250990753</v>
      </c>
      <c r="N24" s="114"/>
      <c r="O24" s="27">
        <v>3785</v>
      </c>
      <c r="P24" s="26"/>
      <c r="Q24" s="116">
        <v>13223600</v>
      </c>
      <c r="R24" s="1">
        <f>Q24/1000</f>
        <v>13223.6</v>
      </c>
      <c r="T24" s="3">
        <v>14007191</v>
      </c>
      <c r="U24" s="1">
        <f>T24/1000</f>
        <v>14007.191</v>
      </c>
      <c r="W24" s="3">
        <v>14951629</v>
      </c>
      <c r="X24" s="1">
        <f>W24/1000</f>
        <v>14951.629</v>
      </c>
    </row>
    <row r="25" spans="1:24" ht="12.75">
      <c r="A25" s="1" t="s">
        <v>14</v>
      </c>
      <c r="B25" s="14">
        <v>668</v>
      </c>
      <c r="C25" s="14">
        <v>701</v>
      </c>
      <c r="D25" s="58">
        <v>743</v>
      </c>
      <c r="E25" s="76">
        <v>759</v>
      </c>
      <c r="F25" s="58">
        <v>790</v>
      </c>
      <c r="G25" s="58">
        <v>823.1</v>
      </c>
      <c r="H25" s="60">
        <v>871</v>
      </c>
      <c r="I25" s="60">
        <v>1983</v>
      </c>
      <c r="J25" s="60">
        <v>2129</v>
      </c>
      <c r="K25" s="60">
        <v>2316</v>
      </c>
      <c r="L25" s="15">
        <f>(K25-J25)*100/J25</f>
        <v>8.78346641615782</v>
      </c>
      <c r="M25" s="114">
        <f>((K25-O25)*100)/O25</f>
        <v>247.74774774774775</v>
      </c>
      <c r="N25" s="114"/>
      <c r="O25" s="27">
        <v>666</v>
      </c>
      <c r="P25" s="26"/>
      <c r="Q25" s="116">
        <v>1982674</v>
      </c>
      <c r="R25" s="1">
        <f>Q25/1000</f>
        <v>1982.674</v>
      </c>
      <c r="T25" s="3">
        <v>2129052</v>
      </c>
      <c r="U25" s="1">
        <f>T25/1000</f>
        <v>2129.052</v>
      </c>
      <c r="W25" s="3">
        <v>2315500</v>
      </c>
      <c r="X25" s="1">
        <f>W25/1000</f>
        <v>2315.5</v>
      </c>
    </row>
    <row r="26" spans="1:24" ht="12.75">
      <c r="A26" s="1" t="s">
        <v>15</v>
      </c>
      <c r="B26" s="14">
        <v>4075</v>
      </c>
      <c r="C26" s="14">
        <v>4299</v>
      </c>
      <c r="D26" s="58">
        <v>4553</v>
      </c>
      <c r="E26" s="76">
        <v>4793</v>
      </c>
      <c r="F26" s="58">
        <v>5001</v>
      </c>
      <c r="G26" s="58">
        <v>5261.7</v>
      </c>
      <c r="H26" s="60">
        <v>5463</v>
      </c>
      <c r="I26" s="60">
        <v>12898</v>
      </c>
      <c r="J26" s="60">
        <v>13641</v>
      </c>
      <c r="K26" s="60">
        <v>14428</v>
      </c>
      <c r="L26" s="15">
        <f>(K26-J26)*100/J26</f>
        <v>5.769371746939374</v>
      </c>
      <c r="M26" s="114">
        <f>((K26-O26)*100)/O26</f>
        <v>281.1889035667107</v>
      </c>
      <c r="N26" s="114"/>
      <c r="O26" s="27">
        <v>3785</v>
      </c>
      <c r="P26" s="26"/>
      <c r="Q26" s="116">
        <v>12897679</v>
      </c>
      <c r="R26" s="1">
        <f>Q26/1000</f>
        <v>12897.679</v>
      </c>
      <c r="T26" s="3">
        <v>13640671</v>
      </c>
      <c r="U26" s="1">
        <f>T26/1000</f>
        <v>13640.671</v>
      </c>
      <c r="W26" s="3">
        <v>14428277</v>
      </c>
      <c r="X26" s="1">
        <f>W26/1000</f>
        <v>14428.277</v>
      </c>
    </row>
    <row r="27" spans="1:24" ht="12.75">
      <c r="A27" s="1" t="s">
        <v>16</v>
      </c>
      <c r="B27" s="14">
        <v>6519</v>
      </c>
      <c r="C27" s="14">
        <v>6916</v>
      </c>
      <c r="D27" s="58">
        <v>7102</v>
      </c>
      <c r="E27" s="76">
        <v>7420</v>
      </c>
      <c r="F27" s="58">
        <v>7742</v>
      </c>
      <c r="G27" s="58">
        <v>8245.45</v>
      </c>
      <c r="H27" s="60">
        <v>8665</v>
      </c>
      <c r="I27" s="60">
        <v>21792</v>
      </c>
      <c r="J27" s="60">
        <v>22544</v>
      </c>
      <c r="K27" s="60">
        <v>24297</v>
      </c>
      <c r="L27" s="15">
        <f>(K27-J27)*100/J27</f>
        <v>7.775904897090135</v>
      </c>
      <c r="M27" s="114">
        <f>((K27-O27)*100)/O27</f>
        <v>287.511961722488</v>
      </c>
      <c r="N27" s="114"/>
      <c r="O27" s="27">
        <v>6270</v>
      </c>
      <c r="P27" s="26"/>
      <c r="Q27" s="116">
        <v>21791561</v>
      </c>
      <c r="R27" s="1">
        <f>Q27/1000</f>
        <v>21791.561</v>
      </c>
      <c r="T27" s="3">
        <v>22543862</v>
      </c>
      <c r="U27" s="1">
        <f>T27/1000</f>
        <v>22543.862</v>
      </c>
      <c r="W27" s="3">
        <v>24297361</v>
      </c>
      <c r="X27" s="1">
        <f>W27/1000</f>
        <v>24297.361</v>
      </c>
    </row>
    <row r="28" spans="1:24" ht="12.75">
      <c r="A28" s="1" t="s">
        <v>17</v>
      </c>
      <c r="B28" s="14">
        <v>488</v>
      </c>
      <c r="C28" s="14">
        <v>502</v>
      </c>
      <c r="D28" s="58">
        <v>517</v>
      </c>
      <c r="E28" s="76">
        <v>530</v>
      </c>
      <c r="F28" s="58">
        <v>538</v>
      </c>
      <c r="G28" s="58">
        <v>548.27</v>
      </c>
      <c r="H28" s="60">
        <v>560</v>
      </c>
      <c r="I28" s="60">
        <v>1390</v>
      </c>
      <c r="J28" s="60">
        <v>1454</v>
      </c>
      <c r="K28" s="60">
        <v>1556</v>
      </c>
      <c r="L28" s="15">
        <f>(K28-J28)*100/J28</f>
        <v>7.015130674002751</v>
      </c>
      <c r="M28" s="114">
        <f>((K28-O28)*100)/O28</f>
        <v>233.19057815845824</v>
      </c>
      <c r="N28" s="114"/>
      <c r="O28" s="27">
        <v>467</v>
      </c>
      <c r="P28" s="26"/>
      <c r="Q28" s="116">
        <v>1389818</v>
      </c>
      <c r="R28" s="1">
        <f>Q28/1000</f>
        <v>1389.818</v>
      </c>
      <c r="T28" s="3">
        <v>1454105</v>
      </c>
      <c r="U28" s="1">
        <f>T28/1000</f>
        <v>1454.105</v>
      </c>
      <c r="W28" s="3">
        <v>1555850</v>
      </c>
      <c r="X28" s="1">
        <f>W28/1000</f>
        <v>1555.85</v>
      </c>
    </row>
    <row r="29" spans="2:18" ht="12.75">
      <c r="B29" s="14"/>
      <c r="C29" s="14"/>
      <c r="D29" s="58"/>
      <c r="E29" s="76"/>
      <c r="F29" s="58"/>
      <c r="G29" s="58"/>
      <c r="H29" s="58"/>
      <c r="L29" s="15"/>
      <c r="M29" s="16"/>
      <c r="N29" s="16"/>
      <c r="O29" s="27"/>
      <c r="P29" s="26"/>
      <c r="Q29" s="161"/>
      <c r="R29" s="1"/>
    </row>
    <row r="30" spans="1:24" ht="12.75">
      <c r="A30" s="1" t="s">
        <v>18</v>
      </c>
      <c r="B30" s="14">
        <v>29485</v>
      </c>
      <c r="C30" s="14">
        <v>29322</v>
      </c>
      <c r="D30" s="58">
        <v>30477</v>
      </c>
      <c r="E30" s="76">
        <v>31226</v>
      </c>
      <c r="F30" s="58">
        <v>31848</v>
      </c>
      <c r="G30" s="58">
        <v>32719</v>
      </c>
      <c r="H30" s="60">
        <v>33746</v>
      </c>
      <c r="I30" s="60">
        <v>82145</v>
      </c>
      <c r="J30" s="60">
        <v>87194</v>
      </c>
      <c r="K30" s="60">
        <v>95287</v>
      </c>
      <c r="L30" s="15">
        <f>(K30-J30)*100/J30</f>
        <v>9.281601945087965</v>
      </c>
      <c r="M30" s="114">
        <f>((K30-O30)*100)/O30</f>
        <v>223.18206484873153</v>
      </c>
      <c r="N30" s="114"/>
      <c r="O30" s="27">
        <v>29484</v>
      </c>
      <c r="P30" s="26"/>
      <c r="Q30" s="116">
        <v>82144795</v>
      </c>
      <c r="R30" s="1">
        <f>Q30/1000</f>
        <v>82144.795</v>
      </c>
      <c r="T30" s="3">
        <v>87193587</v>
      </c>
      <c r="U30" s="1">
        <f>T30/1000</f>
        <v>87193.587</v>
      </c>
      <c r="W30" s="3">
        <v>95287116</v>
      </c>
      <c r="X30" s="1">
        <f>W30/1000</f>
        <v>95287.116</v>
      </c>
    </row>
    <row r="31" spans="1:24" ht="12.75">
      <c r="A31" s="1" t="s">
        <v>19</v>
      </c>
      <c r="B31" s="14">
        <v>16282</v>
      </c>
      <c r="C31" s="14">
        <v>16624</v>
      </c>
      <c r="D31" s="58">
        <v>16909</v>
      </c>
      <c r="E31" s="76">
        <v>17113</v>
      </c>
      <c r="F31" s="58">
        <v>17427</v>
      </c>
      <c r="G31" s="58">
        <v>17791.02</v>
      </c>
      <c r="H31" s="60">
        <v>17982</v>
      </c>
      <c r="I31" s="60">
        <v>41878</v>
      </c>
      <c r="J31" s="60">
        <v>43740</v>
      </c>
      <c r="K31" s="60">
        <v>45737</v>
      </c>
      <c r="L31" s="15">
        <f>(K31-J31)*100/J31</f>
        <v>4.565614997713763</v>
      </c>
      <c r="M31" s="114">
        <f>((K31-O31)*100)/O31</f>
        <v>190.09894710135734</v>
      </c>
      <c r="N31" s="114"/>
      <c r="O31" s="27">
        <v>15766</v>
      </c>
      <c r="P31" s="26"/>
      <c r="Q31" s="116">
        <v>41877508</v>
      </c>
      <c r="R31" s="1">
        <f>Q31/1000</f>
        <v>41877.508</v>
      </c>
      <c r="T31" s="3">
        <v>43740098</v>
      </c>
      <c r="U31" s="1">
        <f>T31/1000</f>
        <v>43740.098</v>
      </c>
      <c r="W31" s="3">
        <v>45736798</v>
      </c>
      <c r="X31" s="1">
        <f>W31/1000</f>
        <v>45736.798</v>
      </c>
    </row>
    <row r="32" spans="1:24" ht="12.75">
      <c r="A32" s="1" t="s">
        <v>20</v>
      </c>
      <c r="B32" s="14">
        <v>996</v>
      </c>
      <c r="C32" s="14">
        <v>1032</v>
      </c>
      <c r="D32" s="58">
        <v>1081</v>
      </c>
      <c r="E32" s="76">
        <v>1120</v>
      </c>
      <c r="F32" s="58">
        <v>1167</v>
      </c>
      <c r="G32" s="58">
        <v>1221.51</v>
      </c>
      <c r="H32" s="60">
        <v>1290</v>
      </c>
      <c r="I32" s="60">
        <v>3341</v>
      </c>
      <c r="J32" s="60">
        <v>3621</v>
      </c>
      <c r="K32" s="60">
        <v>4032</v>
      </c>
      <c r="L32" s="15">
        <f>(K32-J32)*100/J32</f>
        <v>11.350455675227838</v>
      </c>
      <c r="M32" s="114">
        <f>((K32-O32)*100)/O32</f>
        <v>319.1268191268191</v>
      </c>
      <c r="N32" s="114"/>
      <c r="O32" s="27">
        <v>962</v>
      </c>
      <c r="P32" s="26"/>
      <c r="Q32" s="116">
        <v>3340827</v>
      </c>
      <c r="R32" s="1">
        <f>Q32/1000</f>
        <v>3340.827</v>
      </c>
      <c r="T32" s="3">
        <v>3620689</v>
      </c>
      <c r="U32" s="1">
        <f>T32/1000</f>
        <v>3620.689</v>
      </c>
      <c r="W32" s="3">
        <v>4032277</v>
      </c>
      <c r="X32" s="1">
        <f>W32/1000</f>
        <v>4032.277</v>
      </c>
    </row>
    <row r="33" spans="1:24" ht="12.75">
      <c r="A33" s="1" t="s">
        <v>21</v>
      </c>
      <c r="B33" s="14">
        <v>1612</v>
      </c>
      <c r="C33" s="14">
        <v>1695</v>
      </c>
      <c r="D33" s="58">
        <v>1798</v>
      </c>
      <c r="E33" s="76">
        <v>1848</v>
      </c>
      <c r="F33" s="58">
        <v>1958</v>
      </c>
      <c r="G33" s="58">
        <v>2053.67</v>
      </c>
      <c r="H33" s="60">
        <v>2150</v>
      </c>
      <c r="I33" s="60">
        <v>5237</v>
      </c>
      <c r="J33" s="60">
        <v>5534</v>
      </c>
      <c r="K33" s="60">
        <v>5831</v>
      </c>
      <c r="L33" s="15">
        <f>(K33-J33)*100/J33</f>
        <v>5.3668232743043</v>
      </c>
      <c r="M33" s="114">
        <f>((K33-O33)*100)/O33</f>
        <v>279.3754066363045</v>
      </c>
      <c r="N33" s="114"/>
      <c r="O33" s="27">
        <v>1537</v>
      </c>
      <c r="P33" s="26"/>
      <c r="Q33" s="116">
        <v>5236506</v>
      </c>
      <c r="R33" s="1">
        <f>Q33/1000</f>
        <v>5236.506</v>
      </c>
      <c r="T33" s="3">
        <v>5533506</v>
      </c>
      <c r="U33" s="1">
        <f>T33/1000</f>
        <v>5533.506</v>
      </c>
      <c r="W33" s="3">
        <v>5830982</v>
      </c>
      <c r="X33" s="1">
        <f>W33/1000</f>
        <v>5830.982</v>
      </c>
    </row>
    <row r="34" spans="1:24" ht="12.75">
      <c r="A34" s="1" t="s">
        <v>22</v>
      </c>
      <c r="B34" s="14">
        <v>275</v>
      </c>
      <c r="C34" s="14">
        <v>286</v>
      </c>
      <c r="D34" s="58">
        <v>300</v>
      </c>
      <c r="E34" s="76">
        <v>307</v>
      </c>
      <c r="F34" s="58">
        <v>312</v>
      </c>
      <c r="G34" s="58">
        <v>321.67</v>
      </c>
      <c r="H34" s="60">
        <v>330</v>
      </c>
      <c r="I34" s="60">
        <v>734</v>
      </c>
      <c r="J34" s="60">
        <v>759</v>
      </c>
      <c r="K34" s="60">
        <v>799</v>
      </c>
      <c r="L34" s="15">
        <f>(K34-J34)*100/J34</f>
        <v>5.270092226613966</v>
      </c>
      <c r="M34" s="114">
        <f>((K34-O34)*100)/O34</f>
        <v>198.13432835820896</v>
      </c>
      <c r="N34" s="114"/>
      <c r="O34" s="27">
        <v>268</v>
      </c>
      <c r="P34" s="26"/>
      <c r="Q34" s="116">
        <v>733783</v>
      </c>
      <c r="R34" s="1">
        <f>Q34/1000</f>
        <v>733.783</v>
      </c>
      <c r="T34" s="3">
        <v>758573</v>
      </c>
      <c r="U34" s="1">
        <f>T34/1000</f>
        <v>758.573</v>
      </c>
      <c r="W34" s="3">
        <v>799003</v>
      </c>
      <c r="X34" s="1">
        <f>W34/1000</f>
        <v>799.003</v>
      </c>
    </row>
    <row r="35" spans="2:18" ht="12.75">
      <c r="B35" s="14"/>
      <c r="C35" s="14"/>
      <c r="D35" s="58"/>
      <c r="E35" s="76"/>
      <c r="F35" s="58"/>
      <c r="G35" s="58"/>
      <c r="H35" s="58"/>
      <c r="L35" s="15"/>
      <c r="M35" s="16"/>
      <c r="N35" s="16"/>
      <c r="O35" s="27"/>
      <c r="P35" s="26"/>
      <c r="Q35" s="116"/>
      <c r="R35" s="1"/>
    </row>
    <row r="36" spans="1:24" ht="12.75">
      <c r="A36" s="1" t="s">
        <v>23</v>
      </c>
      <c r="B36" s="14">
        <v>1194</v>
      </c>
      <c r="C36" s="14">
        <v>1208</v>
      </c>
      <c r="D36" s="58">
        <v>1237</v>
      </c>
      <c r="E36" s="76">
        <v>1273</v>
      </c>
      <c r="F36" s="58">
        <v>1319</v>
      </c>
      <c r="G36" s="58">
        <v>1373.72</v>
      </c>
      <c r="H36" s="60">
        <v>1381</v>
      </c>
      <c r="I36" s="60">
        <v>3751</v>
      </c>
      <c r="J36" s="60">
        <v>4068</v>
      </c>
      <c r="K36" s="60">
        <v>4518</v>
      </c>
      <c r="L36" s="15">
        <f>(K36-J36)*100/J36</f>
        <v>11.061946902654867</v>
      </c>
      <c r="M36" s="114">
        <f>((K36-O36)*100)/O36</f>
        <v>283.206106870229</v>
      </c>
      <c r="N36" s="114"/>
      <c r="O36" s="27">
        <v>1179</v>
      </c>
      <c r="P36" s="26"/>
      <c r="Q36" s="116">
        <v>3750568</v>
      </c>
      <c r="R36" s="1">
        <f>Q36/1000</f>
        <v>3750.568</v>
      </c>
      <c r="T36" s="3">
        <v>4068200</v>
      </c>
      <c r="U36" s="1">
        <f>T36/1000</f>
        <v>4068.2</v>
      </c>
      <c r="W36" s="3">
        <v>4517967</v>
      </c>
      <c r="X36" s="1">
        <f>W36/1000</f>
        <v>4517.967</v>
      </c>
    </row>
    <row r="37" spans="1:24" ht="12.75">
      <c r="A37" s="1" t="s">
        <v>24</v>
      </c>
      <c r="B37" s="14">
        <v>2204</v>
      </c>
      <c r="C37" s="14">
        <v>2310</v>
      </c>
      <c r="D37" s="58">
        <v>2443</v>
      </c>
      <c r="E37" s="76">
        <v>2569</v>
      </c>
      <c r="F37" s="58">
        <v>2639</v>
      </c>
      <c r="G37" s="58">
        <v>2760.17</v>
      </c>
      <c r="H37" s="60">
        <v>2875</v>
      </c>
      <c r="I37" s="60">
        <v>6885</v>
      </c>
      <c r="J37" s="60">
        <v>7015</v>
      </c>
      <c r="K37" s="60">
        <v>7673</v>
      </c>
      <c r="L37" s="15">
        <f>(K37-J37)*100/J37</f>
        <v>9.379900213827513</v>
      </c>
      <c r="M37" s="114">
        <f>((K37-O37)*100)/O37</f>
        <v>270.67632850241546</v>
      </c>
      <c r="N37" s="114"/>
      <c r="O37" s="27">
        <v>2070</v>
      </c>
      <c r="P37" s="26"/>
      <c r="Q37" s="116">
        <v>6885247</v>
      </c>
      <c r="R37" s="1">
        <f>Q37/1000</f>
        <v>6885.247</v>
      </c>
      <c r="T37" s="3">
        <v>7015202</v>
      </c>
      <c r="U37" s="1">
        <f>T37/1000</f>
        <v>7015.202</v>
      </c>
      <c r="W37" s="3">
        <v>7673262</v>
      </c>
      <c r="X37" s="1">
        <f>W37/1000</f>
        <v>7673.262</v>
      </c>
    </row>
    <row r="38" spans="1:24" ht="12.75">
      <c r="A38" s="1" t="s">
        <v>25</v>
      </c>
      <c r="B38" s="14">
        <v>1450</v>
      </c>
      <c r="C38" s="14">
        <v>1469</v>
      </c>
      <c r="D38" s="58">
        <v>1572</v>
      </c>
      <c r="E38" s="76">
        <v>1615</v>
      </c>
      <c r="F38" s="58">
        <v>1647</v>
      </c>
      <c r="G38" s="58">
        <v>1741.53</v>
      </c>
      <c r="H38" s="60">
        <v>1822</v>
      </c>
      <c r="I38" s="60">
        <v>3964</v>
      </c>
      <c r="J38" s="60">
        <v>4104</v>
      </c>
      <c r="K38" s="60">
        <v>4336</v>
      </c>
      <c r="L38" s="15">
        <f>(K38-J38)*100/J38</f>
        <v>5.653021442495127</v>
      </c>
      <c r="M38" s="114">
        <f>((K38-O38)*100)/O38</f>
        <v>211.94244604316546</v>
      </c>
      <c r="N38" s="114"/>
      <c r="O38" s="27">
        <v>1390</v>
      </c>
      <c r="P38" s="26"/>
      <c r="Q38" s="116">
        <v>3963974</v>
      </c>
      <c r="R38" s="1">
        <f>Q38/1000</f>
        <v>3963.974</v>
      </c>
      <c r="T38" s="3">
        <v>4104142</v>
      </c>
      <c r="U38" s="1">
        <f>T38/1000</f>
        <v>4104.142</v>
      </c>
      <c r="W38" s="3">
        <v>4335777</v>
      </c>
      <c r="X38" s="1">
        <f>W38/1000</f>
        <v>4335.777</v>
      </c>
    </row>
    <row r="39" spans="1:24" ht="12.75">
      <c r="A39" s="1" t="s">
        <v>26</v>
      </c>
      <c r="B39" s="14">
        <v>2291</v>
      </c>
      <c r="C39" s="14">
        <v>2309</v>
      </c>
      <c r="D39" s="58">
        <v>2375</v>
      </c>
      <c r="E39" s="76">
        <v>2420</v>
      </c>
      <c r="F39" s="58">
        <v>2487</v>
      </c>
      <c r="G39" s="58">
        <v>2585.89</v>
      </c>
      <c r="H39" s="60">
        <v>2677</v>
      </c>
      <c r="I39" s="60">
        <v>6701</v>
      </c>
      <c r="J39" s="60">
        <v>7239</v>
      </c>
      <c r="K39" s="60">
        <v>8401</v>
      </c>
      <c r="L39" s="15">
        <f>(K39-J39)*100/J39</f>
        <v>16.051940875811574</v>
      </c>
      <c r="M39" s="114">
        <f>((K39-O39)*100)/O39</f>
        <v>273.70996441281136</v>
      </c>
      <c r="N39" s="114"/>
      <c r="O39" s="27">
        <v>2248</v>
      </c>
      <c r="P39" s="26"/>
      <c r="Q39" s="117">
        <v>6700745</v>
      </c>
      <c r="R39" s="1">
        <f>Q39/1000</f>
        <v>6700.745</v>
      </c>
      <c r="T39" s="3">
        <v>7239037</v>
      </c>
      <c r="U39" s="1">
        <f>T39/1000</f>
        <v>7239.037</v>
      </c>
      <c r="W39" s="3">
        <v>8400551</v>
      </c>
      <c r="X39" s="1">
        <f>W39/1000</f>
        <v>8400.551</v>
      </c>
    </row>
    <row r="40" spans="1:14" ht="12.75">
      <c r="A40" s="18"/>
      <c r="B40" s="19"/>
      <c r="C40" s="18"/>
      <c r="D40" s="18"/>
      <c r="E40" s="18"/>
      <c r="F40" s="18"/>
      <c r="G40" s="18"/>
      <c r="H40" s="61"/>
      <c r="I40" s="75"/>
      <c r="J40" s="75"/>
      <c r="K40" s="75"/>
      <c r="L40" s="75"/>
      <c r="M40" s="18"/>
      <c r="N40" s="18"/>
    </row>
    <row r="41" ht="12.75">
      <c r="B41" s="14"/>
    </row>
    <row r="42" ht="12.75">
      <c r="B42" s="14"/>
    </row>
    <row r="43" ht="12.75"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</sheetData>
  <mergeCells count="4">
    <mergeCell ref="L7:M7"/>
    <mergeCell ref="A3:M3"/>
    <mergeCell ref="A4:M4"/>
    <mergeCell ref="A1:M1"/>
  </mergeCells>
  <printOptions/>
  <pageMargins left="0.56" right="0.5" top="1" bottom="0.97" header="0.5" footer="0.5"/>
  <pageSetup fitToHeight="1" fitToWidth="1" orientation="landscape" scale="78" r:id="rId1"/>
  <headerFooter alignWithMargins="0">
    <oddFooter>&amp;L&amp;"Lucida Sans,Italic"&amp;10MSDE-DBS  1 / 2006&amp;C- 17 -&amp;R&amp;"Lucida Sans,Italic"&amp;10Selected Financial Data - Part 4</oddFooter>
  </headerFooter>
  <rowBreaks count="1" manualBreakCount="1">
    <brk id="4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workbookViewId="0" topLeftCell="A4">
      <selection activeCell="A4" sqref="A4:M4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4" width="6.625" style="1" customWidth="1"/>
    <col min="15" max="15" width="10.875" style="1" bestFit="1" customWidth="1"/>
    <col min="16" max="16" width="10.125" style="1" customWidth="1"/>
    <col min="17" max="35" width="10.125" style="3" customWidth="1"/>
    <col min="36" max="16384" width="10.00390625" style="3" customWidth="1"/>
  </cols>
  <sheetData>
    <row r="1" spans="1:15" ht="15.75" customHeight="1">
      <c r="A1" s="228" t="s">
        <v>76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108"/>
      <c r="O1" s="108"/>
    </row>
    <row r="2" spans="1:15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2.75">
      <c r="A3" s="228" t="s">
        <v>48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08"/>
      <c r="O3" s="108"/>
    </row>
    <row r="4" spans="1:15" ht="12.75">
      <c r="A4" s="228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8"/>
      <c r="O4" s="108"/>
    </row>
    <row r="5" ht="13.5" thickBot="1"/>
    <row r="6" spans="1:17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 t="s">
        <v>99</v>
      </c>
    </row>
    <row r="7" spans="7:17" ht="12.75">
      <c r="G7" s="58"/>
      <c r="H7" s="58"/>
      <c r="L7" s="239" t="s">
        <v>28</v>
      </c>
      <c r="M7" s="239"/>
      <c r="N7" s="211"/>
      <c r="Q7" s="1" t="s">
        <v>65</v>
      </c>
    </row>
    <row r="8" spans="1:17" ht="12.75">
      <c r="A8" s="7"/>
      <c r="B8" s="7"/>
      <c r="C8" s="7"/>
      <c r="D8" s="7"/>
      <c r="E8" s="7"/>
      <c r="F8" s="7"/>
      <c r="G8" s="59"/>
      <c r="H8" s="59"/>
      <c r="I8" s="7"/>
      <c r="J8" s="7"/>
      <c r="K8" s="7"/>
      <c r="L8" s="28" t="s">
        <v>59</v>
      </c>
      <c r="M8" s="28" t="s">
        <v>60</v>
      </c>
      <c r="N8" s="28"/>
      <c r="O8" s="7"/>
      <c r="P8" s="7"/>
      <c r="Q8" s="7" t="s">
        <v>100</v>
      </c>
    </row>
    <row r="9" spans="1:17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38" t="s">
        <v>58</v>
      </c>
      <c r="M9" s="38" t="s">
        <v>58</v>
      </c>
      <c r="N9" s="37"/>
      <c r="O9" s="33" t="s">
        <v>158</v>
      </c>
      <c r="P9" s="25"/>
      <c r="Q9" s="1" t="s">
        <v>176</v>
      </c>
    </row>
    <row r="10" spans="1:17" ht="12.75">
      <c r="A10" s="7" t="s">
        <v>2</v>
      </c>
      <c r="B10" s="11">
        <v>161323</v>
      </c>
      <c r="C10" s="11">
        <v>160750</v>
      </c>
      <c r="D10" s="62">
        <v>162899</v>
      </c>
      <c r="E10" s="62">
        <v>164076</v>
      </c>
      <c r="F10" s="79">
        <v>166351</v>
      </c>
      <c r="G10" s="79">
        <v>171036</v>
      </c>
      <c r="H10" s="79">
        <v>175636</v>
      </c>
      <c r="I10" s="79">
        <v>408593</v>
      </c>
      <c r="J10" s="79">
        <v>423674</v>
      </c>
      <c r="K10" s="79">
        <v>453837</v>
      </c>
      <c r="L10" s="12">
        <f>(K10-J10)/J10</f>
        <v>0.07119388964156403</v>
      </c>
      <c r="M10" s="12">
        <f>(K10-O10)/O10</f>
        <v>1.828402625002337</v>
      </c>
      <c r="N10" s="12"/>
      <c r="O10" s="11">
        <v>160457</v>
      </c>
      <c r="P10" s="11"/>
      <c r="Q10" s="1">
        <v>453837</v>
      </c>
    </row>
    <row r="11" spans="2:17" ht="12.75">
      <c r="B11" s="14"/>
      <c r="C11" s="14"/>
      <c r="D11" s="62"/>
      <c r="E11" s="62"/>
      <c r="L11" s="29"/>
      <c r="M11" s="84"/>
      <c r="N11" s="84"/>
      <c r="Q11" s="1"/>
    </row>
    <row r="12" spans="1:17" ht="12.75">
      <c r="A12" s="1" t="s">
        <v>3</v>
      </c>
      <c r="B12" s="14">
        <v>111727</v>
      </c>
      <c r="C12" s="14">
        <v>109449</v>
      </c>
      <c r="D12" s="60">
        <v>108163</v>
      </c>
      <c r="E12" s="60">
        <v>107474</v>
      </c>
      <c r="F12" s="1">
        <v>121976</v>
      </c>
      <c r="G12" s="1">
        <v>147593</v>
      </c>
      <c r="H12" s="1">
        <v>146939</v>
      </c>
      <c r="I12" s="1">
        <v>259095</v>
      </c>
      <c r="J12" s="1">
        <v>257094</v>
      </c>
      <c r="K12" s="1">
        <v>268029</v>
      </c>
      <c r="L12" s="15">
        <f>(K12-J12)*100/J12</f>
        <v>4.253308128544424</v>
      </c>
      <c r="M12" s="114">
        <f>((K12-O12)*100)/O12</f>
        <v>141.47191841294438</v>
      </c>
      <c r="N12" s="114"/>
      <c r="O12" s="27">
        <v>110998</v>
      </c>
      <c r="P12" s="26"/>
      <c r="Q12" s="1">
        <v>268029</v>
      </c>
    </row>
    <row r="13" spans="1:17" ht="12.75">
      <c r="A13" s="1" t="s">
        <v>4</v>
      </c>
      <c r="B13" s="14">
        <v>191604</v>
      </c>
      <c r="C13" s="14">
        <v>192297</v>
      </c>
      <c r="D13" s="60">
        <v>194030</v>
      </c>
      <c r="E13" s="60">
        <v>195889</v>
      </c>
      <c r="F13" s="1">
        <v>200371</v>
      </c>
      <c r="G13" s="1">
        <v>205404</v>
      </c>
      <c r="H13" s="1">
        <v>210401</v>
      </c>
      <c r="I13" s="1">
        <v>500076</v>
      </c>
      <c r="J13" s="1">
        <v>533494</v>
      </c>
      <c r="K13" s="1">
        <v>577628</v>
      </c>
      <c r="L13" s="15">
        <f>(K13-J13)*100/J13</f>
        <v>8.27263286934811</v>
      </c>
      <c r="M13" s="114">
        <f>((K13-O13)*100)/O13</f>
        <v>207.81708792292156</v>
      </c>
      <c r="N13" s="114"/>
      <c r="O13" s="27">
        <v>187653</v>
      </c>
      <c r="P13" s="26"/>
      <c r="Q13" s="1">
        <v>577628</v>
      </c>
    </row>
    <row r="14" spans="1:17" ht="12.75">
      <c r="A14" s="1" t="s">
        <v>5</v>
      </c>
      <c r="B14" s="14">
        <v>80438</v>
      </c>
      <c r="C14" s="14">
        <v>80812</v>
      </c>
      <c r="D14" s="60">
        <v>81119</v>
      </c>
      <c r="E14" s="60">
        <v>81653</v>
      </c>
      <c r="F14" s="1">
        <v>84260</v>
      </c>
      <c r="G14" s="1">
        <v>88247</v>
      </c>
      <c r="H14" s="1">
        <v>90825</v>
      </c>
      <c r="I14" s="1">
        <v>203324</v>
      </c>
      <c r="J14" s="1">
        <v>210544</v>
      </c>
      <c r="K14" s="1">
        <v>224410</v>
      </c>
      <c r="L14" s="15">
        <f>(K14-J14)*100/J14</f>
        <v>6.585796793069382</v>
      </c>
      <c r="M14" s="114">
        <f>((K14-O14)*100)/O14</f>
        <v>182.94226671541867</v>
      </c>
      <c r="N14" s="114"/>
      <c r="O14" s="27">
        <v>79313</v>
      </c>
      <c r="P14" s="26"/>
      <c r="Q14" s="1">
        <v>224410</v>
      </c>
    </row>
    <row r="15" spans="1:17" ht="12.75">
      <c r="A15" s="1" t="s">
        <v>6</v>
      </c>
      <c r="B15" s="14">
        <v>170822</v>
      </c>
      <c r="C15" s="14">
        <v>168805</v>
      </c>
      <c r="D15" s="60">
        <v>170153</v>
      </c>
      <c r="E15" s="60">
        <v>172346</v>
      </c>
      <c r="F15" s="1">
        <v>174104</v>
      </c>
      <c r="G15" s="1">
        <v>178763</v>
      </c>
      <c r="H15" s="1">
        <v>182710</v>
      </c>
      <c r="I15" s="1">
        <v>425035</v>
      </c>
      <c r="J15" s="1">
        <v>436558</v>
      </c>
      <c r="K15" s="1">
        <v>453911</v>
      </c>
      <c r="L15" s="15">
        <f>(K15-J15)*100/J15</f>
        <v>3.9749586538329384</v>
      </c>
      <c r="M15" s="114">
        <f>((K15-O15)*100)/O15</f>
        <v>161.99617895423404</v>
      </c>
      <c r="N15" s="114"/>
      <c r="O15" s="27">
        <v>173251</v>
      </c>
      <c r="P15" s="26"/>
      <c r="Q15" s="1">
        <v>453911</v>
      </c>
    </row>
    <row r="16" spans="1:17" ht="12.75">
      <c r="A16" s="1" t="s">
        <v>7</v>
      </c>
      <c r="B16" s="14">
        <v>202480</v>
      </c>
      <c r="C16" s="14">
        <v>198607</v>
      </c>
      <c r="D16" s="60">
        <v>199769</v>
      </c>
      <c r="E16" s="60">
        <v>199751</v>
      </c>
      <c r="F16" s="1">
        <v>198906</v>
      </c>
      <c r="G16" s="1">
        <v>198865</v>
      </c>
      <c r="H16" s="1">
        <v>188173</v>
      </c>
      <c r="I16" s="1">
        <v>381782</v>
      </c>
      <c r="J16" s="1">
        <v>394392</v>
      </c>
      <c r="K16" s="1">
        <v>417476</v>
      </c>
      <c r="L16" s="15">
        <f>(K16-J16)*100/J16</f>
        <v>5.853059899795127</v>
      </c>
      <c r="M16" s="114">
        <f>((K16-O16)*100)/O16</f>
        <v>111.51090800393155</v>
      </c>
      <c r="N16" s="114"/>
      <c r="O16" s="27">
        <v>197378</v>
      </c>
      <c r="P16" s="26"/>
      <c r="Q16" s="1">
        <v>417476</v>
      </c>
    </row>
    <row r="17" spans="2:17" ht="12.75">
      <c r="B17" s="14"/>
      <c r="C17" s="14"/>
      <c r="D17" s="60"/>
      <c r="E17" s="60"/>
      <c r="L17" s="15"/>
      <c r="M17" s="16"/>
      <c r="N17" s="16"/>
      <c r="O17" s="27"/>
      <c r="P17" s="26"/>
      <c r="Q17" s="1"/>
    </row>
    <row r="18" spans="1:17" ht="12.75">
      <c r="A18" s="1" t="s">
        <v>8</v>
      </c>
      <c r="B18" s="14">
        <v>82813</v>
      </c>
      <c r="C18" s="14">
        <v>81840</v>
      </c>
      <c r="D18" s="60">
        <v>85446</v>
      </c>
      <c r="E18" s="60">
        <v>92008</v>
      </c>
      <c r="F18" s="1">
        <v>91262</v>
      </c>
      <c r="G18" s="1">
        <v>96117</v>
      </c>
      <c r="H18" s="1">
        <v>102242</v>
      </c>
      <c r="I18" s="1">
        <v>242513</v>
      </c>
      <c r="J18" s="1">
        <v>255945</v>
      </c>
      <c r="K18" s="1">
        <v>274793</v>
      </c>
      <c r="L18" s="15">
        <f>(K18-J18)*100/J18</f>
        <v>7.3640821270194765</v>
      </c>
      <c r="M18" s="114">
        <f>((K18-O18)*100)/O18</f>
        <v>235.7070429417873</v>
      </c>
      <c r="N18" s="114"/>
      <c r="O18" s="27">
        <v>81855</v>
      </c>
      <c r="P18" s="26"/>
      <c r="Q18" s="1">
        <v>274793</v>
      </c>
    </row>
    <row r="19" spans="1:17" ht="12.75">
      <c r="A19" s="1" t="s">
        <v>9</v>
      </c>
      <c r="B19" s="14">
        <v>131490</v>
      </c>
      <c r="C19" s="14">
        <v>131844</v>
      </c>
      <c r="D19" s="60">
        <v>133362</v>
      </c>
      <c r="E19" s="60">
        <v>134041</v>
      </c>
      <c r="F19" s="1">
        <v>136943</v>
      </c>
      <c r="G19" s="1">
        <v>143689</v>
      </c>
      <c r="H19" s="1">
        <v>149217</v>
      </c>
      <c r="I19" s="1">
        <v>357624</v>
      </c>
      <c r="J19" s="1">
        <v>375543</v>
      </c>
      <c r="K19" s="1">
        <v>395405</v>
      </c>
      <c r="L19" s="15">
        <f>(K19-J19)*100/J19</f>
        <v>5.288875042272124</v>
      </c>
      <c r="M19" s="114">
        <f>((K19-O19)*100)/O19</f>
        <v>212.5953625159102</v>
      </c>
      <c r="N19" s="114"/>
      <c r="O19" s="27">
        <v>126491</v>
      </c>
      <c r="P19" s="26"/>
      <c r="Q19" s="1">
        <v>395405</v>
      </c>
    </row>
    <row r="20" spans="1:17" ht="12.75">
      <c r="A20" s="1" t="s">
        <v>10</v>
      </c>
      <c r="B20" s="14">
        <v>121651</v>
      </c>
      <c r="C20" s="14">
        <v>123019</v>
      </c>
      <c r="D20" s="60">
        <v>124799</v>
      </c>
      <c r="E20" s="60">
        <v>125130</v>
      </c>
      <c r="F20" s="1">
        <v>127526</v>
      </c>
      <c r="G20" s="1">
        <v>131709</v>
      </c>
      <c r="H20" s="1">
        <v>134431</v>
      </c>
      <c r="I20" s="1">
        <v>322445</v>
      </c>
      <c r="J20" s="1">
        <v>336900</v>
      </c>
      <c r="K20" s="1">
        <v>360178</v>
      </c>
      <c r="L20" s="15">
        <f>(K20-J20)*100/J20</f>
        <v>6.909468685069753</v>
      </c>
      <c r="M20" s="114">
        <f>((K20-O20)*100)/O20</f>
        <v>208.4006199213967</v>
      </c>
      <c r="N20" s="114"/>
      <c r="O20" s="27">
        <v>116789</v>
      </c>
      <c r="P20" s="26"/>
      <c r="Q20" s="1">
        <v>360178</v>
      </c>
    </row>
    <row r="21" spans="1:17" ht="12.75">
      <c r="A21" s="1" t="s">
        <v>11</v>
      </c>
      <c r="B21" s="14">
        <v>139734</v>
      </c>
      <c r="C21" s="14">
        <v>143036</v>
      </c>
      <c r="D21" s="60">
        <v>153526</v>
      </c>
      <c r="E21" s="60">
        <v>148911</v>
      </c>
      <c r="F21" s="1">
        <v>149690</v>
      </c>
      <c r="G21" s="1">
        <v>152633</v>
      </c>
      <c r="H21" s="1">
        <v>150151</v>
      </c>
      <c r="I21" s="1">
        <v>354652</v>
      </c>
      <c r="J21" s="1">
        <v>364107</v>
      </c>
      <c r="K21" s="1">
        <v>376883</v>
      </c>
      <c r="L21" s="15">
        <f>(K21-J21)*100/J21</f>
        <v>3.5088586596797096</v>
      </c>
      <c r="M21" s="114">
        <f>((K21-O21)*100)/O21</f>
        <v>181.91447186338237</v>
      </c>
      <c r="N21" s="114"/>
      <c r="O21" s="27">
        <v>133687</v>
      </c>
      <c r="P21" s="26"/>
      <c r="Q21" s="1">
        <v>376883</v>
      </c>
    </row>
    <row r="22" spans="1:17" ht="12.75">
      <c r="A22" s="1" t="s">
        <v>12</v>
      </c>
      <c r="B22" s="14">
        <v>127055</v>
      </c>
      <c r="C22" s="14">
        <v>129009</v>
      </c>
      <c r="D22" s="60">
        <v>132314</v>
      </c>
      <c r="E22" s="60">
        <v>135969</v>
      </c>
      <c r="F22" s="1">
        <v>139370</v>
      </c>
      <c r="G22" s="1">
        <v>142931</v>
      </c>
      <c r="H22" s="1">
        <v>149452</v>
      </c>
      <c r="I22" s="1">
        <v>338811</v>
      </c>
      <c r="J22" s="1">
        <v>361285</v>
      </c>
      <c r="K22" s="1">
        <v>397908</v>
      </c>
      <c r="L22" s="15">
        <f>(K22-J22)*100/J22</f>
        <v>10.136872552140277</v>
      </c>
      <c r="M22" s="114">
        <f>((K22-O22)*100)/O22</f>
        <v>220.41292899360636</v>
      </c>
      <c r="N22" s="114"/>
      <c r="O22" s="27">
        <v>124186</v>
      </c>
      <c r="P22" s="26"/>
      <c r="Q22" s="1">
        <v>397908</v>
      </c>
    </row>
    <row r="23" spans="2:17" ht="12.75">
      <c r="B23" s="14"/>
      <c r="C23" s="14"/>
      <c r="D23" s="60"/>
      <c r="E23" s="60"/>
      <c r="L23" s="15"/>
      <c r="M23" s="16"/>
      <c r="N23" s="16"/>
      <c r="O23" s="27"/>
      <c r="P23" s="26"/>
      <c r="Q23" s="1"/>
    </row>
    <row r="24" spans="1:17" ht="12.75">
      <c r="A24" s="1" t="s">
        <v>13</v>
      </c>
      <c r="B24" s="14">
        <v>134000</v>
      </c>
      <c r="C24" s="14">
        <v>133801</v>
      </c>
      <c r="D24" s="60">
        <v>136811</v>
      </c>
      <c r="E24" s="60">
        <v>137788</v>
      </c>
      <c r="F24" s="1">
        <v>140094</v>
      </c>
      <c r="G24" s="1">
        <v>145874</v>
      </c>
      <c r="H24" s="1">
        <v>147276</v>
      </c>
      <c r="I24" s="1">
        <v>359990</v>
      </c>
      <c r="J24" s="1">
        <v>380179</v>
      </c>
      <c r="K24" s="1">
        <v>400655</v>
      </c>
      <c r="L24" s="15">
        <f>(K24-J24)*100/J24</f>
        <v>5.38588401779162</v>
      </c>
      <c r="M24" s="114">
        <f>((K24-O24)*100)/O24</f>
        <v>207.27904408381139</v>
      </c>
      <c r="N24" s="114"/>
      <c r="O24" s="27">
        <v>130388</v>
      </c>
      <c r="P24" s="26"/>
      <c r="Q24" s="1">
        <v>400655</v>
      </c>
    </row>
    <row r="25" spans="1:17" ht="12.75">
      <c r="A25" s="1" t="s">
        <v>14</v>
      </c>
      <c r="B25" s="14">
        <v>132120</v>
      </c>
      <c r="C25" s="14">
        <v>137219</v>
      </c>
      <c r="D25" s="60">
        <v>145919</v>
      </c>
      <c r="E25" s="60">
        <v>150069</v>
      </c>
      <c r="F25" s="1">
        <v>154687</v>
      </c>
      <c r="G25" s="1">
        <v>162488</v>
      </c>
      <c r="H25" s="1">
        <v>175220</v>
      </c>
      <c r="I25" s="1">
        <v>404809</v>
      </c>
      <c r="J25" s="1">
        <v>448014</v>
      </c>
      <c r="K25" s="1">
        <v>484242</v>
      </c>
      <c r="L25" s="15">
        <f>(K25-J25)*100/J25</f>
        <v>8.08635444428076</v>
      </c>
      <c r="M25" s="114">
        <f>((K25-O25)*100)/O25</f>
        <v>268.6794320301496</v>
      </c>
      <c r="N25" s="114"/>
      <c r="O25" s="27">
        <v>131345</v>
      </c>
      <c r="P25" s="26"/>
      <c r="Q25" s="1">
        <v>484242</v>
      </c>
    </row>
    <row r="26" spans="1:17" ht="12.75">
      <c r="A26" s="1" t="s">
        <v>15</v>
      </c>
      <c r="B26" s="14">
        <v>120357</v>
      </c>
      <c r="C26" s="14">
        <v>124371</v>
      </c>
      <c r="D26" s="60">
        <v>127371</v>
      </c>
      <c r="E26" s="60">
        <v>132072</v>
      </c>
      <c r="F26" s="1">
        <v>135049</v>
      </c>
      <c r="G26" s="1">
        <v>140890</v>
      </c>
      <c r="H26" s="1">
        <v>145395</v>
      </c>
      <c r="I26" s="1">
        <v>339433</v>
      </c>
      <c r="J26" s="1">
        <v>339660</v>
      </c>
      <c r="K26" s="1">
        <v>360494</v>
      </c>
      <c r="L26" s="15">
        <f>(K26-J26)*100/J26</f>
        <v>6.133780839663193</v>
      </c>
      <c r="M26" s="114">
        <f>((K26-O26)*100)/O26</f>
        <v>213.61758027612726</v>
      </c>
      <c r="N26" s="114"/>
      <c r="O26" s="27">
        <v>114947</v>
      </c>
      <c r="P26" s="26"/>
      <c r="Q26" s="1">
        <v>360494</v>
      </c>
    </row>
    <row r="27" spans="1:17" ht="12.75">
      <c r="A27" s="1" t="s">
        <v>16</v>
      </c>
      <c r="B27" s="14">
        <v>187446</v>
      </c>
      <c r="C27" s="14">
        <v>191455</v>
      </c>
      <c r="D27" s="60">
        <v>189581</v>
      </c>
      <c r="E27" s="60">
        <v>191282</v>
      </c>
      <c r="F27" s="1">
        <v>192534</v>
      </c>
      <c r="G27" s="1">
        <v>196414</v>
      </c>
      <c r="H27" s="1">
        <v>199940</v>
      </c>
      <c r="I27" s="1">
        <v>490378</v>
      </c>
      <c r="J27" s="1">
        <v>476835</v>
      </c>
      <c r="K27" s="1">
        <v>525874</v>
      </c>
      <c r="L27" s="15">
        <f>(K27-J27)*100/J27</f>
        <v>10.28427024022985</v>
      </c>
      <c r="M27" s="114">
        <f>((K27-O27)*100)/O27</f>
        <v>177.46360715246743</v>
      </c>
      <c r="N27" s="114"/>
      <c r="O27" s="27">
        <v>189529</v>
      </c>
      <c r="P27" s="26"/>
      <c r="Q27" s="1">
        <v>525874</v>
      </c>
    </row>
    <row r="28" spans="1:17" ht="12.75">
      <c r="A28" s="1" t="s">
        <v>17</v>
      </c>
      <c r="B28" s="14">
        <v>187385</v>
      </c>
      <c r="C28" s="14">
        <v>189469</v>
      </c>
      <c r="D28" s="60">
        <v>190395</v>
      </c>
      <c r="E28" s="60">
        <v>196758</v>
      </c>
      <c r="F28" s="1">
        <v>201560</v>
      </c>
      <c r="G28" s="1">
        <v>202829</v>
      </c>
      <c r="H28" s="1">
        <v>216238</v>
      </c>
      <c r="I28" s="1">
        <v>533806</v>
      </c>
      <c r="J28" s="1">
        <v>573201</v>
      </c>
      <c r="K28" s="1">
        <v>629455</v>
      </c>
      <c r="L28" s="15">
        <f>(K28-J28)*100/J28</f>
        <v>9.814009396354857</v>
      </c>
      <c r="M28" s="114">
        <f>((K28-O28)*100)/O28</f>
        <v>241.34378135083105</v>
      </c>
      <c r="N28" s="114"/>
      <c r="O28" s="27">
        <v>184405</v>
      </c>
      <c r="P28" s="26"/>
      <c r="Q28" s="1">
        <v>629455</v>
      </c>
    </row>
    <row r="29" spans="2:17" ht="12.75">
      <c r="B29" s="14"/>
      <c r="C29" s="14"/>
      <c r="D29" s="60"/>
      <c r="E29" s="60"/>
      <c r="L29" s="15"/>
      <c r="M29" s="16"/>
      <c r="N29" s="16"/>
      <c r="O29" s="27"/>
      <c r="P29" s="26"/>
      <c r="Q29" s="1"/>
    </row>
    <row r="30" spans="1:17" ht="12.75">
      <c r="A30" s="1" t="s">
        <v>18</v>
      </c>
      <c r="B30" s="14">
        <v>264622</v>
      </c>
      <c r="C30" s="14">
        <v>256195</v>
      </c>
      <c r="D30" s="60">
        <v>259934</v>
      </c>
      <c r="E30" s="60">
        <v>260556</v>
      </c>
      <c r="F30" s="1">
        <v>258875</v>
      </c>
      <c r="G30" s="1">
        <v>259670</v>
      </c>
      <c r="H30" s="1">
        <v>261279</v>
      </c>
      <c r="I30" s="1">
        <v>619261</v>
      </c>
      <c r="J30" s="1">
        <v>644526</v>
      </c>
      <c r="K30" s="1">
        <v>703431</v>
      </c>
      <c r="L30" s="15">
        <f>(K30-J30)*100/J30</f>
        <v>9.139274443544558</v>
      </c>
      <c r="M30" s="114">
        <f>((K30-O30)*100)/O30</f>
        <v>158.20140583992512</v>
      </c>
      <c r="N30" s="114"/>
      <c r="O30" s="27">
        <v>272435</v>
      </c>
      <c r="P30" s="26"/>
      <c r="Q30" s="1">
        <v>703431</v>
      </c>
    </row>
    <row r="31" spans="1:17" ht="12.75">
      <c r="A31" s="1" t="s">
        <v>19</v>
      </c>
      <c r="B31" s="14">
        <v>143195</v>
      </c>
      <c r="C31" s="14">
        <v>141698</v>
      </c>
      <c r="D31" s="60">
        <v>140110</v>
      </c>
      <c r="E31" s="60">
        <v>138011</v>
      </c>
      <c r="F31" s="1">
        <v>138644</v>
      </c>
      <c r="G31" s="1">
        <v>139939</v>
      </c>
      <c r="H31" s="1">
        <v>136457</v>
      </c>
      <c r="I31" s="1">
        <v>315294</v>
      </c>
      <c r="J31" s="1">
        <v>325339</v>
      </c>
      <c r="K31" s="1">
        <v>339467</v>
      </c>
      <c r="L31" s="15">
        <f>(K31-J31)*100/J31</f>
        <v>4.34254731218821</v>
      </c>
      <c r="M31" s="114">
        <f>((K31-O31)*100)/O31</f>
        <v>140.06888065401262</v>
      </c>
      <c r="N31" s="114"/>
      <c r="O31" s="27">
        <v>141404</v>
      </c>
      <c r="P31" s="26"/>
      <c r="Q31" s="1">
        <v>339467</v>
      </c>
    </row>
    <row r="32" spans="1:17" ht="12.75">
      <c r="A32" s="1" t="s">
        <v>20</v>
      </c>
      <c r="B32" s="14">
        <v>175514</v>
      </c>
      <c r="C32" s="14">
        <v>174604</v>
      </c>
      <c r="D32" s="60">
        <v>179416</v>
      </c>
      <c r="E32" s="60">
        <v>180077</v>
      </c>
      <c r="F32" s="1">
        <v>179879</v>
      </c>
      <c r="G32" s="1">
        <v>183329</v>
      </c>
      <c r="H32" s="1">
        <v>189019</v>
      </c>
      <c r="I32" s="1">
        <v>484181</v>
      </c>
      <c r="J32" s="1">
        <v>506407</v>
      </c>
      <c r="K32" s="1">
        <v>560062</v>
      </c>
      <c r="L32" s="15">
        <f>(K32-J32)*100/J32</f>
        <v>10.595232688331718</v>
      </c>
      <c r="M32" s="114">
        <f>((K32-O32)*100)/O32</f>
        <v>221.4350486116691</v>
      </c>
      <c r="N32" s="114"/>
      <c r="O32" s="27">
        <v>174238</v>
      </c>
      <c r="P32" s="26"/>
      <c r="Q32" s="1">
        <v>560062</v>
      </c>
    </row>
    <row r="33" spans="1:17" ht="12.75">
      <c r="A33" s="1" t="s">
        <v>21</v>
      </c>
      <c r="B33" s="14">
        <v>129349</v>
      </c>
      <c r="C33" s="14">
        <v>130848</v>
      </c>
      <c r="D33" s="60">
        <v>134730</v>
      </c>
      <c r="E33" s="60">
        <v>134037</v>
      </c>
      <c r="F33" s="1">
        <v>140350</v>
      </c>
      <c r="G33" s="1">
        <v>145769</v>
      </c>
      <c r="H33" s="1">
        <v>150149</v>
      </c>
      <c r="I33" s="1">
        <v>360044</v>
      </c>
      <c r="J33" s="1">
        <v>364507</v>
      </c>
      <c r="K33" s="1">
        <v>375645</v>
      </c>
      <c r="L33" s="15">
        <f>(K33-J33)*100/J33</f>
        <v>3.0556340481801447</v>
      </c>
      <c r="M33" s="114">
        <f>((K33-O33)*100)/O33</f>
        <v>195.7089552238806</v>
      </c>
      <c r="N33" s="114"/>
      <c r="O33" s="27">
        <v>127032</v>
      </c>
      <c r="P33" s="26"/>
      <c r="Q33" s="1">
        <v>375645</v>
      </c>
    </row>
    <row r="34" spans="1:17" ht="12.75">
      <c r="A34" s="1" t="s">
        <v>22</v>
      </c>
      <c r="B34" s="14">
        <v>83909</v>
      </c>
      <c r="C34" s="14">
        <v>93214</v>
      </c>
      <c r="D34" s="60">
        <v>97786</v>
      </c>
      <c r="E34" s="60">
        <v>104192</v>
      </c>
      <c r="F34" s="1">
        <v>106313</v>
      </c>
      <c r="G34" s="1">
        <v>109626</v>
      </c>
      <c r="H34" s="1">
        <v>113745</v>
      </c>
      <c r="I34" s="1">
        <v>256979</v>
      </c>
      <c r="J34" s="1">
        <v>269371</v>
      </c>
      <c r="K34" s="1">
        <v>283889</v>
      </c>
      <c r="L34" s="15">
        <f>(K34-J34)*100/J34</f>
        <v>5.389592792097145</v>
      </c>
      <c r="M34" s="114">
        <f>((K34-O34)*100)/O34</f>
        <v>252.5476560074511</v>
      </c>
      <c r="N34" s="114"/>
      <c r="O34" s="27">
        <v>80525</v>
      </c>
      <c r="P34" s="26"/>
      <c r="Q34" s="1">
        <v>283889</v>
      </c>
    </row>
    <row r="35" spans="2:17" ht="12.75">
      <c r="B35" s="14"/>
      <c r="C35" s="14"/>
      <c r="D35" s="60"/>
      <c r="E35" s="60"/>
      <c r="L35" s="15"/>
      <c r="M35" s="16"/>
      <c r="N35" s="16"/>
      <c r="O35" s="27"/>
      <c r="P35" s="26"/>
      <c r="Q35" s="1"/>
    </row>
    <row r="36" spans="1:17" ht="12.75">
      <c r="A36" s="1" t="s">
        <v>23</v>
      </c>
      <c r="B36" s="14">
        <v>290991</v>
      </c>
      <c r="C36" s="14">
        <v>291167</v>
      </c>
      <c r="D36" s="60">
        <v>294436</v>
      </c>
      <c r="E36" s="60">
        <v>295389</v>
      </c>
      <c r="F36" s="1">
        <v>304753</v>
      </c>
      <c r="G36" s="1">
        <v>314239</v>
      </c>
      <c r="H36" s="1">
        <v>314828</v>
      </c>
      <c r="I36" s="1">
        <v>853684</v>
      </c>
      <c r="J36" s="1">
        <v>928611</v>
      </c>
      <c r="K36" s="1">
        <v>1036326</v>
      </c>
      <c r="L36" s="15">
        <f>(K36-J36)*100/J36</f>
        <v>11.599582602402943</v>
      </c>
      <c r="M36" s="114">
        <f>((K36-O36)*100)/O36</f>
        <v>254.2667856300444</v>
      </c>
      <c r="N36" s="114"/>
      <c r="O36" s="27">
        <v>292527</v>
      </c>
      <c r="P36" s="26"/>
      <c r="Q36" s="1">
        <v>1036326</v>
      </c>
    </row>
    <row r="37" spans="1:17" ht="12.75">
      <c r="A37" s="1" t="s">
        <v>24</v>
      </c>
      <c r="B37" s="14">
        <v>119293</v>
      </c>
      <c r="C37" s="14">
        <v>123888</v>
      </c>
      <c r="D37" s="60">
        <v>130276</v>
      </c>
      <c r="E37" s="60">
        <v>136022</v>
      </c>
      <c r="F37" s="1">
        <v>138932</v>
      </c>
      <c r="G37" s="1">
        <v>145213</v>
      </c>
      <c r="H37" s="1">
        <v>151955</v>
      </c>
      <c r="I37" s="1">
        <v>364627</v>
      </c>
      <c r="J37" s="1">
        <v>368084</v>
      </c>
      <c r="K37" s="1">
        <v>390812</v>
      </c>
      <c r="L37" s="15">
        <f>(K37-J37)*100/J37</f>
        <v>6.174677519261907</v>
      </c>
      <c r="M37" s="114">
        <f>((K37-O37)*100)/O37</f>
        <v>242.30708592449855</v>
      </c>
      <c r="N37" s="114"/>
      <c r="O37" s="27">
        <v>114170</v>
      </c>
      <c r="P37" s="26"/>
      <c r="Q37" s="1">
        <v>390812</v>
      </c>
    </row>
    <row r="38" spans="1:17" ht="12.75">
      <c r="A38" s="1" t="s">
        <v>25</v>
      </c>
      <c r="B38" s="14">
        <v>112491</v>
      </c>
      <c r="C38" s="14">
        <v>112192</v>
      </c>
      <c r="D38" s="60">
        <v>119586</v>
      </c>
      <c r="E38" s="60">
        <v>120400</v>
      </c>
      <c r="F38" s="1">
        <v>121960</v>
      </c>
      <c r="G38" s="1">
        <v>127719</v>
      </c>
      <c r="H38" s="1">
        <v>136170</v>
      </c>
      <c r="I38" s="1">
        <v>295866</v>
      </c>
      <c r="J38" s="1">
        <v>302349</v>
      </c>
      <c r="K38" s="1">
        <v>309102</v>
      </c>
      <c r="L38" s="15">
        <f>(K38-J38)*100/J38</f>
        <v>2.233511604139587</v>
      </c>
      <c r="M38" s="114">
        <f>((K38-O38)*100)/O38</f>
        <v>184.0802146900963</v>
      </c>
      <c r="N38" s="114"/>
      <c r="O38" s="27">
        <v>108808</v>
      </c>
      <c r="P38" s="26"/>
      <c r="Q38" s="1">
        <v>309102</v>
      </c>
    </row>
    <row r="39" spans="1:17" ht="12.75">
      <c r="A39" s="17" t="s">
        <v>26</v>
      </c>
      <c r="B39" s="24">
        <v>376756</v>
      </c>
      <c r="C39" s="14">
        <v>369677</v>
      </c>
      <c r="D39" s="60">
        <v>369990</v>
      </c>
      <c r="E39" s="60">
        <v>374542</v>
      </c>
      <c r="F39" s="1">
        <v>379703</v>
      </c>
      <c r="G39" s="1">
        <v>395871</v>
      </c>
      <c r="H39" s="1">
        <v>414852</v>
      </c>
      <c r="I39" s="1">
        <v>1052418</v>
      </c>
      <c r="J39" s="1">
        <v>1189225</v>
      </c>
      <c r="K39" s="1">
        <v>1296568</v>
      </c>
      <c r="L39" s="15">
        <f>(K39-J39)*100/J39</f>
        <v>9.026298639870504</v>
      </c>
      <c r="M39" s="114">
        <f>((K39-O39)*100)/O39</f>
        <v>235.0157745008617</v>
      </c>
      <c r="N39" s="114"/>
      <c r="O39" s="27">
        <v>387017</v>
      </c>
      <c r="P39" s="26"/>
      <c r="Q39" s="1">
        <v>1296568</v>
      </c>
    </row>
    <row r="40" spans="1:15" ht="12.75">
      <c r="A40" s="1" t="s">
        <v>52</v>
      </c>
      <c r="B40" s="18"/>
      <c r="C40" s="19"/>
      <c r="D40" s="18"/>
      <c r="E40" s="18"/>
      <c r="F40" s="18"/>
      <c r="G40" s="18"/>
      <c r="H40" s="18"/>
      <c r="I40" s="61"/>
      <c r="J40" s="61"/>
      <c r="K40" s="61"/>
      <c r="L40" s="61"/>
      <c r="M40" s="61"/>
      <c r="N40" s="18"/>
      <c r="O40" s="18"/>
    </row>
    <row r="41" spans="2:13" ht="12.75">
      <c r="B41" s="14"/>
      <c r="C41" s="14"/>
      <c r="I41" s="56"/>
      <c r="J41" s="56"/>
      <c r="K41" s="56"/>
      <c r="L41" s="56"/>
      <c r="M41" s="56"/>
    </row>
    <row r="42" spans="2:13" ht="12.75">
      <c r="B42" s="14"/>
      <c r="C42" s="14"/>
      <c r="I42" s="56"/>
      <c r="J42" s="56"/>
      <c r="K42" s="56"/>
      <c r="L42" s="56"/>
      <c r="M42" s="56"/>
    </row>
    <row r="43" spans="2:13" ht="12.75">
      <c r="B43" s="14"/>
      <c r="C43" s="14"/>
      <c r="I43" s="56"/>
      <c r="J43" s="56"/>
      <c r="K43" s="56"/>
      <c r="L43" s="56"/>
      <c r="M43" s="56"/>
    </row>
    <row r="44" spans="2:13" ht="12.75">
      <c r="B44" s="14"/>
      <c r="C44" s="14"/>
      <c r="I44" s="56"/>
      <c r="J44" s="56"/>
      <c r="K44" s="56"/>
      <c r="L44" s="56"/>
      <c r="M44" s="56"/>
    </row>
    <row r="45" spans="2:13" ht="12.75">
      <c r="B45" s="14"/>
      <c r="C45" s="14"/>
      <c r="I45" s="56"/>
      <c r="J45" s="56"/>
      <c r="K45" s="56"/>
      <c r="L45" s="56"/>
      <c r="M45" s="56"/>
    </row>
    <row r="46" spans="2:13" ht="12.75">
      <c r="B46" s="14"/>
      <c r="C46" s="14"/>
      <c r="I46" s="56"/>
      <c r="J46" s="56"/>
      <c r="K46" s="56"/>
      <c r="L46" s="56"/>
      <c r="M46" s="56"/>
    </row>
    <row r="47" spans="2:13" ht="12.75">
      <c r="B47" s="14"/>
      <c r="C47" s="14"/>
      <c r="I47" s="56"/>
      <c r="J47" s="56"/>
      <c r="K47" s="56"/>
      <c r="L47" s="56"/>
      <c r="M47" s="56"/>
    </row>
    <row r="48" spans="2:13" ht="12.75">
      <c r="B48" s="14"/>
      <c r="C48" s="14"/>
      <c r="I48" s="56"/>
      <c r="J48" s="56"/>
      <c r="K48" s="56"/>
      <c r="L48" s="56"/>
      <c r="M48" s="56"/>
    </row>
    <row r="49" spans="2:13" ht="12.75">
      <c r="B49" s="14"/>
      <c r="C49" s="14"/>
      <c r="I49" s="56"/>
      <c r="J49" s="56"/>
      <c r="K49" s="56"/>
      <c r="L49" s="56"/>
      <c r="M49" s="56"/>
    </row>
    <row r="50" spans="2:13" ht="12.75">
      <c r="B50" s="14"/>
      <c r="C50" s="14"/>
      <c r="I50" s="56"/>
      <c r="J50" s="56"/>
      <c r="K50" s="56"/>
      <c r="L50" s="56"/>
      <c r="M50" s="56"/>
    </row>
    <row r="51" spans="2:13" ht="12.75">
      <c r="B51" s="14"/>
      <c r="C51" s="14"/>
      <c r="I51" s="56"/>
      <c r="J51" s="56"/>
      <c r="K51" s="56"/>
      <c r="L51" s="56"/>
      <c r="M51" s="56"/>
    </row>
    <row r="52" spans="3:13" ht="12.75">
      <c r="C52" s="14"/>
      <c r="I52" s="56"/>
      <c r="J52" s="56"/>
      <c r="K52" s="56"/>
      <c r="L52" s="56"/>
      <c r="M52" s="56"/>
    </row>
    <row r="53" spans="3:13" ht="12.75">
      <c r="C53" s="14"/>
      <c r="I53" s="56"/>
      <c r="J53" s="56"/>
      <c r="K53" s="56"/>
      <c r="L53" s="56"/>
      <c r="M53" s="56"/>
    </row>
    <row r="54" spans="9:13" ht="12.75">
      <c r="I54" s="56"/>
      <c r="J54" s="56"/>
      <c r="K54" s="56"/>
      <c r="L54" s="56"/>
      <c r="M54" s="56"/>
    </row>
    <row r="55" spans="9:13" ht="12.75">
      <c r="I55" s="56"/>
      <c r="J55" s="56"/>
      <c r="K55" s="56"/>
      <c r="L55" s="56"/>
      <c r="M55" s="56"/>
    </row>
    <row r="56" spans="9:13" ht="12.75">
      <c r="I56" s="56"/>
      <c r="J56" s="56"/>
      <c r="K56" s="56"/>
      <c r="L56" s="56"/>
      <c r="M56" s="56"/>
    </row>
    <row r="57" spans="9:13" ht="12.75">
      <c r="I57" s="56"/>
      <c r="J57" s="56"/>
      <c r="K57" s="56"/>
      <c r="L57" s="56"/>
      <c r="M57" s="56"/>
    </row>
    <row r="58" spans="9:13" ht="12.75">
      <c r="I58" s="56"/>
      <c r="J58" s="56"/>
      <c r="K58" s="56"/>
      <c r="L58" s="56"/>
      <c r="M58" s="56"/>
    </row>
    <row r="59" spans="9:13" ht="12.75">
      <c r="I59" s="56"/>
      <c r="J59" s="56"/>
      <c r="K59" s="56"/>
      <c r="L59" s="56"/>
      <c r="M59" s="56"/>
    </row>
    <row r="60" spans="9:13" ht="12.75">
      <c r="I60" s="56"/>
      <c r="J60" s="56"/>
      <c r="K60" s="56"/>
      <c r="L60" s="56"/>
      <c r="M60" s="56"/>
    </row>
    <row r="61" spans="9:13" ht="12.75">
      <c r="I61" s="56"/>
      <c r="J61" s="56"/>
      <c r="K61" s="56"/>
      <c r="L61" s="56"/>
      <c r="M61" s="56"/>
    </row>
    <row r="62" spans="9:13" ht="12.75">
      <c r="I62" s="56"/>
      <c r="J62" s="56"/>
      <c r="K62" s="56"/>
      <c r="L62" s="56"/>
      <c r="M62" s="56"/>
    </row>
    <row r="63" spans="9:13" ht="12.75">
      <c r="I63" s="56"/>
      <c r="J63" s="56"/>
      <c r="K63" s="56"/>
      <c r="L63" s="56"/>
      <c r="M63" s="56"/>
    </row>
    <row r="64" spans="9:13" ht="12.75">
      <c r="I64" s="56"/>
      <c r="J64" s="56"/>
      <c r="K64" s="56"/>
      <c r="L64" s="56"/>
      <c r="M64" s="56"/>
    </row>
    <row r="65" spans="9:13" ht="12.75">
      <c r="I65" s="56"/>
      <c r="J65" s="56"/>
      <c r="K65" s="56"/>
      <c r="L65" s="56"/>
      <c r="M65" s="56"/>
    </row>
    <row r="66" spans="9:13" ht="12.75">
      <c r="I66" s="56"/>
      <c r="J66" s="56"/>
      <c r="K66" s="56"/>
      <c r="L66" s="56"/>
      <c r="M66" s="56"/>
    </row>
    <row r="67" spans="9:13" ht="12.75">
      <c r="I67" s="56"/>
      <c r="J67" s="56"/>
      <c r="K67" s="56"/>
      <c r="L67" s="56"/>
      <c r="M67" s="56"/>
    </row>
  </sheetData>
  <mergeCells count="4">
    <mergeCell ref="L7:M7"/>
    <mergeCell ref="A4:M4"/>
    <mergeCell ref="A1:M1"/>
    <mergeCell ref="A3:M3"/>
  </mergeCells>
  <printOptions/>
  <pageMargins left="0.59" right="0.52" top="1" bottom="0.95" header="0.5" footer="0.5"/>
  <pageSetup fitToHeight="1" fitToWidth="1" orientation="landscape" scale="74" r:id="rId1"/>
  <headerFooter alignWithMargins="0">
    <oddFooter>&amp;L&amp;"Lucida Sans,Italic"&amp;10MSDE-DBS  1 / 2006&amp;C- 18 -&amp;R&amp;"Lucida Sans,Italic"&amp;10Selected Financial Data - Part 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6"/>
  <sheetViews>
    <sheetView tabSelected="1" workbookViewId="0" topLeftCell="A3">
      <selection activeCell="A3" sqref="A3:M3"/>
    </sheetView>
  </sheetViews>
  <sheetFormatPr defaultColWidth="9.00390625" defaultRowHeight="15.75"/>
  <cols>
    <col min="1" max="1" width="12.50390625" style="122" bestFit="1" customWidth="1"/>
    <col min="2" max="11" width="12.625" style="122" customWidth="1"/>
    <col min="12" max="14" width="6.625" style="122" customWidth="1"/>
    <col min="15" max="15" width="10.875" style="198" bestFit="1" customWidth="1"/>
    <col min="16" max="16" width="10.875" style="198" customWidth="1"/>
    <col min="17" max="17" width="10.125" style="122" bestFit="1" customWidth="1"/>
    <col min="18" max="18" width="4.00390625" style="122" customWidth="1"/>
    <col min="19" max="19" width="11.00390625" style="122" customWidth="1"/>
    <col min="20" max="20" width="2.75390625" style="122" customWidth="1"/>
    <col min="21" max="16384" width="8.00390625" style="122" customWidth="1"/>
  </cols>
  <sheetData>
    <row r="1" spans="1:14" ht="12.75">
      <c r="A1" s="250" t="s">
        <v>141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120"/>
    </row>
    <row r="2" spans="1:14" ht="12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2.75">
      <c r="A3" s="248" t="s">
        <v>148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00"/>
    </row>
    <row r="4" spans="1:14" ht="12.75">
      <c r="A4" s="250" t="s">
        <v>168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120"/>
    </row>
    <row r="5" spans="1:14" ht="13.5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21" ht="13.5" thickTop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4"/>
      <c r="Q6" s="121" t="s">
        <v>146</v>
      </c>
      <c r="S6" s="122" t="s">
        <v>146</v>
      </c>
      <c r="U6" s="122" t="s">
        <v>146</v>
      </c>
    </row>
    <row r="7" spans="1:21" ht="12.75">
      <c r="A7" s="124"/>
      <c r="B7" s="124"/>
      <c r="C7" s="124"/>
      <c r="D7" s="124"/>
      <c r="E7" s="124"/>
      <c r="F7" s="121"/>
      <c r="G7" s="125"/>
      <c r="H7" s="125"/>
      <c r="I7" s="121"/>
      <c r="J7" s="121"/>
      <c r="K7" s="121"/>
      <c r="L7" s="249" t="s">
        <v>28</v>
      </c>
      <c r="M7" s="249"/>
      <c r="N7" s="221"/>
      <c r="O7" s="124"/>
      <c r="P7" s="124"/>
      <c r="Q7" s="167" t="s">
        <v>65</v>
      </c>
      <c r="S7" s="122" t="s">
        <v>65</v>
      </c>
      <c r="U7" s="122" t="s">
        <v>65</v>
      </c>
    </row>
    <row r="8" spans="1:21" ht="12.75">
      <c r="A8" s="124"/>
      <c r="B8" s="124"/>
      <c r="C8" s="124"/>
      <c r="D8" s="124"/>
      <c r="E8" s="124"/>
      <c r="F8" s="124"/>
      <c r="G8" s="126"/>
      <c r="H8" s="126"/>
      <c r="I8" s="124"/>
      <c r="J8" s="124"/>
      <c r="K8" s="124"/>
      <c r="L8" s="127" t="s">
        <v>59</v>
      </c>
      <c r="M8" s="127" t="s">
        <v>60</v>
      </c>
      <c r="N8" s="127"/>
      <c r="O8" s="124"/>
      <c r="P8" s="124"/>
      <c r="Q8" s="167" t="s">
        <v>144</v>
      </c>
      <c r="S8" s="122" t="s">
        <v>144</v>
      </c>
      <c r="U8" s="122" t="s">
        <v>144</v>
      </c>
    </row>
    <row r="9" spans="1:19" ht="13.5" thickBot="1">
      <c r="A9" s="12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130" t="s">
        <v>58</v>
      </c>
      <c r="M9" s="130" t="s">
        <v>58</v>
      </c>
      <c r="N9" s="130"/>
      <c r="O9" s="33" t="s">
        <v>158</v>
      </c>
      <c r="P9" s="33"/>
      <c r="Q9" s="129" t="s">
        <v>145</v>
      </c>
      <c r="S9" s="121" t="s">
        <v>157</v>
      </c>
    </row>
    <row r="10" spans="1:21" ht="15.75">
      <c r="A10" s="124" t="s">
        <v>2</v>
      </c>
      <c r="B10" s="131">
        <f aca="true" t="shared" si="0" ref="B10:J10">SUM(B12:B39)</f>
        <v>750480.4000000001</v>
      </c>
      <c r="C10" s="131">
        <f t="shared" si="0"/>
        <v>768162.9000000001</v>
      </c>
      <c r="D10" s="131">
        <f t="shared" si="0"/>
        <v>781870.7999999999</v>
      </c>
      <c r="E10" s="131">
        <f t="shared" si="0"/>
        <v>795028.6</v>
      </c>
      <c r="F10" s="131">
        <f t="shared" si="0"/>
        <v>806171.6000000001</v>
      </c>
      <c r="G10" s="131">
        <f t="shared" si="0"/>
        <v>812492.1999999997</v>
      </c>
      <c r="H10" s="131">
        <f t="shared" si="0"/>
        <v>822816.8000000002</v>
      </c>
      <c r="I10" s="177">
        <v>831248.9</v>
      </c>
      <c r="J10" s="131">
        <f t="shared" si="0"/>
        <v>842556.7999999999</v>
      </c>
      <c r="K10" s="131">
        <v>841945.078460177</v>
      </c>
      <c r="L10" s="132">
        <f>(K10-J10)/J10</f>
        <v>-0.0007260300312369122</v>
      </c>
      <c r="M10" s="132">
        <f>(K10-O10)/O10</f>
        <v>0.148060011266145</v>
      </c>
      <c r="N10" s="132"/>
      <c r="O10" s="131">
        <f>SUM(O12:O39)</f>
        <v>733363.2999999998</v>
      </c>
      <c r="P10" s="131"/>
      <c r="Q10" s="162">
        <v>831248.9</v>
      </c>
      <c r="S10" s="171">
        <v>842556.5</v>
      </c>
      <c r="U10" s="122">
        <v>841945.078460177</v>
      </c>
    </row>
    <row r="11" spans="1:19" ht="15.75">
      <c r="A11" s="121"/>
      <c r="B11" s="125"/>
      <c r="C11" s="133"/>
      <c r="D11" s="125"/>
      <c r="E11" s="125"/>
      <c r="F11" s="125"/>
      <c r="G11" s="125"/>
      <c r="H11" s="125"/>
      <c r="I11" s="163"/>
      <c r="J11" s="163"/>
      <c r="K11" s="163"/>
      <c r="L11" s="125"/>
      <c r="M11" s="133"/>
      <c r="N11" s="133"/>
      <c r="O11" s="125"/>
      <c r="P11" s="125"/>
      <c r="Q11" s="163"/>
      <c r="S11" s="171"/>
    </row>
    <row r="12" spans="1:21" ht="12.75">
      <c r="A12" s="121" t="s">
        <v>3</v>
      </c>
      <c r="B12" s="135">
        <v>10774.7</v>
      </c>
      <c r="C12" s="136">
        <v>10816.1</v>
      </c>
      <c r="D12" s="131">
        <v>10862.2</v>
      </c>
      <c r="E12" s="131">
        <v>10953.9</v>
      </c>
      <c r="F12" s="136">
        <v>10824.2</v>
      </c>
      <c r="G12" s="136">
        <v>10544.9</v>
      </c>
      <c r="H12" s="137">
        <v>10273.6</v>
      </c>
      <c r="I12" s="164">
        <v>10052.6</v>
      </c>
      <c r="J12" s="164">
        <v>9977.7</v>
      </c>
      <c r="K12" s="164">
        <v>9716.57001630216</v>
      </c>
      <c r="L12" s="138">
        <f>(K12-J12)*100/J12</f>
        <v>-2.6171360503707413</v>
      </c>
      <c r="M12" s="136">
        <f>(K12-O12)*100/O12</f>
        <v>-9.27318210311999</v>
      </c>
      <c r="N12" s="136"/>
      <c r="O12" s="134">
        <v>10709.7</v>
      </c>
      <c r="P12" s="134"/>
      <c r="Q12" s="164">
        <v>10052.6</v>
      </c>
      <c r="S12" s="171">
        <v>9977.7</v>
      </c>
      <c r="U12" s="122">
        <v>9716.57001630216</v>
      </c>
    </row>
    <row r="13" spans="1:21" ht="12.75">
      <c r="A13" s="121" t="s">
        <v>4</v>
      </c>
      <c r="B13" s="139">
        <v>65794.6</v>
      </c>
      <c r="C13" s="136">
        <v>67439.3</v>
      </c>
      <c r="D13" s="131">
        <v>68691.1</v>
      </c>
      <c r="E13" s="131">
        <v>69714.1</v>
      </c>
      <c r="F13" s="136">
        <v>70275</v>
      </c>
      <c r="G13" s="136">
        <v>71026.6</v>
      </c>
      <c r="H13" s="140">
        <v>71004</v>
      </c>
      <c r="I13" s="165">
        <v>71606.1</v>
      </c>
      <c r="J13" s="165">
        <v>71451.5</v>
      </c>
      <c r="K13" s="165">
        <v>71495.843019129</v>
      </c>
      <c r="L13" s="138">
        <f>(K13-J13)*100/J13</f>
        <v>0.06206030542255287</v>
      </c>
      <c r="M13" s="136">
        <f>(K13-O13)*100/O13</f>
        <v>10.326791555310884</v>
      </c>
      <c r="N13" s="136"/>
      <c r="O13" s="134">
        <v>64803.7</v>
      </c>
      <c r="P13" s="134"/>
      <c r="Q13" s="165">
        <v>71606.1</v>
      </c>
      <c r="S13" s="171">
        <v>71451.5</v>
      </c>
      <c r="U13" s="122">
        <v>71495.843019129</v>
      </c>
    </row>
    <row r="14" spans="1:21" ht="12.75">
      <c r="A14" s="121" t="s">
        <v>5</v>
      </c>
      <c r="B14" s="139">
        <v>105815.3</v>
      </c>
      <c r="C14" s="136">
        <v>104479.4</v>
      </c>
      <c r="D14" s="131">
        <v>103480.3</v>
      </c>
      <c r="E14" s="131">
        <v>102446.4</v>
      </c>
      <c r="F14" s="136">
        <v>101185.7</v>
      </c>
      <c r="G14" s="136">
        <v>97223.5</v>
      </c>
      <c r="H14" s="140">
        <v>96033</v>
      </c>
      <c r="I14" s="165">
        <v>94313.3</v>
      </c>
      <c r="J14" s="165">
        <v>93443.9</v>
      </c>
      <c r="K14" s="165">
        <v>90098.3946505677</v>
      </c>
      <c r="L14" s="138">
        <f>(K14-J14)*100/J14</f>
        <v>-3.580228724863039</v>
      </c>
      <c r="M14" s="136">
        <f>(K14-O14)*100/O14</f>
        <v>-15.488729925338266</v>
      </c>
      <c r="N14" s="136"/>
      <c r="O14" s="134">
        <v>106611.1</v>
      </c>
      <c r="P14" s="134"/>
      <c r="Q14" s="165">
        <v>94313.3</v>
      </c>
      <c r="S14" s="171">
        <v>93443.9</v>
      </c>
      <c r="U14" s="122">
        <v>90098.3946505677</v>
      </c>
    </row>
    <row r="15" spans="1:21" ht="12.75">
      <c r="A15" s="121" t="s">
        <v>6</v>
      </c>
      <c r="B15" s="139">
        <v>94952.3</v>
      </c>
      <c r="C15" s="136">
        <v>97953.8</v>
      </c>
      <c r="D15" s="131">
        <v>99833.5</v>
      </c>
      <c r="E15" s="131">
        <v>100698.3</v>
      </c>
      <c r="F15" s="136">
        <v>102424.7</v>
      </c>
      <c r="G15" s="136">
        <v>103213.9</v>
      </c>
      <c r="H15" s="137">
        <v>103834.1</v>
      </c>
      <c r="I15" s="164">
        <v>104614.2</v>
      </c>
      <c r="J15" s="164">
        <v>105422.7</v>
      </c>
      <c r="K15" s="164">
        <v>105442.265812449</v>
      </c>
      <c r="L15" s="138">
        <f>(K15-J15)*100/J15</f>
        <v>0.018559392283635383</v>
      </c>
      <c r="M15" s="136">
        <f>(K15-O15)*100/O15</f>
        <v>16.23465337865733</v>
      </c>
      <c r="N15" s="136"/>
      <c r="O15" s="134">
        <v>90715</v>
      </c>
      <c r="P15" s="134"/>
      <c r="Q15" s="164">
        <v>104614.2</v>
      </c>
      <c r="S15" s="171">
        <v>105422.7</v>
      </c>
      <c r="U15" s="122">
        <v>105442.265812449</v>
      </c>
    </row>
    <row r="16" spans="1:21" ht="12.75">
      <c r="A16" s="121" t="s">
        <v>7</v>
      </c>
      <c r="B16" s="139">
        <v>12137.6</v>
      </c>
      <c r="C16" s="136">
        <v>12740.5</v>
      </c>
      <c r="D16" s="131">
        <v>13582.3</v>
      </c>
      <c r="E16" s="131">
        <v>14112.4</v>
      </c>
      <c r="F16" s="136">
        <v>14604.8</v>
      </c>
      <c r="G16" s="136">
        <v>15151.8</v>
      </c>
      <c r="H16" s="137">
        <v>15585.8</v>
      </c>
      <c r="I16" s="164">
        <v>15698.7</v>
      </c>
      <c r="J16" s="164">
        <v>16067.7</v>
      </c>
      <c r="K16" s="164">
        <v>16335.1373104447</v>
      </c>
      <c r="L16" s="138">
        <f>(K16-J16)*100/J16</f>
        <v>1.6644405263024489</v>
      </c>
      <c r="M16" s="136">
        <f>(K16-O16)*100/O16</f>
        <v>40.91368676142526</v>
      </c>
      <c r="N16" s="136"/>
      <c r="O16" s="134">
        <v>11592.3</v>
      </c>
      <c r="P16" s="134"/>
      <c r="Q16" s="164">
        <v>15698.7</v>
      </c>
      <c r="S16" s="171">
        <v>16067.7</v>
      </c>
      <c r="U16" s="122">
        <v>16335.1373104447</v>
      </c>
    </row>
    <row r="17" spans="1:19" ht="12.75">
      <c r="A17" s="121"/>
      <c r="B17" s="139"/>
      <c r="C17" s="136"/>
      <c r="D17" s="131"/>
      <c r="E17" s="131"/>
      <c r="F17" s="136"/>
      <c r="G17" s="136"/>
      <c r="H17" s="137"/>
      <c r="I17" s="164"/>
      <c r="J17" s="164"/>
      <c r="K17" s="164"/>
      <c r="L17" s="138"/>
      <c r="M17" s="136"/>
      <c r="N17" s="136"/>
      <c r="O17" s="141"/>
      <c r="P17" s="141"/>
      <c r="Q17" s="164"/>
      <c r="S17" s="171"/>
    </row>
    <row r="18" spans="1:21" ht="12.75">
      <c r="A18" s="121" t="s">
        <v>8</v>
      </c>
      <c r="B18" s="139">
        <v>5278.1</v>
      </c>
      <c r="C18" s="136">
        <v>5464.4</v>
      </c>
      <c r="D18" s="131">
        <v>5457.6</v>
      </c>
      <c r="E18" s="131">
        <v>5518.5</v>
      </c>
      <c r="F18" s="136">
        <v>5529.8</v>
      </c>
      <c r="G18" s="136">
        <v>5469.9</v>
      </c>
      <c r="H18" s="137">
        <v>5419.8</v>
      </c>
      <c r="I18" s="164">
        <v>5438.7</v>
      </c>
      <c r="J18" s="164">
        <v>5393</v>
      </c>
      <c r="K18" s="164">
        <v>5281.65</v>
      </c>
      <c r="L18" s="138">
        <f>(J18-I18)*100/I18</f>
        <v>-0.8402743302627433</v>
      </c>
      <c r="M18" s="136">
        <f>(K18-O18)*100/O18</f>
        <v>3.4441223706373036</v>
      </c>
      <c r="N18" s="136"/>
      <c r="O18" s="134">
        <v>5105.8</v>
      </c>
      <c r="P18" s="134"/>
      <c r="Q18" s="164">
        <v>5438.7</v>
      </c>
      <c r="S18" s="171">
        <v>5393</v>
      </c>
      <c r="U18" s="122">
        <v>5281.65</v>
      </c>
    </row>
    <row r="19" spans="1:21" ht="12.75">
      <c r="A19" s="121" t="s">
        <v>9</v>
      </c>
      <c r="B19" s="139">
        <v>23355.3</v>
      </c>
      <c r="C19" s="136">
        <v>24257.1</v>
      </c>
      <c r="D19" s="131">
        <v>25125.9</v>
      </c>
      <c r="E19" s="131">
        <v>25761.4</v>
      </c>
      <c r="F19" s="136">
        <v>26141</v>
      </c>
      <c r="G19" s="136">
        <v>26404</v>
      </c>
      <c r="H19" s="137">
        <v>26519.8</v>
      </c>
      <c r="I19" s="164">
        <v>27028.3</v>
      </c>
      <c r="J19" s="164">
        <v>27369.2</v>
      </c>
      <c r="K19" s="164">
        <v>27671.2132953958</v>
      </c>
      <c r="L19" s="138">
        <f>(J19-I19)*100/I19</f>
        <v>1.2612705941550206</v>
      </c>
      <c r="M19" s="136">
        <f>(K19-O19)*100/O19</f>
        <v>22.29127335296655</v>
      </c>
      <c r="N19" s="136"/>
      <c r="O19" s="134">
        <v>22627.3</v>
      </c>
      <c r="P19" s="134"/>
      <c r="Q19" s="164">
        <v>27028.3</v>
      </c>
      <c r="S19" s="171">
        <v>27369.2</v>
      </c>
      <c r="U19" s="122">
        <v>27671.2132953958</v>
      </c>
    </row>
    <row r="20" spans="1:21" ht="12.75">
      <c r="A20" s="121" t="s">
        <v>10</v>
      </c>
      <c r="B20" s="139">
        <v>13427</v>
      </c>
      <c r="C20" s="136">
        <v>13718.2</v>
      </c>
      <c r="D20" s="131">
        <v>14049</v>
      </c>
      <c r="E20" s="131">
        <v>14429</v>
      </c>
      <c r="F20" s="136">
        <v>14628</v>
      </c>
      <c r="G20" s="136">
        <v>14824.7</v>
      </c>
      <c r="H20" s="137">
        <v>15060.6</v>
      </c>
      <c r="I20" s="164">
        <v>15271.1</v>
      </c>
      <c r="J20" s="164">
        <v>15502.2</v>
      </c>
      <c r="K20" s="164">
        <v>15605.45</v>
      </c>
      <c r="L20" s="138">
        <f>(J20-I20)*100/I20</f>
        <v>1.513316002121657</v>
      </c>
      <c r="M20" s="136">
        <f>(K20-O20)*100/O20</f>
        <v>19.87502016423288</v>
      </c>
      <c r="N20" s="136"/>
      <c r="O20" s="134">
        <v>13018.1</v>
      </c>
      <c r="P20" s="134"/>
      <c r="Q20" s="164">
        <v>15271.1</v>
      </c>
      <c r="S20" s="171">
        <v>15502.2</v>
      </c>
      <c r="U20" s="122">
        <v>15605.45</v>
      </c>
    </row>
    <row r="21" spans="1:21" ht="12.75">
      <c r="A21" s="121" t="s">
        <v>11</v>
      </c>
      <c r="B21" s="139">
        <v>19569.9</v>
      </c>
      <c r="C21" s="136">
        <v>19921.3</v>
      </c>
      <c r="D21" s="131">
        <v>19752.9</v>
      </c>
      <c r="E21" s="131">
        <v>20787</v>
      </c>
      <c r="F21" s="136">
        <v>21433.1</v>
      </c>
      <c r="G21" s="136">
        <v>21916.9</v>
      </c>
      <c r="H21" s="137">
        <v>22539.4</v>
      </c>
      <c r="I21" s="164">
        <v>23133.8</v>
      </c>
      <c r="J21" s="164">
        <v>23818.5</v>
      </c>
      <c r="K21" s="164">
        <v>24703.7755403458</v>
      </c>
      <c r="L21" s="138">
        <f>(J21-I21)*100/I21</f>
        <v>2.959738564351731</v>
      </c>
      <c r="M21" s="136">
        <f>(K21-O21)*100/O21</f>
        <v>27.898108952254177</v>
      </c>
      <c r="N21" s="136"/>
      <c r="O21" s="134">
        <v>19315.2</v>
      </c>
      <c r="P21" s="134"/>
      <c r="Q21" s="164">
        <v>23133.8</v>
      </c>
      <c r="S21" s="171">
        <v>23818.5</v>
      </c>
      <c r="U21" s="122">
        <v>24703.7755403458</v>
      </c>
    </row>
    <row r="22" spans="1:21" ht="12.75">
      <c r="A22" s="121" t="s">
        <v>12</v>
      </c>
      <c r="B22" s="139">
        <v>4820.9</v>
      </c>
      <c r="C22" s="136">
        <v>4879.2</v>
      </c>
      <c r="D22" s="131">
        <v>4889.4</v>
      </c>
      <c r="E22" s="131">
        <v>4882.6</v>
      </c>
      <c r="F22" s="136">
        <v>4864.4</v>
      </c>
      <c r="G22" s="136">
        <v>4795.3</v>
      </c>
      <c r="H22" s="137">
        <v>4664.9</v>
      </c>
      <c r="I22" s="164">
        <v>4610.4</v>
      </c>
      <c r="J22" s="164">
        <v>4564</v>
      </c>
      <c r="K22" s="164">
        <v>4567.71288461538</v>
      </c>
      <c r="L22" s="138">
        <f>(J22-I22)*100/I22</f>
        <v>-1.0064202672219251</v>
      </c>
      <c r="M22" s="136">
        <f>(K22-O22)*100/O22</f>
        <v>-5.068732134521163</v>
      </c>
      <c r="N22" s="136"/>
      <c r="O22" s="134">
        <v>4811.6</v>
      </c>
      <c r="P22" s="134"/>
      <c r="Q22" s="164">
        <v>4610.4</v>
      </c>
      <c r="S22" s="171">
        <v>4564</v>
      </c>
      <c r="U22" s="122">
        <v>4567.71288461538</v>
      </c>
    </row>
    <row r="23" spans="1:19" ht="12.75">
      <c r="A23" s="121"/>
      <c r="B23" s="139"/>
      <c r="C23" s="136"/>
      <c r="D23" s="131"/>
      <c r="E23" s="131"/>
      <c r="F23" s="136"/>
      <c r="G23" s="136"/>
      <c r="H23" s="137"/>
      <c r="I23" s="164"/>
      <c r="J23" s="164"/>
      <c r="K23" s="164"/>
      <c r="L23" s="138"/>
      <c r="M23" s="136"/>
      <c r="N23" s="136"/>
      <c r="O23" s="141"/>
      <c r="P23" s="141"/>
      <c r="Q23" s="164"/>
      <c r="S23" s="171"/>
    </row>
    <row r="24" spans="1:21" ht="12.75">
      <c r="A24" s="121" t="s">
        <v>13</v>
      </c>
      <c r="B24" s="139">
        <v>30173</v>
      </c>
      <c r="C24" s="136">
        <v>31204.2</v>
      </c>
      <c r="D24" s="131">
        <v>32237.1</v>
      </c>
      <c r="E24" s="131">
        <v>33030.2</v>
      </c>
      <c r="F24" s="136">
        <v>33776.7</v>
      </c>
      <c r="G24" s="136">
        <v>34456.9</v>
      </c>
      <c r="H24" s="137">
        <v>35288.1</v>
      </c>
      <c r="I24" s="164">
        <v>36733.2</v>
      </c>
      <c r="J24" s="164">
        <v>36843.7</v>
      </c>
      <c r="K24" s="164">
        <v>37318</v>
      </c>
      <c r="L24" s="138">
        <f>(K24-J24)*100/J24</f>
        <v>1.287329991287528</v>
      </c>
      <c r="M24" s="136">
        <f>(K24-O24)*100/O24</f>
        <v>28.55996169176338</v>
      </c>
      <c r="N24" s="136"/>
      <c r="O24" s="134">
        <v>29027.7</v>
      </c>
      <c r="P24" s="134"/>
      <c r="Q24" s="164">
        <v>36733.2</v>
      </c>
      <c r="S24" s="171">
        <v>36843.7</v>
      </c>
      <c r="U24" s="122">
        <v>37318</v>
      </c>
    </row>
    <row r="25" spans="1:21" ht="12.75">
      <c r="A25" s="121" t="s">
        <v>14</v>
      </c>
      <c r="B25" s="139">
        <v>5057.6</v>
      </c>
      <c r="C25" s="136">
        <v>5107.4</v>
      </c>
      <c r="D25" s="131">
        <v>5090.8</v>
      </c>
      <c r="E25" s="131">
        <v>5056.9</v>
      </c>
      <c r="F25" s="136">
        <v>5104.7</v>
      </c>
      <c r="G25" s="136">
        <v>5065.6</v>
      </c>
      <c r="H25" s="137">
        <v>4973.5</v>
      </c>
      <c r="I25" s="164">
        <v>4897.8</v>
      </c>
      <c r="J25" s="164">
        <v>4752.2</v>
      </c>
      <c r="K25" s="164">
        <v>4781.7</v>
      </c>
      <c r="L25" s="138">
        <f>(K25-J25)*100/J25</f>
        <v>0.6207651193131603</v>
      </c>
      <c r="M25" s="136">
        <f>(K25-O25)*100/O25</f>
        <v>-5.701270016565441</v>
      </c>
      <c r="N25" s="136"/>
      <c r="O25" s="134">
        <v>5070.8</v>
      </c>
      <c r="P25" s="134"/>
      <c r="Q25" s="164">
        <v>4897.8</v>
      </c>
      <c r="S25" s="171">
        <v>4752.2</v>
      </c>
      <c r="U25" s="122">
        <v>4781.7</v>
      </c>
    </row>
    <row r="26" spans="1:21" ht="12.75">
      <c r="A26" s="121" t="s">
        <v>15</v>
      </c>
      <c r="B26" s="139">
        <v>33858.3</v>
      </c>
      <c r="C26" s="136">
        <v>35566.9</v>
      </c>
      <c r="D26" s="131">
        <v>35747.5</v>
      </c>
      <c r="E26" s="131">
        <v>36291.9</v>
      </c>
      <c r="F26" s="136">
        <v>37033.4</v>
      </c>
      <c r="G26" s="136">
        <v>37346.3</v>
      </c>
      <c r="H26" s="137">
        <v>37573.3</v>
      </c>
      <c r="I26" s="164">
        <v>37997.75</v>
      </c>
      <c r="J26" s="164">
        <v>40159.8</v>
      </c>
      <c r="K26" s="164">
        <v>40023.6</v>
      </c>
      <c r="L26" s="138">
        <f>(K26-J26)*100/J26</f>
        <v>-0.3391451152645291</v>
      </c>
      <c r="M26" s="136">
        <f>(K26-O26)*100/O26</f>
        <v>21.555847792480737</v>
      </c>
      <c r="N26" s="136"/>
      <c r="O26" s="134">
        <v>32926.1</v>
      </c>
      <c r="P26" s="134"/>
      <c r="Q26" s="164">
        <v>37997.75</v>
      </c>
      <c r="S26" s="171">
        <v>40159.8</v>
      </c>
      <c r="U26" s="122">
        <v>40023.6</v>
      </c>
    </row>
    <row r="27" spans="1:21" ht="12.75">
      <c r="A27" s="121" t="s">
        <v>16</v>
      </c>
      <c r="B27" s="139">
        <v>34776.3</v>
      </c>
      <c r="C27" s="136">
        <v>36124.2</v>
      </c>
      <c r="D27" s="131">
        <v>37461.5</v>
      </c>
      <c r="E27" s="131">
        <v>38788.7</v>
      </c>
      <c r="F27" s="136">
        <v>40212.1</v>
      </c>
      <c r="G27" s="136">
        <v>41980.1</v>
      </c>
      <c r="H27" s="137">
        <v>43335.7</v>
      </c>
      <c r="I27" s="164">
        <v>44438.25</v>
      </c>
      <c r="J27" s="164">
        <v>47278.1</v>
      </c>
      <c r="K27" s="164">
        <v>46203.8106882628</v>
      </c>
      <c r="L27" s="138">
        <f>(K27-J27)*100/J27</f>
        <v>-2.2722768295197997</v>
      </c>
      <c r="M27" s="136">
        <f>(K27-O27)*100/O27</f>
        <v>39.6594364761051</v>
      </c>
      <c r="N27" s="136"/>
      <c r="O27" s="134">
        <v>33083.2</v>
      </c>
      <c r="P27" s="134"/>
      <c r="Q27" s="164">
        <v>44438.25</v>
      </c>
      <c r="S27" s="171">
        <v>47278.1</v>
      </c>
      <c r="U27" s="122">
        <v>46203.8106882628</v>
      </c>
    </row>
    <row r="28" spans="1:21" ht="12.75">
      <c r="A28" s="121" t="s">
        <v>17</v>
      </c>
      <c r="B28" s="139">
        <v>2603.4</v>
      </c>
      <c r="C28" s="136">
        <v>2651.4</v>
      </c>
      <c r="D28" s="131">
        <v>2717.7</v>
      </c>
      <c r="E28" s="131">
        <v>2693.9</v>
      </c>
      <c r="F28" s="136">
        <v>2670.3</v>
      </c>
      <c r="G28" s="136">
        <v>2703.1</v>
      </c>
      <c r="H28" s="137">
        <v>2588.6</v>
      </c>
      <c r="I28" s="164">
        <v>2603.6</v>
      </c>
      <c r="J28" s="164">
        <v>2536.8</v>
      </c>
      <c r="K28" s="164">
        <v>2471.74193548387</v>
      </c>
      <c r="L28" s="138">
        <f>(K28-J28)*100/J28</f>
        <v>-2.5645720796330154</v>
      </c>
      <c r="M28" s="136">
        <f>(K28-O28)*100/O28</f>
        <v>-2.487693881810413</v>
      </c>
      <c r="N28" s="136"/>
      <c r="O28" s="134">
        <v>2534.8</v>
      </c>
      <c r="P28" s="134"/>
      <c r="Q28" s="164">
        <v>2603.6</v>
      </c>
      <c r="S28" s="171">
        <v>2536.8</v>
      </c>
      <c r="U28" s="122">
        <v>2471.74193548387</v>
      </c>
    </row>
    <row r="29" spans="1:19" ht="12.75">
      <c r="A29" s="121"/>
      <c r="B29" s="125"/>
      <c r="C29" s="136"/>
      <c r="D29" s="131"/>
      <c r="E29" s="131"/>
      <c r="F29" s="136"/>
      <c r="G29" s="136"/>
      <c r="H29" s="137"/>
      <c r="I29" s="164"/>
      <c r="J29" s="164"/>
      <c r="K29" s="164"/>
      <c r="L29" s="138"/>
      <c r="M29" s="136"/>
      <c r="N29" s="136"/>
      <c r="O29" s="141"/>
      <c r="P29" s="141"/>
      <c r="Q29" s="164"/>
      <c r="S29" s="171"/>
    </row>
    <row r="30" spans="1:21" ht="12.75">
      <c r="A30" s="121" t="s">
        <v>18</v>
      </c>
      <c r="B30" s="139">
        <v>111424.8</v>
      </c>
      <c r="C30" s="136">
        <v>114453.2</v>
      </c>
      <c r="D30" s="131">
        <v>117250.6</v>
      </c>
      <c r="E30" s="131">
        <v>119843.4</v>
      </c>
      <c r="F30" s="136">
        <v>123025.6</v>
      </c>
      <c r="G30" s="136">
        <v>126002.2</v>
      </c>
      <c r="H30" s="137">
        <v>129156.8</v>
      </c>
      <c r="I30" s="164">
        <v>132649.7</v>
      </c>
      <c r="J30" s="164">
        <v>135283.3</v>
      </c>
      <c r="K30" s="164">
        <v>135460.440432925</v>
      </c>
      <c r="L30" s="138">
        <f>(K30-J30)*100/J30</f>
        <v>0.13094035474077123</v>
      </c>
      <c r="M30" s="136">
        <f>(K30-O30)*100/O30</f>
        <v>25.16765391609656</v>
      </c>
      <c r="N30" s="136"/>
      <c r="O30" s="134">
        <v>108223.2</v>
      </c>
      <c r="P30" s="134"/>
      <c r="Q30" s="164">
        <v>132649.7</v>
      </c>
      <c r="S30" s="171">
        <v>135283.3</v>
      </c>
      <c r="U30" s="122">
        <v>135460.440432925</v>
      </c>
    </row>
    <row r="31" spans="1:21" ht="12.75">
      <c r="A31" s="121" t="s">
        <v>19</v>
      </c>
      <c r="B31" s="139">
        <v>113702.3</v>
      </c>
      <c r="C31" s="136">
        <v>117323.1</v>
      </c>
      <c r="D31" s="131">
        <v>120682.3</v>
      </c>
      <c r="E31" s="131">
        <v>123994.2</v>
      </c>
      <c r="F31" s="136">
        <v>125693.9</v>
      </c>
      <c r="G31" s="136">
        <v>127133.7</v>
      </c>
      <c r="H31" s="137">
        <v>131775</v>
      </c>
      <c r="I31" s="164">
        <v>132820.6</v>
      </c>
      <c r="J31" s="164">
        <v>134444.7</v>
      </c>
      <c r="K31" s="164">
        <v>134731.186212206</v>
      </c>
      <c r="L31" s="138">
        <f>(K31-J31)*100/J31</f>
        <v>0.21308851312546034</v>
      </c>
      <c r="M31" s="136">
        <f>(K31-O31)*100/O31</f>
        <v>20.83752882317498</v>
      </c>
      <c r="N31" s="136"/>
      <c r="O31" s="134">
        <v>111497.8</v>
      </c>
      <c r="P31" s="134"/>
      <c r="Q31" s="164">
        <v>132820.6</v>
      </c>
      <c r="S31" s="171">
        <v>134444.7</v>
      </c>
      <c r="U31" s="122">
        <v>134731.186212206</v>
      </c>
    </row>
    <row r="32" spans="1:21" ht="12.75">
      <c r="A32" s="121" t="s">
        <v>20</v>
      </c>
      <c r="B32" s="139">
        <v>5673.5</v>
      </c>
      <c r="C32" s="136">
        <v>5911.3</v>
      </c>
      <c r="D32" s="131">
        <v>6024.1</v>
      </c>
      <c r="E32" s="131">
        <v>6220.1</v>
      </c>
      <c r="F32" s="136">
        <v>6490.2</v>
      </c>
      <c r="G32" s="136">
        <v>6662.9</v>
      </c>
      <c r="H32" s="137">
        <v>6826.4</v>
      </c>
      <c r="I32" s="164">
        <v>6899.9</v>
      </c>
      <c r="J32" s="164">
        <v>7149.8</v>
      </c>
      <c r="K32" s="164">
        <v>7199.69307692308</v>
      </c>
      <c r="L32" s="138">
        <f>(K32-J32)*100/J32</f>
        <v>0.6978247912260499</v>
      </c>
      <c r="M32" s="136">
        <f>(K32-O32)*100/O32</f>
        <v>30.39142779127571</v>
      </c>
      <c r="N32" s="136"/>
      <c r="O32" s="134">
        <v>5521.6</v>
      </c>
      <c r="P32" s="134"/>
      <c r="Q32" s="164">
        <v>6899.9</v>
      </c>
      <c r="S32" s="171">
        <v>7149.8</v>
      </c>
      <c r="U32" s="122">
        <v>7199.69307692308</v>
      </c>
    </row>
    <row r="33" spans="1:21" ht="12.75">
      <c r="A33" s="121" t="s">
        <v>21</v>
      </c>
      <c r="B33" s="139">
        <v>12460.3</v>
      </c>
      <c r="C33" s="136">
        <v>12950.4</v>
      </c>
      <c r="D33" s="131">
        <v>13343.1</v>
      </c>
      <c r="E33" s="131">
        <v>13784.5</v>
      </c>
      <c r="F33" s="136">
        <v>13947.4</v>
      </c>
      <c r="G33" s="136">
        <v>14088.5</v>
      </c>
      <c r="H33" s="137">
        <v>14319.2</v>
      </c>
      <c r="I33" s="164">
        <v>14544.1</v>
      </c>
      <c r="J33" s="164">
        <v>15180.8</v>
      </c>
      <c r="K33" s="164">
        <v>15522.6071428571</v>
      </c>
      <c r="L33" s="138">
        <f>(K33-J33)*100/J33</f>
        <v>2.251575298120654</v>
      </c>
      <c r="M33" s="136">
        <f>(K33-O33)*100/O33</f>
        <v>28.2542108804189</v>
      </c>
      <c r="N33" s="136"/>
      <c r="O33" s="134">
        <v>12103</v>
      </c>
      <c r="P33" s="134"/>
      <c r="Q33" s="164">
        <v>14544.1</v>
      </c>
      <c r="S33" s="171">
        <v>15180.8</v>
      </c>
      <c r="U33" s="122">
        <v>15522.6071428571</v>
      </c>
    </row>
    <row r="34" spans="1:21" ht="12.75">
      <c r="A34" s="121" t="s">
        <v>22</v>
      </c>
      <c r="B34" s="139">
        <v>3275.3</v>
      </c>
      <c r="C34" s="136">
        <v>3070</v>
      </c>
      <c r="D34" s="131">
        <v>3070.8</v>
      </c>
      <c r="E34" s="131">
        <v>2950.6</v>
      </c>
      <c r="F34" s="136">
        <v>2936.8</v>
      </c>
      <c r="G34" s="136">
        <v>2934.2</v>
      </c>
      <c r="H34" s="137">
        <v>2903.4</v>
      </c>
      <c r="I34" s="164">
        <v>2855.4</v>
      </c>
      <c r="J34" s="164">
        <v>2816.1</v>
      </c>
      <c r="K34" s="164">
        <v>2814.49328358209</v>
      </c>
      <c r="L34" s="138">
        <f>(K34-J34)*100/J34</f>
        <v>-0.05705466488796085</v>
      </c>
      <c r="M34" s="136">
        <f>(K34-O34)*100/O34</f>
        <v>-15.394297974445676</v>
      </c>
      <c r="N34" s="136"/>
      <c r="O34" s="134">
        <v>3326.6</v>
      </c>
      <c r="P34" s="134"/>
      <c r="Q34" s="164">
        <v>2855.4</v>
      </c>
      <c r="S34" s="171">
        <v>2816.1</v>
      </c>
      <c r="U34" s="122">
        <v>2814.49328358209</v>
      </c>
    </row>
    <row r="35" spans="1:19" ht="12.75">
      <c r="A35" s="121"/>
      <c r="B35" s="139"/>
      <c r="C35" s="136"/>
      <c r="D35" s="136"/>
      <c r="E35" s="131"/>
      <c r="F35" s="136"/>
      <c r="G35" s="136"/>
      <c r="H35" s="137"/>
      <c r="I35" s="164"/>
      <c r="J35" s="164"/>
      <c r="K35" s="164"/>
      <c r="L35" s="138"/>
      <c r="M35" s="136"/>
      <c r="N35" s="136"/>
      <c r="O35" s="141"/>
      <c r="P35" s="141"/>
      <c r="Q35" s="164"/>
      <c r="S35" s="171"/>
    </row>
    <row r="36" spans="1:21" ht="12.75">
      <c r="A36" s="121" t="s">
        <v>23</v>
      </c>
      <c r="B36" s="139">
        <v>4102.5</v>
      </c>
      <c r="C36" s="136">
        <v>4150.4</v>
      </c>
      <c r="D36" s="131">
        <v>4201.2</v>
      </c>
      <c r="E36" s="131">
        <v>4308.2</v>
      </c>
      <c r="F36" s="136">
        <v>4327</v>
      </c>
      <c r="G36" s="136">
        <v>4371.6</v>
      </c>
      <c r="H36" s="137">
        <v>4387.3</v>
      </c>
      <c r="I36" s="164">
        <v>4393.4</v>
      </c>
      <c r="J36" s="164">
        <v>4381</v>
      </c>
      <c r="K36" s="164">
        <v>4359.6</v>
      </c>
      <c r="L36" s="138">
        <f>(K36-J36)*100/J36</f>
        <v>-0.4884729513809549</v>
      </c>
      <c r="M36" s="136">
        <f>(K36-O36)*100/O36</f>
        <v>8.173291648057184</v>
      </c>
      <c r="N36" s="136"/>
      <c r="O36" s="134">
        <v>4030.2</v>
      </c>
      <c r="P36" s="134"/>
      <c r="Q36" s="164">
        <v>4393.4</v>
      </c>
      <c r="S36" s="171">
        <v>4381</v>
      </c>
      <c r="U36" s="122">
        <v>4359.6</v>
      </c>
    </row>
    <row r="37" spans="1:21" ht="12.75">
      <c r="A37" s="121" t="s">
        <v>24</v>
      </c>
      <c r="B37" s="139">
        <v>18474.4</v>
      </c>
      <c r="C37" s="136">
        <v>18644.8</v>
      </c>
      <c r="D37" s="131">
        <v>18751.2</v>
      </c>
      <c r="E37" s="131">
        <v>18885.9</v>
      </c>
      <c r="F37" s="136">
        <v>18991.4</v>
      </c>
      <c r="G37" s="136">
        <v>19007.7</v>
      </c>
      <c r="H37" s="137">
        <v>18920.8</v>
      </c>
      <c r="I37" s="164">
        <v>18883</v>
      </c>
      <c r="J37" s="164">
        <v>19058.7</v>
      </c>
      <c r="K37" s="164">
        <v>19634.1318796179</v>
      </c>
      <c r="L37" s="138">
        <f>(K37-J37)*100/J37</f>
        <v>3.019260912957859</v>
      </c>
      <c r="M37" s="136">
        <f>(K37-O37)*100/O37</f>
        <v>8.307720498110127</v>
      </c>
      <c r="N37" s="136"/>
      <c r="O37" s="134">
        <v>18128.1</v>
      </c>
      <c r="P37" s="134"/>
      <c r="Q37" s="164">
        <v>18883</v>
      </c>
      <c r="S37" s="171">
        <v>19058.7</v>
      </c>
      <c r="U37" s="122">
        <v>19634.1318796179</v>
      </c>
    </row>
    <row r="38" spans="1:21" ht="12.75">
      <c r="A38" s="121" t="s">
        <v>25</v>
      </c>
      <c r="B38" s="139">
        <v>12891.9</v>
      </c>
      <c r="C38" s="136">
        <v>13091.2</v>
      </c>
      <c r="D38" s="131">
        <v>13148.7</v>
      </c>
      <c r="E38" s="131">
        <v>13414.1</v>
      </c>
      <c r="F38" s="136">
        <v>13501.5</v>
      </c>
      <c r="G38" s="136">
        <v>13635.7</v>
      </c>
      <c r="H38" s="137">
        <v>13380.4</v>
      </c>
      <c r="I38" s="164">
        <v>13397.9</v>
      </c>
      <c r="J38" s="164">
        <v>13574.2</v>
      </c>
      <c r="K38" s="164">
        <v>14026.9938987166</v>
      </c>
      <c r="L38" s="138">
        <f>(K38-J38)*100/J38</f>
        <v>3.335694911792959</v>
      </c>
      <c r="M38" s="136">
        <f>(K38-O38)*100/O38</f>
        <v>9.82183518274888</v>
      </c>
      <c r="N38" s="136"/>
      <c r="O38" s="134">
        <v>12772.5</v>
      </c>
      <c r="P38" s="134"/>
      <c r="Q38" s="164">
        <v>13397.9</v>
      </c>
      <c r="S38" s="171">
        <v>13574.2</v>
      </c>
      <c r="U38" s="122">
        <v>14026.9938987166</v>
      </c>
    </row>
    <row r="39" spans="1:21" ht="12.75">
      <c r="A39" s="142" t="s">
        <v>26</v>
      </c>
      <c r="B39" s="144">
        <v>6081.1</v>
      </c>
      <c r="C39" s="145">
        <v>6245.1</v>
      </c>
      <c r="D39" s="146">
        <v>6420</v>
      </c>
      <c r="E39" s="146">
        <v>6462.4</v>
      </c>
      <c r="F39" s="145">
        <v>6549.9</v>
      </c>
      <c r="G39" s="145">
        <v>6532.2</v>
      </c>
      <c r="H39" s="147">
        <v>6453.3</v>
      </c>
      <c r="I39" s="166">
        <v>6367</v>
      </c>
      <c r="J39" s="166">
        <v>6087.2</v>
      </c>
      <c r="K39" s="166">
        <v>6479.06738035265</v>
      </c>
      <c r="L39" s="148">
        <f>(K39-J39)*100/J39</f>
        <v>6.4375637461008335</v>
      </c>
      <c r="M39" s="136">
        <f>(K39-O39)*100/O39</f>
        <v>11.556111165010591</v>
      </c>
      <c r="N39" s="136"/>
      <c r="O39" s="143">
        <v>5807.9</v>
      </c>
      <c r="P39" s="143"/>
      <c r="Q39" s="166">
        <v>6367</v>
      </c>
      <c r="S39" s="171">
        <v>6087.2</v>
      </c>
      <c r="U39" s="122">
        <v>6479.06738035265</v>
      </c>
    </row>
    <row r="40" spans="1:14" ht="12.75">
      <c r="A40" s="168" t="s">
        <v>147</v>
      </c>
      <c r="B40" s="141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</row>
    <row r="41" spans="2:14" ht="12.75"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</row>
    <row r="42" spans="2:14" ht="12.75">
      <c r="B42" s="136"/>
      <c r="C42" s="136"/>
      <c r="D42" s="136"/>
      <c r="E42" s="136"/>
      <c r="F42" s="136"/>
      <c r="G42" s="136"/>
      <c r="H42" s="178"/>
      <c r="I42" s="141"/>
      <c r="J42" s="141"/>
      <c r="K42" s="141"/>
      <c r="L42" s="125"/>
      <c r="M42" s="125"/>
      <c r="N42" s="125"/>
    </row>
    <row r="43" spans="2:14" ht="12.75"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</row>
    <row r="44" spans="2:14" ht="12.75"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</row>
    <row r="45" spans="2:14" ht="12.75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</row>
    <row r="46" spans="2:14" ht="12.75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</row>
    <row r="47" spans="2:14" ht="12.75"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</row>
    <row r="48" spans="2:14" ht="12.75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</row>
    <row r="49" spans="2:14" ht="12.75"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</row>
    <row r="50" spans="2:14" ht="12.75"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</row>
    <row r="51" spans="2:14" ht="12.75"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</row>
    <row r="52" spans="2:14" ht="12.75"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</row>
    <row r="53" spans="2:14" ht="12.75"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</row>
    <row r="54" spans="2:14" ht="12.75"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</row>
    <row r="55" spans="2:14" ht="12.75"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</row>
    <row r="56" spans="2:14" ht="12.75"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2:14" ht="12.7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  <row r="58" spans="2:14" ht="12.75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</row>
    <row r="59" spans="2:14" ht="12.75"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</row>
    <row r="60" spans="2:14" ht="12.75"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</row>
    <row r="61" spans="2:14" ht="12.75"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</row>
    <row r="62" spans="2:14" ht="12.75"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</row>
    <row r="63" spans="2:14" ht="12.75"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</row>
    <row r="64" spans="2:14" ht="12.75"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</row>
    <row r="65" spans="2:14" ht="12.75"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</row>
    <row r="66" spans="2:14" ht="12.75"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</row>
    <row r="67" spans="2:14" ht="12.75"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</row>
    <row r="68" spans="2:14" ht="12.75"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</row>
    <row r="69" spans="2:14" ht="12.75"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</row>
    <row r="70" spans="2:14" ht="12.75"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</row>
    <row r="71" spans="2:14" ht="12.7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</row>
    <row r="72" spans="2:14" ht="12.7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</row>
    <row r="73" spans="2:14" ht="12.7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</row>
    <row r="74" spans="2:14" ht="12.7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</row>
    <row r="75" spans="2:14" ht="12.7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spans="2:14" ht="12.75"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  <row r="77" spans="2:14" ht="12.75"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spans="2:14" ht="12.7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</row>
    <row r="79" spans="2:14" ht="12.75"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2:14" ht="12.75"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2:14" ht="12.75"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 ht="12.7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 ht="12.75"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 ht="12.75"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 ht="12.75"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 ht="12.7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 ht="12.75"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 ht="12.75"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 ht="12.75"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 ht="12.75"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 ht="12.7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 ht="12.7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 ht="12.7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 ht="12.7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 ht="12.7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 ht="12.7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 ht="12.7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 ht="12.7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 ht="12.7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 ht="12.7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 ht="12.7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 ht="12.7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 ht="12.7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 ht="12.7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 ht="12.7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 ht="12.7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 ht="12.7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 ht="12.7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 ht="12.7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 ht="12.7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 ht="12.7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 ht="12.7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 ht="12.7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 ht="12.7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 ht="12.7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 ht="12.7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 ht="12.7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 ht="12.7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 ht="12.7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 ht="12.7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 ht="12.7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 ht="12.7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 ht="12.7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 ht="12.7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 ht="12.7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 ht="12.7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 ht="12.7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 ht="12.7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 ht="12.7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 ht="12.7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 ht="12.7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 ht="12.7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 ht="12.7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 ht="12.7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 ht="12.7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 ht="12.7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 ht="12.7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 ht="12.7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 ht="12.7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 ht="12.7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 ht="12.7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 ht="12.7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 ht="12.7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 ht="12.7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 ht="12.7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 ht="12.7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 ht="12.7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 ht="12.7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 ht="12.7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 ht="12.7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 ht="12.7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 ht="12.7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 ht="12.7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 ht="12.7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 ht="12.7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 ht="12.7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 ht="12.7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 ht="12.7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 ht="12.7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 ht="12.7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 ht="12.7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 ht="12.7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 ht="12.7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 ht="12.7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 ht="12.7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 ht="12.7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 ht="12.7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 ht="12.7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 ht="12.7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 ht="12.7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 ht="12.7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 ht="12.7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 ht="12.7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 ht="12.7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 ht="12.7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 ht="12.7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 ht="12.7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 ht="12.7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 ht="12.7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 ht="12.7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 ht="12.7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 ht="12.7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 ht="12.7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 ht="12.7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 ht="12.7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 ht="12.7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 ht="12.7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 ht="12.7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 ht="12.7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 ht="12.7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 ht="12.7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 ht="12.7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 ht="12.7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 ht="12.7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 ht="12.7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 ht="12.7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 ht="12.7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 ht="12.7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 ht="12.7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 ht="12.7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 ht="12.7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 ht="12.7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 ht="12.75">
      <c r="B203" s="125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 ht="12.75"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 ht="12.75">
      <c r="B205" s="125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 ht="12.75">
      <c r="B206" s="125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 ht="12.75">
      <c r="B207" s="125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 ht="12.75">
      <c r="B208" s="125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 ht="12.75"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 ht="12.75">
      <c r="B210" s="125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 ht="12.75"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 ht="12.75"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 ht="12.75">
      <c r="B213" s="125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 ht="12.75">
      <c r="B214" s="125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 ht="12.75"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 ht="12.75"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 ht="12.75">
      <c r="B217" s="125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 ht="12.75"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 ht="12.75"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 ht="12.75">
      <c r="B220" s="125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 ht="12.75">
      <c r="B221" s="125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 ht="12.75">
      <c r="B222" s="125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 ht="12.75">
      <c r="B223" s="125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 ht="12.75">
      <c r="B224" s="125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 ht="12.75">
      <c r="B225" s="125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 ht="12.75">
      <c r="B226" s="125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 ht="12.75">
      <c r="B227" s="125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 ht="12.75">
      <c r="B228" s="125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 ht="12.75">
      <c r="B229" s="125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 ht="12.75">
      <c r="B230" s="125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 ht="12.75">
      <c r="B231" s="125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 ht="12.75"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 ht="12.75"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 ht="12.75">
      <c r="B234" s="125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 ht="12.75">
      <c r="B235" s="125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 ht="12.75">
      <c r="B236" s="125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 ht="12.75">
      <c r="B237" s="125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 ht="12.75">
      <c r="B238" s="125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 ht="12.75">
      <c r="B239" s="125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 ht="12.75"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 ht="12.75">
      <c r="B241" s="125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 ht="12.75">
      <c r="B242" s="125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 ht="12.75">
      <c r="B243" s="125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 ht="12.75">
      <c r="B244" s="125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 ht="12.75">
      <c r="B245" s="125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 ht="12.75">
      <c r="B246" s="125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 ht="12.75">
      <c r="B247" s="125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 ht="12.75"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 ht="12.75">
      <c r="B249" s="125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 ht="12.75">
      <c r="B250" s="125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 ht="12.75"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 ht="12.75">
      <c r="B252" s="125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 ht="12.75">
      <c r="B253" s="125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 ht="12.75">
      <c r="B254" s="125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 ht="12.75">
      <c r="B255" s="125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 ht="12.75">
      <c r="B256" s="125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</row>
    <row r="257" spans="2:14" ht="12.75">
      <c r="B257" s="125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</row>
    <row r="258" spans="2:14" ht="12.75">
      <c r="B258" s="125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</row>
    <row r="259" spans="2:14" ht="12.75">
      <c r="B259" s="125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</row>
    <row r="260" spans="2:14" ht="12.75">
      <c r="B260" s="125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</row>
    <row r="261" spans="2:14" ht="12.75">
      <c r="B261" s="125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</row>
    <row r="262" spans="2:14" ht="12.75">
      <c r="B262" s="125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</row>
    <row r="263" spans="2:14" ht="12.75">
      <c r="B263" s="125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</row>
    <row r="264" spans="2:14" ht="12.75"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</row>
    <row r="265" spans="2:14" ht="12.75">
      <c r="B265" s="125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</row>
    <row r="266" spans="2:14" ht="12.75">
      <c r="B266" s="125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</row>
    <row r="267" spans="2:14" ht="12.75">
      <c r="B267" s="125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</row>
    <row r="268" spans="2:14" ht="12.75"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</row>
    <row r="269" spans="2:14" ht="12.75">
      <c r="B269" s="125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</row>
    <row r="270" spans="2:14" ht="12.75">
      <c r="B270" s="125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</row>
    <row r="271" spans="2:14" ht="12.75">
      <c r="B271" s="125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</row>
    <row r="272" spans="2:14" ht="12.75">
      <c r="B272" s="125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</row>
    <row r="273" spans="2:14" ht="12.75">
      <c r="B273" s="125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</row>
    <row r="274" spans="2:14" ht="12.75">
      <c r="B274" s="125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</row>
    <row r="275" spans="2:14" ht="12.75">
      <c r="B275" s="125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</row>
    <row r="276" spans="2:14" ht="12.75">
      <c r="B276" s="125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</row>
    <row r="277" spans="2:14" ht="12.75">
      <c r="B277" s="125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</row>
    <row r="278" spans="2:14" ht="12.75"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</row>
    <row r="279" spans="2:14" ht="12.75"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</row>
    <row r="280" spans="2:14" ht="12.75">
      <c r="B280" s="125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</row>
    <row r="281" spans="2:14" ht="12.75">
      <c r="B281" s="125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</row>
    <row r="282" spans="2:14" ht="12.75"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</row>
    <row r="283" spans="2:14" ht="12.75">
      <c r="B283" s="125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</row>
    <row r="284" spans="2:14" ht="12.75"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</row>
    <row r="285" spans="2:14" ht="12.75">
      <c r="B285" s="125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</row>
    <row r="286" spans="2:14" ht="12.75">
      <c r="B286" s="125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</row>
    <row r="287" spans="2:14" ht="12.75">
      <c r="B287" s="125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</row>
    <row r="288" spans="2:14" ht="12.75">
      <c r="B288" s="125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</row>
    <row r="289" spans="2:14" ht="12.75">
      <c r="B289" s="125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</row>
    <row r="290" spans="2:14" ht="12.75">
      <c r="B290" s="125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</row>
    <row r="291" spans="2:14" ht="12.75">
      <c r="B291" s="125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</row>
    <row r="292" spans="2:14" ht="12.75">
      <c r="B292" s="125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</row>
    <row r="293" spans="2:14" ht="12.75">
      <c r="B293" s="125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</row>
    <row r="294" spans="2:14" ht="12.75">
      <c r="B294" s="125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</row>
    <row r="295" spans="2:14" ht="12.75">
      <c r="B295" s="125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</row>
    <row r="296" spans="2:14" ht="12.75">
      <c r="B296" s="125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</row>
    <row r="297" spans="2:14" ht="12.75">
      <c r="B297" s="125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</row>
    <row r="298" spans="2:14" ht="12.75">
      <c r="B298" s="125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</row>
    <row r="299" spans="2:14" ht="12.75">
      <c r="B299" s="125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</row>
    <row r="300" spans="2:14" ht="12.75">
      <c r="B300" s="125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</row>
    <row r="301" spans="2:14" ht="12.75">
      <c r="B301" s="125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</row>
    <row r="302" spans="2:14" ht="12.75">
      <c r="B302" s="125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</row>
    <row r="303" spans="2:14" ht="12.75">
      <c r="B303" s="125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</row>
    <row r="304" spans="2:14" ht="12.75">
      <c r="B304" s="125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</row>
    <row r="305" spans="2:14" ht="12.75">
      <c r="B305" s="125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</row>
    <row r="306" spans="2:14" ht="12.75">
      <c r="B306" s="125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</row>
    <row r="307" spans="2:14" ht="12.75">
      <c r="B307" s="125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</row>
    <row r="308" spans="2:14" ht="12.75">
      <c r="B308" s="125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</row>
    <row r="309" spans="2:14" ht="12.75">
      <c r="B309" s="125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</row>
    <row r="310" spans="2:14" ht="12.75">
      <c r="B310" s="125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</row>
    <row r="311" spans="2:14" ht="12.75">
      <c r="B311" s="125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</row>
    <row r="312" spans="2:14" ht="12.75">
      <c r="B312" s="125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</row>
    <row r="313" spans="2:14" ht="12.75">
      <c r="B313" s="125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</row>
    <row r="314" spans="2:14" ht="12.75">
      <c r="B314" s="125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</row>
    <row r="315" spans="2:14" ht="12.75">
      <c r="B315" s="125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</row>
    <row r="316" spans="2:14" ht="12.75">
      <c r="B316" s="125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</row>
    <row r="317" spans="2:14" ht="12.75">
      <c r="B317" s="125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</row>
    <row r="318" spans="2:14" ht="12.75">
      <c r="B318" s="125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</row>
    <row r="319" spans="2:14" ht="12.75">
      <c r="B319" s="125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</row>
    <row r="320" spans="2:14" ht="12.75">
      <c r="B320" s="125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</row>
    <row r="321" spans="2:14" ht="12.75">
      <c r="B321" s="125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</row>
    <row r="322" spans="2:14" ht="12.75"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</row>
    <row r="323" spans="2:14" ht="12.75">
      <c r="B323" s="125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</row>
    <row r="324" spans="2:14" ht="12.75"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</row>
    <row r="325" spans="2:14" ht="12.75"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</row>
    <row r="326" spans="2:14" ht="12.75">
      <c r="B326" s="125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</row>
    <row r="327" spans="2:14" ht="12.75">
      <c r="B327" s="125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</row>
    <row r="328" spans="2:14" ht="12.75">
      <c r="B328" s="125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</row>
    <row r="329" spans="2:14" ht="12.75">
      <c r="B329" s="125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</row>
    <row r="330" spans="2:14" ht="12.75">
      <c r="B330" s="125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</row>
    <row r="331" spans="2:14" ht="12.75">
      <c r="B331" s="125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</row>
    <row r="332" spans="2:14" ht="12.75">
      <c r="B332" s="125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</row>
    <row r="333" spans="2:14" ht="12.75">
      <c r="B333" s="125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</row>
    <row r="334" spans="2:14" ht="12.75">
      <c r="B334" s="125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</row>
    <row r="335" spans="2:14" ht="12.75">
      <c r="B335" s="125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</row>
    <row r="336" spans="2:14" ht="12.75">
      <c r="B336" s="125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</row>
  </sheetData>
  <mergeCells count="4">
    <mergeCell ref="A3:M3"/>
    <mergeCell ref="L7:M7"/>
    <mergeCell ref="A1:M1"/>
    <mergeCell ref="A4:M4"/>
  </mergeCells>
  <printOptions/>
  <pageMargins left="0.36" right="0.21" top="0.86" bottom="0.61" header="0.37" footer="0.4"/>
  <pageSetup fitToHeight="1" fitToWidth="1" horizontalDpi="600" verticalDpi="600" orientation="landscape" scale="82" r:id="rId1"/>
  <headerFooter alignWithMargins="0">
    <oddFooter>&amp;L&amp;"Lucida Sans,Italic"&amp;10MSDE-DBS 1 / 2006&amp;C- 19 -&amp;R&amp;"Lucida Sans,Italic"&amp;10Selected Financial Data - Part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workbookViewId="0" topLeftCell="A1">
      <selection activeCell="A3" sqref="A3:M3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4" width="6.625" style="1" customWidth="1"/>
    <col min="15" max="15" width="10.875" style="3" bestFit="1" customWidth="1"/>
    <col min="16" max="16" width="5.50390625" style="3" customWidth="1"/>
    <col min="17" max="17" width="3.875" style="3" customWidth="1"/>
    <col min="18" max="28" width="10.125" style="3" customWidth="1"/>
    <col min="29" max="16384" width="10.00390625" style="3" customWidth="1"/>
  </cols>
  <sheetData>
    <row r="1" spans="1:14" ht="12.75">
      <c r="A1" s="226" t="s">
        <v>55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0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2.75">
      <c r="A3" s="226" t="s">
        <v>31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10"/>
      <c r="O3" s="219" t="s">
        <v>181</v>
      </c>
    </row>
    <row r="4" spans="1:14" ht="12.75">
      <c r="A4" s="226" t="s">
        <v>168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10"/>
    </row>
    <row r="5" spans="1:14" ht="13.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9" ht="13.5" thickTop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R6" s="204" t="s">
        <v>182</v>
      </c>
      <c r="S6" s="205"/>
    </row>
    <row r="7" spans="1:19" ht="12.7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227" t="s">
        <v>28</v>
      </c>
      <c r="M7" s="227"/>
      <c r="N7" s="210"/>
      <c r="O7" s="89"/>
      <c r="P7" s="89"/>
      <c r="R7" s="206" t="s">
        <v>178</v>
      </c>
      <c r="S7" s="207"/>
    </row>
    <row r="8" spans="1:19" ht="12.75">
      <c r="A8" s="89"/>
      <c r="B8" s="89"/>
      <c r="C8" s="89"/>
      <c r="D8" s="170"/>
      <c r="E8" s="170"/>
      <c r="F8" s="170"/>
      <c r="G8" s="170"/>
      <c r="H8" s="170"/>
      <c r="I8" s="170"/>
      <c r="J8" s="170"/>
      <c r="K8" s="170"/>
      <c r="L8" s="10" t="s">
        <v>59</v>
      </c>
      <c r="M8" s="10" t="s">
        <v>60</v>
      </c>
      <c r="N8" s="10"/>
      <c r="O8" s="89"/>
      <c r="P8" s="89"/>
      <c r="R8" s="208" t="s">
        <v>165</v>
      </c>
      <c r="S8" s="209"/>
    </row>
    <row r="9" spans="1:19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9"/>
      <c r="O9" s="33" t="s">
        <v>158</v>
      </c>
      <c r="P9" s="33"/>
      <c r="R9" s="3" t="s">
        <v>180</v>
      </c>
      <c r="S9" s="20" t="s">
        <v>167</v>
      </c>
    </row>
    <row r="10" spans="1:19" ht="12.75">
      <c r="A10" s="7" t="s">
        <v>2</v>
      </c>
      <c r="B10" s="11">
        <f>SUM(B12:B39)</f>
        <v>5028499</v>
      </c>
      <c r="C10" s="11">
        <f>SUM(D12:D43)</f>
        <v>5453638</v>
      </c>
      <c r="D10" s="11">
        <f>SUM(D12:D43)</f>
        <v>5453638</v>
      </c>
      <c r="E10" s="11">
        <f aca="true" t="shared" si="0" ref="E10:K10">SUM(E12:E39)</f>
        <v>5780549</v>
      </c>
      <c r="F10" s="11">
        <f t="shared" si="0"/>
        <v>6108201</v>
      </c>
      <c r="G10" s="11">
        <f t="shared" si="0"/>
        <v>6418873</v>
      </c>
      <c r="H10" s="11">
        <f t="shared" si="0"/>
        <v>6943072</v>
      </c>
      <c r="I10" s="11">
        <f t="shared" si="0"/>
        <v>7325471</v>
      </c>
      <c r="J10" s="11">
        <f t="shared" si="0"/>
        <v>7726859</v>
      </c>
      <c r="K10" s="11">
        <f t="shared" si="0"/>
        <v>8112456.886</v>
      </c>
      <c r="L10" s="84">
        <f>(K10-J10)/J10</f>
        <v>0.049903574790222</v>
      </c>
      <c r="M10" s="119">
        <f>(K10-O10)/O10</f>
        <v>0.7161016322566629</v>
      </c>
      <c r="N10" s="119"/>
      <c r="O10" s="11">
        <f>SUM(O12:O39)</f>
        <v>4727259</v>
      </c>
      <c r="P10" s="11"/>
      <c r="R10" s="3">
        <f>SUM(R12:R39)</f>
        <v>8112456886</v>
      </c>
      <c r="S10" s="3">
        <f>SUM(S12:S39)</f>
        <v>8112456.886</v>
      </c>
    </row>
    <row r="11" spans="3:16" ht="12.75">
      <c r="C11" s="14"/>
      <c r="D11" s="14"/>
      <c r="E11" s="14"/>
      <c r="F11" s="14"/>
      <c r="G11" s="14"/>
      <c r="M11" s="14"/>
      <c r="N11" s="14"/>
      <c r="O11" s="1"/>
      <c r="P11" s="1"/>
    </row>
    <row r="12" spans="1:19" ht="12.75">
      <c r="A12" s="1" t="s">
        <v>3</v>
      </c>
      <c r="B12" s="14">
        <v>63412</v>
      </c>
      <c r="C12" s="14">
        <v>66229</v>
      </c>
      <c r="D12" s="14">
        <v>69046</v>
      </c>
      <c r="E12" s="14">
        <v>71664</v>
      </c>
      <c r="F12" s="14">
        <v>75072</v>
      </c>
      <c r="G12" s="14">
        <v>76528</v>
      </c>
      <c r="H12" s="1">
        <v>80469</v>
      </c>
      <c r="I12" s="1">
        <v>85597</v>
      </c>
      <c r="J12" s="1">
        <v>89453</v>
      </c>
      <c r="K12" s="1">
        <v>91102.621</v>
      </c>
      <c r="L12" s="15">
        <f>(K12-J12)*100/J12</f>
        <v>1.8441203760634066</v>
      </c>
      <c r="M12" s="16">
        <f>(K12-O12)*100/O12</f>
        <v>52.24622904794532</v>
      </c>
      <c r="N12" s="16"/>
      <c r="O12" s="14">
        <v>59839</v>
      </c>
      <c r="P12" s="14"/>
      <c r="R12" s="3">
        <v>91102621</v>
      </c>
      <c r="S12" s="222">
        <f>R12/1000</f>
        <v>91102.621</v>
      </c>
    </row>
    <row r="13" spans="1:19" ht="12.75">
      <c r="A13" s="1" t="s">
        <v>4</v>
      </c>
      <c r="B13" s="14">
        <v>438133</v>
      </c>
      <c r="C13" s="14">
        <v>455509</v>
      </c>
      <c r="D13" s="14">
        <v>460381</v>
      </c>
      <c r="E13" s="14">
        <v>478694</v>
      </c>
      <c r="F13" s="14">
        <v>497891</v>
      </c>
      <c r="G13" s="14">
        <v>534592</v>
      </c>
      <c r="H13" s="1">
        <v>570321</v>
      </c>
      <c r="I13" s="1">
        <v>605913</v>
      </c>
      <c r="J13" s="1">
        <v>635152</v>
      </c>
      <c r="K13" s="1">
        <v>657396.192</v>
      </c>
      <c r="L13" s="15">
        <f>(K13-J13)*100/J13</f>
        <v>3.5021840441343235</v>
      </c>
      <c r="M13" s="16">
        <f>(K13-O13)*100/O13</f>
        <v>59.94223944761947</v>
      </c>
      <c r="N13" s="16"/>
      <c r="O13" s="14">
        <v>411021</v>
      </c>
      <c r="P13" s="14"/>
      <c r="R13" s="3">
        <v>657396192</v>
      </c>
      <c r="S13" s="222">
        <f>R13/1000</f>
        <v>657396.192</v>
      </c>
    </row>
    <row r="14" spans="1:19" ht="12.75">
      <c r="A14" s="1" t="s">
        <v>5</v>
      </c>
      <c r="B14" s="14">
        <v>678132</v>
      </c>
      <c r="C14" s="14">
        <v>704822</v>
      </c>
      <c r="D14" s="14">
        <v>733527</v>
      </c>
      <c r="E14" s="14">
        <v>796993</v>
      </c>
      <c r="F14" s="14">
        <v>846482</v>
      </c>
      <c r="G14" s="14">
        <v>859871</v>
      </c>
      <c r="H14" s="1">
        <v>919756</v>
      </c>
      <c r="I14" s="1">
        <v>940241</v>
      </c>
      <c r="J14" s="1">
        <v>929249</v>
      </c>
      <c r="K14" s="1">
        <v>921163.22</v>
      </c>
      <c r="L14" s="15">
        <f>(K14-J14)*100/J14</f>
        <v>-0.8701413722263923</v>
      </c>
      <c r="M14" s="16">
        <f>(K14-O14)*100/O14</f>
        <v>39.838208080639404</v>
      </c>
      <c r="N14" s="16"/>
      <c r="O14" s="14">
        <v>658735</v>
      </c>
      <c r="P14" s="14"/>
      <c r="R14" s="3">
        <v>921163220</v>
      </c>
      <c r="S14" s="222">
        <f>R14/1000</f>
        <v>921163.22</v>
      </c>
    </row>
    <row r="15" spans="1:19" ht="12.75">
      <c r="A15" s="1" t="s">
        <v>6</v>
      </c>
      <c r="B15" s="14">
        <v>643364</v>
      </c>
      <c r="C15" s="14">
        <v>660732</v>
      </c>
      <c r="D15" s="14">
        <v>695221</v>
      </c>
      <c r="E15" s="14">
        <v>733337</v>
      </c>
      <c r="F15" s="14">
        <v>762882</v>
      </c>
      <c r="G15" s="14">
        <v>800158</v>
      </c>
      <c r="H15" s="1">
        <v>874958</v>
      </c>
      <c r="I15" s="1">
        <v>916581</v>
      </c>
      <c r="J15" s="1">
        <v>963760</v>
      </c>
      <c r="K15" s="1">
        <v>995990.822</v>
      </c>
      <c r="L15" s="15">
        <f>(K15-J15)*100/J15</f>
        <v>3.344278866107749</v>
      </c>
      <c r="M15" s="16">
        <f>(K15-O15)*100/O15</f>
        <v>68.76051746924668</v>
      </c>
      <c r="N15" s="16"/>
      <c r="O15" s="14">
        <v>590180</v>
      </c>
      <c r="P15" s="14"/>
      <c r="R15" s="3">
        <v>995990822</v>
      </c>
      <c r="S15" s="222">
        <f>R15/1000</f>
        <v>995990.822</v>
      </c>
    </row>
    <row r="16" spans="1:19" ht="12.75">
      <c r="A16" s="1" t="s">
        <v>7</v>
      </c>
      <c r="B16" s="14">
        <v>74084</v>
      </c>
      <c r="C16" s="14">
        <v>79469</v>
      </c>
      <c r="D16" s="14">
        <v>85187</v>
      </c>
      <c r="E16" s="14">
        <v>91777</v>
      </c>
      <c r="F16" s="14">
        <v>99660</v>
      </c>
      <c r="G16" s="14">
        <v>107139</v>
      </c>
      <c r="H16" s="1">
        <v>116556</v>
      </c>
      <c r="I16" s="1">
        <v>127821</v>
      </c>
      <c r="J16" s="1">
        <v>139319</v>
      </c>
      <c r="K16" s="1">
        <v>150226.747</v>
      </c>
      <c r="L16" s="15">
        <f>(K16-J16)*100/J16</f>
        <v>7.829331964771497</v>
      </c>
      <c r="M16" s="16">
        <f>(K16-O16)*100/O16</f>
        <v>117.73254536494869</v>
      </c>
      <c r="N16" s="16"/>
      <c r="O16" s="14">
        <v>68996</v>
      </c>
      <c r="P16" s="14"/>
      <c r="R16" s="3">
        <v>150226747</v>
      </c>
      <c r="S16" s="222">
        <f>R16/1000</f>
        <v>150226.747</v>
      </c>
    </row>
    <row r="17" spans="2:19" ht="12.75">
      <c r="B17" s="14"/>
      <c r="C17" s="14"/>
      <c r="D17" s="14"/>
      <c r="E17" s="14"/>
      <c r="F17" s="14"/>
      <c r="G17" s="14"/>
      <c r="L17" s="15"/>
      <c r="M17" s="16"/>
      <c r="N17" s="16"/>
      <c r="O17" s="14"/>
      <c r="P17" s="14"/>
      <c r="S17" s="222"/>
    </row>
    <row r="18" spans="1:19" ht="12.75">
      <c r="A18" s="1" t="s">
        <v>8</v>
      </c>
      <c r="B18" s="14">
        <v>29370</v>
      </c>
      <c r="C18" s="14">
        <v>30778</v>
      </c>
      <c r="D18" s="14">
        <v>32930</v>
      </c>
      <c r="E18" s="14">
        <v>34495</v>
      </c>
      <c r="F18" s="14">
        <v>36824</v>
      </c>
      <c r="G18" s="14">
        <v>37306</v>
      </c>
      <c r="H18" s="1">
        <v>38291</v>
      </c>
      <c r="I18" s="1">
        <v>40262</v>
      </c>
      <c r="J18" s="1">
        <v>43477</v>
      </c>
      <c r="K18" s="1">
        <v>45940.351</v>
      </c>
      <c r="L18" s="15">
        <f>(K18-J18)*100/J18</f>
        <v>5.665871610276704</v>
      </c>
      <c r="M18" s="16">
        <f>(K18-O18)*100/O18</f>
        <v>68.30433396834702</v>
      </c>
      <c r="N18" s="16"/>
      <c r="O18" s="14">
        <v>27296</v>
      </c>
      <c r="P18" s="14"/>
      <c r="R18" s="3">
        <v>45940351</v>
      </c>
      <c r="S18" s="222">
        <f>R18/1000</f>
        <v>45940.351</v>
      </c>
    </row>
    <row r="19" spans="1:19" ht="12.75">
      <c r="A19" s="1" t="s">
        <v>9</v>
      </c>
      <c r="B19" s="14">
        <v>143102</v>
      </c>
      <c r="C19" s="14">
        <v>147472</v>
      </c>
      <c r="D19" s="14">
        <v>154711</v>
      </c>
      <c r="E19" s="14">
        <v>164890</v>
      </c>
      <c r="F19" s="14">
        <v>176517</v>
      </c>
      <c r="G19" s="14">
        <v>184028</v>
      </c>
      <c r="H19" s="1">
        <v>195968</v>
      </c>
      <c r="I19" s="1">
        <v>207135</v>
      </c>
      <c r="J19" s="1">
        <v>223104</v>
      </c>
      <c r="K19" s="1">
        <v>237849.954</v>
      </c>
      <c r="L19" s="15">
        <f>(K19-J19)*100/J19</f>
        <v>6.609452990533563</v>
      </c>
      <c r="M19" s="16">
        <f>(K19-O19)*100/O19</f>
        <v>81.94540795251136</v>
      </c>
      <c r="N19" s="16"/>
      <c r="O19" s="14">
        <v>130726</v>
      </c>
      <c r="P19" s="14"/>
      <c r="R19" s="3">
        <v>237849954</v>
      </c>
      <c r="S19" s="222">
        <f>R19/1000</f>
        <v>237849.954</v>
      </c>
    </row>
    <row r="20" spans="1:19" ht="12.75">
      <c r="A20" s="1" t="s">
        <v>10</v>
      </c>
      <c r="B20" s="14">
        <v>79214</v>
      </c>
      <c r="C20" s="14">
        <v>81961</v>
      </c>
      <c r="D20" s="14">
        <v>85699</v>
      </c>
      <c r="E20" s="14">
        <v>91123</v>
      </c>
      <c r="F20" s="14">
        <v>98374</v>
      </c>
      <c r="G20" s="14">
        <v>102839</v>
      </c>
      <c r="H20" s="1">
        <v>111310</v>
      </c>
      <c r="I20" s="1">
        <v>117833</v>
      </c>
      <c r="J20" s="1">
        <v>126888</v>
      </c>
      <c r="K20" s="1">
        <v>133839.646</v>
      </c>
      <c r="L20" s="15">
        <f>(K20-J20)*100/J20</f>
        <v>5.478568501355532</v>
      </c>
      <c r="M20" s="16">
        <f>(K20-O20)*100/O20</f>
        <v>80.57644027091935</v>
      </c>
      <c r="N20" s="16"/>
      <c r="O20" s="14">
        <v>74118</v>
      </c>
      <c r="P20" s="14"/>
      <c r="R20" s="3">
        <v>133839646</v>
      </c>
      <c r="S20" s="222">
        <f>R20/1000</f>
        <v>133839.646</v>
      </c>
    </row>
    <row r="21" spans="1:19" ht="12.75">
      <c r="A21" s="1" t="s">
        <v>11</v>
      </c>
      <c r="B21" s="14">
        <v>122848</v>
      </c>
      <c r="C21" s="14">
        <v>125269</v>
      </c>
      <c r="D21" s="14">
        <v>130949</v>
      </c>
      <c r="E21" s="14">
        <v>140938</v>
      </c>
      <c r="F21" s="14">
        <v>147233</v>
      </c>
      <c r="G21" s="14">
        <v>158305</v>
      </c>
      <c r="H21" s="1">
        <v>167431</v>
      </c>
      <c r="I21" s="1">
        <v>179349</v>
      </c>
      <c r="J21" s="1">
        <v>194528</v>
      </c>
      <c r="K21" s="1">
        <v>209001.256</v>
      </c>
      <c r="L21" s="15">
        <f>(K21-J21)*100/J21</f>
        <v>7.440191643362392</v>
      </c>
      <c r="M21" s="16">
        <f>(K21-O21)*100/O21</f>
        <v>80.96130222087535</v>
      </c>
      <c r="N21" s="16"/>
      <c r="O21" s="14">
        <v>115495</v>
      </c>
      <c r="P21" s="14"/>
      <c r="R21" s="3">
        <v>209001256</v>
      </c>
      <c r="S21" s="222">
        <f>R21/1000</f>
        <v>209001.256</v>
      </c>
    </row>
    <row r="22" spans="1:19" ht="12.75">
      <c r="A22" s="1" t="s">
        <v>12</v>
      </c>
      <c r="B22" s="14">
        <v>30942</v>
      </c>
      <c r="C22" s="14">
        <v>31637</v>
      </c>
      <c r="D22" s="14">
        <v>33570</v>
      </c>
      <c r="E22" s="14">
        <v>35145</v>
      </c>
      <c r="F22" s="14">
        <v>36158</v>
      </c>
      <c r="G22" s="14">
        <v>37886</v>
      </c>
      <c r="H22" s="1">
        <v>39987</v>
      </c>
      <c r="I22" s="1">
        <v>39809</v>
      </c>
      <c r="J22" s="1">
        <v>41614</v>
      </c>
      <c r="K22" s="1">
        <v>43620.37</v>
      </c>
      <c r="L22" s="15">
        <f>(K22-J22)*100/J22</f>
        <v>4.821382227135105</v>
      </c>
      <c r="M22" s="16">
        <f>(K22-O22)*100/O22</f>
        <v>51.659724636673396</v>
      </c>
      <c r="N22" s="16"/>
      <c r="O22" s="14">
        <v>28762</v>
      </c>
      <c r="P22" s="14"/>
      <c r="R22" s="3">
        <v>43620370</v>
      </c>
      <c r="S22" s="222">
        <f>R22/1000</f>
        <v>43620.37</v>
      </c>
    </row>
    <row r="23" spans="2:19" ht="12.75">
      <c r="B23" s="14"/>
      <c r="C23" s="14"/>
      <c r="D23" s="14"/>
      <c r="E23" s="14"/>
      <c r="F23" s="14"/>
      <c r="G23" s="14"/>
      <c r="L23" s="15"/>
      <c r="M23" s="16"/>
      <c r="N23" s="16"/>
      <c r="O23" s="14"/>
      <c r="P23" s="14"/>
      <c r="S23" s="222"/>
    </row>
    <row r="24" spans="1:19" ht="12.75">
      <c r="A24" s="1" t="s">
        <v>13</v>
      </c>
      <c r="B24" s="14">
        <v>180856</v>
      </c>
      <c r="C24" s="14">
        <v>189782</v>
      </c>
      <c r="D24" s="14">
        <v>199618</v>
      </c>
      <c r="E24" s="14">
        <v>212892</v>
      </c>
      <c r="F24" s="14">
        <v>224989</v>
      </c>
      <c r="G24" s="14">
        <v>238788</v>
      </c>
      <c r="H24" s="1">
        <v>259886</v>
      </c>
      <c r="I24" s="1">
        <v>279707</v>
      </c>
      <c r="J24" s="1">
        <v>301771</v>
      </c>
      <c r="K24" s="1">
        <v>323650.507</v>
      </c>
      <c r="L24" s="15">
        <f>(K24-J24)*100/J24</f>
        <v>7.250367662896695</v>
      </c>
      <c r="M24" s="16">
        <f>(K24-O24)*100/O24</f>
        <v>94.80940850021368</v>
      </c>
      <c r="N24" s="16"/>
      <c r="O24" s="14">
        <v>166137</v>
      </c>
      <c r="P24" s="14"/>
      <c r="R24" s="3">
        <v>323650507</v>
      </c>
      <c r="S24" s="222">
        <f>R24/1000</f>
        <v>323650.507</v>
      </c>
    </row>
    <row r="25" spans="1:19" ht="12.75">
      <c r="A25" s="1" t="s">
        <v>14</v>
      </c>
      <c r="B25" s="14">
        <v>30691</v>
      </c>
      <c r="C25" s="14">
        <v>31873</v>
      </c>
      <c r="D25" s="14">
        <v>33171</v>
      </c>
      <c r="E25" s="14">
        <v>34351</v>
      </c>
      <c r="F25" s="14">
        <v>36383</v>
      </c>
      <c r="G25" s="14">
        <v>37241</v>
      </c>
      <c r="H25" s="1">
        <v>38977</v>
      </c>
      <c r="I25" s="1">
        <v>40406</v>
      </c>
      <c r="J25" s="1">
        <v>42314</v>
      </c>
      <c r="K25" s="1">
        <v>44553.793</v>
      </c>
      <c r="L25" s="15">
        <f>(K25-J25)*100/J25</f>
        <v>5.2932670038285154</v>
      </c>
      <c r="M25" s="16">
        <f>(K25-O25)*100/O25</f>
        <v>48.850036749966584</v>
      </c>
      <c r="N25" s="16"/>
      <c r="O25" s="14">
        <v>29932</v>
      </c>
      <c r="P25" s="14"/>
      <c r="R25" s="3">
        <v>44553793</v>
      </c>
      <c r="S25" s="222">
        <f>R25/1000</f>
        <v>44553.793</v>
      </c>
    </row>
    <row r="26" spans="1:19" ht="12.75">
      <c r="A26" s="1" t="s">
        <v>15</v>
      </c>
      <c r="B26" s="14">
        <v>198372</v>
      </c>
      <c r="C26" s="14">
        <v>210676</v>
      </c>
      <c r="D26" s="14">
        <v>220112</v>
      </c>
      <c r="E26" s="14">
        <v>232231</v>
      </c>
      <c r="F26" s="14">
        <v>241889</v>
      </c>
      <c r="G26" s="14">
        <v>252011</v>
      </c>
      <c r="H26" s="1">
        <v>271523</v>
      </c>
      <c r="I26" s="1">
        <v>288793</v>
      </c>
      <c r="J26" s="1">
        <v>305218</v>
      </c>
      <c r="K26" s="1">
        <v>320433.917</v>
      </c>
      <c r="L26" s="15">
        <f>(K26-J26)*100/J26</f>
        <v>4.985262009448989</v>
      </c>
      <c r="M26" s="16">
        <f>(K26-O26)*100/O26</f>
        <v>72.66619086108417</v>
      </c>
      <c r="N26" s="16"/>
      <c r="O26" s="14">
        <v>185580</v>
      </c>
      <c r="P26" s="14"/>
      <c r="R26" s="3">
        <v>320433917</v>
      </c>
      <c r="S26" s="222">
        <f>R26/1000</f>
        <v>320433.917</v>
      </c>
    </row>
    <row r="27" spans="1:19" ht="12.75">
      <c r="A27" s="1" t="s">
        <v>16</v>
      </c>
      <c r="B27" s="14">
        <v>247525</v>
      </c>
      <c r="C27" s="14">
        <v>260197</v>
      </c>
      <c r="D27" s="14">
        <v>270201</v>
      </c>
      <c r="E27" s="14">
        <v>287508</v>
      </c>
      <c r="F27" s="14">
        <v>312913</v>
      </c>
      <c r="G27" s="14">
        <v>336551</v>
      </c>
      <c r="H27" s="1">
        <v>405466</v>
      </c>
      <c r="I27" s="1">
        <v>406996</v>
      </c>
      <c r="J27" s="1">
        <v>438442</v>
      </c>
      <c r="K27" s="1">
        <v>477018.13</v>
      </c>
      <c r="L27" s="15">
        <f>(K27-J27)*100/J27</f>
        <v>8.7984568084262</v>
      </c>
      <c r="M27" s="16">
        <f>(K27-O27)*100/O27</f>
        <v>108.20303170501764</v>
      </c>
      <c r="N27" s="16"/>
      <c r="O27" s="14">
        <v>229112</v>
      </c>
      <c r="P27" s="14"/>
      <c r="R27" s="3">
        <v>477018130</v>
      </c>
      <c r="S27" s="222">
        <f>R27/1000</f>
        <v>477018.13</v>
      </c>
    </row>
    <row r="28" spans="1:19" ht="12.75">
      <c r="A28" s="1" t="s">
        <v>17</v>
      </c>
      <c r="B28" s="14">
        <v>18095</v>
      </c>
      <c r="C28" s="14">
        <v>18854</v>
      </c>
      <c r="D28" s="14">
        <v>19521</v>
      </c>
      <c r="E28" s="14">
        <v>20739</v>
      </c>
      <c r="F28" s="14">
        <v>21890</v>
      </c>
      <c r="G28" s="14">
        <v>22694</v>
      </c>
      <c r="H28" s="1">
        <v>24240</v>
      </c>
      <c r="I28" s="1">
        <v>26255</v>
      </c>
      <c r="J28" s="1">
        <v>26945</v>
      </c>
      <c r="K28" s="1">
        <v>25802.894</v>
      </c>
      <c r="L28" s="15">
        <f>(K28-J28)*100/J28</f>
        <v>-4.238656522545926</v>
      </c>
      <c r="M28" s="16">
        <f>(K28-O28)*100/O28</f>
        <v>50.67383357664234</v>
      </c>
      <c r="N28" s="16"/>
      <c r="O28" s="14">
        <v>17125</v>
      </c>
      <c r="P28" s="14"/>
      <c r="R28" s="3">
        <v>25802894</v>
      </c>
      <c r="S28" s="222">
        <f>R28/1000</f>
        <v>25802.894</v>
      </c>
    </row>
    <row r="29" spans="2:19" ht="12.75">
      <c r="B29" s="14"/>
      <c r="C29" s="14"/>
      <c r="D29" s="14"/>
      <c r="E29" s="14"/>
      <c r="F29" s="14"/>
      <c r="G29" s="14"/>
      <c r="L29" s="15"/>
      <c r="M29" s="16"/>
      <c r="N29" s="16"/>
      <c r="O29" s="14"/>
      <c r="P29" s="14"/>
      <c r="S29" s="222"/>
    </row>
    <row r="30" spans="1:19" ht="12.75">
      <c r="A30" s="1" t="s">
        <v>18</v>
      </c>
      <c r="B30" s="14">
        <v>899273</v>
      </c>
      <c r="C30" s="14">
        <v>945752</v>
      </c>
      <c r="D30" s="14">
        <v>987884</v>
      </c>
      <c r="E30" s="14">
        <v>1036255</v>
      </c>
      <c r="F30" s="14">
        <v>1096476</v>
      </c>
      <c r="G30" s="14">
        <v>1164850</v>
      </c>
      <c r="H30" s="1">
        <v>1269483</v>
      </c>
      <c r="I30" s="1">
        <v>1373236</v>
      </c>
      <c r="J30" s="1">
        <v>1452924</v>
      </c>
      <c r="K30" s="1">
        <v>1553753.884</v>
      </c>
      <c r="L30" s="15">
        <f>(K30-J30)*100/J30</f>
        <v>6.9397906566344885</v>
      </c>
      <c r="M30" s="16">
        <f>(K30-O30)*100/O30</f>
        <v>81.95139043889553</v>
      </c>
      <c r="N30" s="16"/>
      <c r="O30" s="14">
        <v>853939</v>
      </c>
      <c r="P30" s="14"/>
      <c r="R30" s="3">
        <v>1553753884</v>
      </c>
      <c r="S30" s="222">
        <f>R30/1000</f>
        <v>1553753.884</v>
      </c>
    </row>
    <row r="31" spans="1:19" ht="12.75">
      <c r="A31" s="1" t="s">
        <v>19</v>
      </c>
      <c r="B31" s="14">
        <v>761421</v>
      </c>
      <c r="C31" s="14">
        <v>788055</v>
      </c>
      <c r="D31" s="14">
        <v>824222</v>
      </c>
      <c r="E31" s="14">
        <v>876798</v>
      </c>
      <c r="F31" s="14">
        <v>925086</v>
      </c>
      <c r="G31" s="14">
        <v>972642</v>
      </c>
      <c r="H31" s="1">
        <v>1030545</v>
      </c>
      <c r="I31" s="1">
        <v>1084505</v>
      </c>
      <c r="J31" s="1">
        <v>1174967</v>
      </c>
      <c r="K31" s="1">
        <v>1244806.58</v>
      </c>
      <c r="L31" s="15">
        <f>(K31-J31)*100/J31</f>
        <v>5.943960979329638</v>
      </c>
      <c r="M31" s="16">
        <f>(K31-O31)*100/O31</f>
        <v>74.90288641629422</v>
      </c>
      <c r="N31" s="16"/>
      <c r="O31" s="14">
        <v>711713</v>
      </c>
      <c r="P31" s="14"/>
      <c r="R31" s="3">
        <v>1244806580</v>
      </c>
      <c r="S31" s="222">
        <f>R31/1000</f>
        <v>1244806.58</v>
      </c>
    </row>
    <row r="32" spans="1:19" ht="12.75">
      <c r="A32" s="1" t="s">
        <v>20</v>
      </c>
      <c r="B32" s="14">
        <v>36420</v>
      </c>
      <c r="C32" s="14">
        <v>37577</v>
      </c>
      <c r="D32" s="14">
        <v>40009</v>
      </c>
      <c r="E32" s="14">
        <v>41729</v>
      </c>
      <c r="F32" s="14">
        <v>46117</v>
      </c>
      <c r="G32" s="14">
        <v>48358</v>
      </c>
      <c r="H32" s="1">
        <v>52384</v>
      </c>
      <c r="I32" s="1">
        <v>56915</v>
      </c>
      <c r="J32" s="1">
        <v>60334</v>
      </c>
      <c r="K32" s="1">
        <v>63996.688</v>
      </c>
      <c r="L32" s="15">
        <f>(K32-J32)*100/J32</f>
        <v>6.070686511751254</v>
      </c>
      <c r="M32" s="16">
        <f>(K32-O32)*100/O32</f>
        <v>85.02034750932378</v>
      </c>
      <c r="N32" s="16"/>
      <c r="O32" s="14">
        <v>34589</v>
      </c>
      <c r="P32" s="14"/>
      <c r="R32" s="3">
        <v>63996688</v>
      </c>
      <c r="S32" s="222">
        <f>R32/1000</f>
        <v>63996.688</v>
      </c>
    </row>
    <row r="33" spans="1:19" ht="12.75">
      <c r="A33" s="1" t="s">
        <v>21</v>
      </c>
      <c r="B33" s="14">
        <v>80578</v>
      </c>
      <c r="C33" s="14">
        <v>81446</v>
      </c>
      <c r="D33" s="14">
        <v>87200</v>
      </c>
      <c r="E33" s="14">
        <v>91633</v>
      </c>
      <c r="F33" s="14">
        <v>96785</v>
      </c>
      <c r="G33" s="14">
        <v>102952</v>
      </c>
      <c r="H33" s="1">
        <v>110571</v>
      </c>
      <c r="I33" s="1">
        <v>119941</v>
      </c>
      <c r="J33" s="1">
        <v>126104</v>
      </c>
      <c r="K33" s="1">
        <v>134794.651</v>
      </c>
      <c r="L33" s="15">
        <f>(K33-J33)*100/J33</f>
        <v>6.891653714394478</v>
      </c>
      <c r="M33" s="16">
        <f>(K33-O33)*100/O33</f>
        <v>77.39872999578861</v>
      </c>
      <c r="N33" s="16"/>
      <c r="O33" s="14">
        <v>75984</v>
      </c>
      <c r="P33" s="14"/>
      <c r="R33" s="3">
        <v>134794651</v>
      </c>
      <c r="S33" s="222">
        <f>R33/1000</f>
        <v>134794.651</v>
      </c>
    </row>
    <row r="34" spans="1:19" ht="12.75">
      <c r="A34" s="1" t="s">
        <v>22</v>
      </c>
      <c r="B34" s="14">
        <v>20966</v>
      </c>
      <c r="C34" s="14">
        <v>21879</v>
      </c>
      <c r="D34" s="14">
        <v>21775</v>
      </c>
      <c r="E34" s="14">
        <v>23881</v>
      </c>
      <c r="F34" s="14">
        <v>24388</v>
      </c>
      <c r="G34" s="14">
        <v>25102</v>
      </c>
      <c r="H34" s="1">
        <v>26248</v>
      </c>
      <c r="I34" s="1">
        <v>27406</v>
      </c>
      <c r="J34" s="1">
        <v>28751</v>
      </c>
      <c r="K34" s="1">
        <v>29198.324</v>
      </c>
      <c r="L34" s="15">
        <f>(K34-J34)*100/J34</f>
        <v>1.5558554485061407</v>
      </c>
      <c r="M34" s="16">
        <f>(K34-O34)*100/O34</f>
        <v>46.46029293739968</v>
      </c>
      <c r="N34" s="16"/>
      <c r="O34" s="14">
        <v>19936</v>
      </c>
      <c r="P34" s="14"/>
      <c r="R34" s="3">
        <v>29198324</v>
      </c>
      <c r="S34" s="222">
        <f>R34/1000</f>
        <v>29198.324</v>
      </c>
    </row>
    <row r="35" spans="2:19" ht="12.75">
      <c r="B35" s="14"/>
      <c r="C35" s="14"/>
      <c r="D35" s="14"/>
      <c r="E35" s="14"/>
      <c r="F35" s="14"/>
      <c r="G35" s="14"/>
      <c r="L35" s="15"/>
      <c r="M35" s="16"/>
      <c r="N35" s="16"/>
      <c r="O35" s="14"/>
      <c r="P35" s="14"/>
      <c r="S35" s="222"/>
    </row>
    <row r="36" spans="1:19" ht="12.75">
      <c r="A36" s="1" t="s">
        <v>23</v>
      </c>
      <c r="B36" s="14">
        <v>26254</v>
      </c>
      <c r="C36" s="14">
        <v>27215</v>
      </c>
      <c r="D36" s="14">
        <v>27114</v>
      </c>
      <c r="E36" s="14">
        <v>27765</v>
      </c>
      <c r="F36" s="14">
        <v>29900</v>
      </c>
      <c r="G36" s="14">
        <v>31143</v>
      </c>
      <c r="H36" s="1">
        <v>33273</v>
      </c>
      <c r="I36" s="1">
        <v>35814</v>
      </c>
      <c r="J36" s="1">
        <v>37994</v>
      </c>
      <c r="K36" s="1">
        <v>40464.053</v>
      </c>
      <c r="L36" s="15">
        <f>(K36-J36)*100/J36</f>
        <v>6.501165973574775</v>
      </c>
      <c r="M36" s="16">
        <f>(K36-O36)*100/O36</f>
        <v>66.40232347740265</v>
      </c>
      <c r="N36" s="16"/>
      <c r="O36" s="14">
        <v>24317</v>
      </c>
      <c r="P36" s="14"/>
      <c r="R36" s="3">
        <v>40464053</v>
      </c>
      <c r="S36" s="222">
        <f>R36/1000</f>
        <v>40464.053</v>
      </c>
    </row>
    <row r="37" spans="1:19" ht="12.75">
      <c r="A37" s="1" t="s">
        <v>24</v>
      </c>
      <c r="B37" s="14">
        <v>110155</v>
      </c>
      <c r="C37" s="14">
        <v>112839</v>
      </c>
      <c r="D37" s="14">
        <v>116065</v>
      </c>
      <c r="E37" s="14">
        <v>122267</v>
      </c>
      <c r="F37" s="14">
        <v>129850</v>
      </c>
      <c r="G37" s="14">
        <v>136679</v>
      </c>
      <c r="H37" s="1">
        <v>142372</v>
      </c>
      <c r="I37" s="1">
        <v>152087</v>
      </c>
      <c r="J37" s="1">
        <v>159240</v>
      </c>
      <c r="K37" s="1">
        <v>170560.234</v>
      </c>
      <c r="L37" s="15">
        <f>(K37-J37)*100/J37</f>
        <v>7.108913589550363</v>
      </c>
      <c r="M37" s="16">
        <f>(K37-O37)*100/O37</f>
        <v>63.30148307721767</v>
      </c>
      <c r="N37" s="16"/>
      <c r="O37" s="14">
        <v>104445</v>
      </c>
      <c r="P37" s="14"/>
      <c r="R37" s="3">
        <v>170560234</v>
      </c>
      <c r="S37" s="222">
        <f>R37/1000</f>
        <v>170560.234</v>
      </c>
    </row>
    <row r="38" spans="1:19" ht="12.75">
      <c r="A38" s="1" t="s">
        <v>25</v>
      </c>
      <c r="B38" s="14">
        <v>75223</v>
      </c>
      <c r="C38" s="14">
        <v>75715</v>
      </c>
      <c r="D38" s="14">
        <v>81014</v>
      </c>
      <c r="E38" s="14">
        <v>86121</v>
      </c>
      <c r="F38" s="14">
        <v>93366</v>
      </c>
      <c r="G38" s="14">
        <v>98530</v>
      </c>
      <c r="H38" s="1">
        <v>106373</v>
      </c>
      <c r="I38" s="1">
        <v>110791</v>
      </c>
      <c r="J38" s="1">
        <v>117576</v>
      </c>
      <c r="K38" s="1">
        <v>125951.044</v>
      </c>
      <c r="L38" s="15">
        <f>(K38-J38)*100/J38</f>
        <v>7.123089746206704</v>
      </c>
      <c r="M38" s="16">
        <f>(K38-O38)*100/O38</f>
        <v>77.8944421688959</v>
      </c>
      <c r="N38" s="16"/>
      <c r="O38" s="14">
        <v>70801</v>
      </c>
      <c r="P38" s="14"/>
      <c r="R38" s="3">
        <v>125951044</v>
      </c>
      <c r="S38" s="222">
        <f>R38/1000</f>
        <v>125951.044</v>
      </c>
    </row>
    <row r="39" spans="1:19" ht="12.75">
      <c r="A39" s="17" t="s">
        <v>26</v>
      </c>
      <c r="B39" s="14">
        <v>40069</v>
      </c>
      <c r="C39" s="14">
        <v>41957</v>
      </c>
      <c r="D39" s="14">
        <v>44511</v>
      </c>
      <c r="E39" s="14">
        <v>47323</v>
      </c>
      <c r="F39" s="14">
        <v>51076</v>
      </c>
      <c r="G39" s="14">
        <v>52680</v>
      </c>
      <c r="H39" s="1">
        <v>56684</v>
      </c>
      <c r="I39" s="1">
        <v>62078</v>
      </c>
      <c r="J39" s="1">
        <v>67735</v>
      </c>
      <c r="K39" s="1">
        <v>71341.008</v>
      </c>
      <c r="L39" s="15">
        <f>(K39-J39)*100/J39</f>
        <v>5.3236997121133856</v>
      </c>
      <c r="M39" s="83">
        <f>(K39-O39)*100/O39</f>
        <v>85.39281203710922</v>
      </c>
      <c r="N39" s="220"/>
      <c r="O39" s="14">
        <v>38481</v>
      </c>
      <c r="P39" s="14"/>
      <c r="R39" s="3">
        <v>71341008</v>
      </c>
      <c r="S39" s="222">
        <f>R39/1000</f>
        <v>71341.008</v>
      </c>
    </row>
    <row r="40" spans="1:14" ht="12.75">
      <c r="A40" s="1" t="s">
        <v>29</v>
      </c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6"/>
      <c r="N40" s="16"/>
    </row>
    <row r="41" ht="12.75">
      <c r="B41" s="14"/>
    </row>
    <row r="42" spans="1:2" ht="12.75">
      <c r="A42" s="3" t="s">
        <v>30</v>
      </c>
      <c r="B42" s="14"/>
    </row>
    <row r="43" ht="12.75"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</sheetData>
  <mergeCells count="4">
    <mergeCell ref="A4:M4"/>
    <mergeCell ref="A3:M3"/>
    <mergeCell ref="A1:M1"/>
    <mergeCell ref="L7:M7"/>
  </mergeCells>
  <printOptions/>
  <pageMargins left="0.5" right="0.47" top="1" bottom="1" header="0.5" footer="0.5"/>
  <pageSetup fitToHeight="1" fitToWidth="1" orientation="landscape" scale="78" r:id="rId1"/>
  <headerFooter alignWithMargins="0">
    <oddFooter>&amp;L&amp;"Lucida Sans,Italic"&amp;10MSDE-DBS 1 / 2006&amp;C- 2 -&amp;R&amp;"Lucida Sans,Italic"&amp;10Selected Financial Data - Part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workbookViewId="0" topLeftCell="A1">
      <selection activeCell="D3" sqref="D3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625" style="1" customWidth="1"/>
    <col min="13" max="14" width="6.625" style="1" customWidth="1"/>
    <col min="15" max="15" width="12.625" style="1" customWidth="1"/>
    <col min="16" max="16" width="7.25390625" style="1" customWidth="1"/>
    <col min="17" max="17" width="3.75390625" style="3" customWidth="1"/>
    <col min="18" max="18" width="11.625" style="3" bestFit="1" customWidth="1"/>
    <col min="19" max="42" width="10.125" style="3" customWidth="1"/>
    <col min="43" max="16384" width="10.00390625" style="3" customWidth="1"/>
  </cols>
  <sheetData>
    <row r="1" spans="1:16" ht="12.75">
      <c r="A1" s="108" t="s">
        <v>56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"/>
      <c r="P1" s="2"/>
    </row>
    <row r="2" spans="1:16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2"/>
      <c r="P2" s="2"/>
    </row>
    <row r="3" spans="1:16" ht="12.75">
      <c r="A3" s="108" t="s">
        <v>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19" t="s">
        <v>181</v>
      </c>
      <c r="P3" s="3"/>
    </row>
    <row r="4" spans="1:16" ht="12.75">
      <c r="A4" s="108" t="s">
        <v>168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"/>
      <c r="P4" s="2"/>
    </row>
    <row r="5" spans="1:15" ht="13.5" thickBo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1:1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R6" s="204" t="s">
        <v>183</v>
      </c>
      <c r="S6" s="205"/>
    </row>
    <row r="7" spans="12:19" ht="12.75">
      <c r="L7" s="227" t="s">
        <v>28</v>
      </c>
      <c r="M7" s="227"/>
      <c r="N7" s="210"/>
      <c r="R7" s="206" t="s">
        <v>184</v>
      </c>
      <c r="S7" s="207"/>
    </row>
    <row r="8" spans="4:19" ht="12.75">
      <c r="D8" s="7"/>
      <c r="E8" s="7"/>
      <c r="F8" s="7"/>
      <c r="G8" s="7"/>
      <c r="H8" s="7"/>
      <c r="I8" s="7"/>
      <c r="J8" s="7"/>
      <c r="K8" s="7"/>
      <c r="L8" s="10" t="s">
        <v>59</v>
      </c>
      <c r="M8" s="10" t="s">
        <v>60</v>
      </c>
      <c r="N8" s="10"/>
      <c r="R8" s="208" t="s">
        <v>165</v>
      </c>
      <c r="S8" s="209"/>
    </row>
    <row r="9" spans="1:19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9"/>
      <c r="O9" s="33" t="s">
        <v>158</v>
      </c>
      <c r="P9" s="7"/>
      <c r="R9" s="3" t="s">
        <v>180</v>
      </c>
      <c r="S9" s="20" t="s">
        <v>167</v>
      </c>
    </row>
    <row r="10" spans="1:19" ht="12.75">
      <c r="A10" s="7" t="s">
        <v>2</v>
      </c>
      <c r="B10" s="11">
        <f aca="true" t="shared" si="0" ref="B10:H10">SUM(B12:B39)</f>
        <v>1963115</v>
      </c>
      <c r="C10" s="11">
        <f t="shared" si="0"/>
        <v>2080392</v>
      </c>
      <c r="D10" s="11">
        <f t="shared" si="0"/>
        <v>2191846</v>
      </c>
      <c r="E10" s="11">
        <f t="shared" si="0"/>
        <v>2378117</v>
      </c>
      <c r="F10" s="11">
        <f t="shared" si="0"/>
        <v>2522733</v>
      </c>
      <c r="G10" s="11">
        <f t="shared" si="0"/>
        <v>2594552</v>
      </c>
      <c r="H10" s="11">
        <f t="shared" si="0"/>
        <v>2924890</v>
      </c>
      <c r="I10" s="11">
        <f>SUM(I12:I39)</f>
        <v>2853967</v>
      </c>
      <c r="J10" s="11">
        <f>SUM(J12:J39)</f>
        <v>3074878</v>
      </c>
      <c r="K10" s="11">
        <f>SUM(K12:K39)</f>
        <v>3291557.89751</v>
      </c>
      <c r="L10" s="84">
        <f>(K10-J10)/J10</f>
        <v>0.07046780311609112</v>
      </c>
      <c r="M10" s="12">
        <f>(K10-O10)/O10</f>
        <v>0.7612255203911173</v>
      </c>
      <c r="N10" s="12"/>
      <c r="O10" s="11">
        <f>SUM(O12:O39)</f>
        <v>1868902</v>
      </c>
      <c r="P10" s="11"/>
      <c r="R10" s="118">
        <f>SUM(R12:R39)</f>
        <v>3291557897.51</v>
      </c>
      <c r="S10" s="118">
        <f>SUM(S12:S39)</f>
        <v>3291557.89751</v>
      </c>
    </row>
    <row r="11" spans="2:14" ht="12.75">
      <c r="B11" s="14"/>
      <c r="C11" s="14"/>
      <c r="D11" s="14"/>
      <c r="E11" s="14"/>
      <c r="F11" s="14"/>
      <c r="G11" s="14"/>
      <c r="M11" s="14"/>
      <c r="N11" s="14"/>
    </row>
    <row r="12" spans="1:19" ht="12.75">
      <c r="A12" s="1" t="s">
        <v>3</v>
      </c>
      <c r="B12" s="14">
        <v>36719</v>
      </c>
      <c r="C12" s="14">
        <v>38216</v>
      </c>
      <c r="D12" s="14">
        <v>39703</v>
      </c>
      <c r="E12" s="14">
        <v>41569</v>
      </c>
      <c r="F12" s="14">
        <v>43231</v>
      </c>
      <c r="G12" s="14">
        <v>42159</v>
      </c>
      <c r="H12" s="14">
        <v>45611</v>
      </c>
      <c r="I12" s="29">
        <v>47591</v>
      </c>
      <c r="J12" s="29">
        <v>49905</v>
      </c>
      <c r="K12" s="29">
        <v>52254.86048</v>
      </c>
      <c r="L12" s="15">
        <f>(K12-J12)*100/J12</f>
        <v>4.708667428113421</v>
      </c>
      <c r="M12" s="16">
        <f>(K12-O12)*100/O12</f>
        <v>52.11149093237855</v>
      </c>
      <c r="N12" s="16"/>
      <c r="O12" s="14">
        <v>34353</v>
      </c>
      <c r="P12" s="14"/>
      <c r="R12" s="3">
        <v>52254860.480000004</v>
      </c>
      <c r="S12" s="3">
        <f>R12/1000</f>
        <v>52254.86048</v>
      </c>
    </row>
    <row r="13" spans="1:19" ht="12.75">
      <c r="A13" s="1" t="s">
        <v>4</v>
      </c>
      <c r="B13" s="14">
        <v>158598</v>
      </c>
      <c r="C13" s="14">
        <v>165298</v>
      </c>
      <c r="D13" s="14">
        <v>172092</v>
      </c>
      <c r="E13" s="14">
        <v>179696</v>
      </c>
      <c r="F13" s="14">
        <v>183503</v>
      </c>
      <c r="G13" s="14">
        <v>192266</v>
      </c>
      <c r="H13" s="14">
        <v>203641</v>
      </c>
      <c r="I13" s="29">
        <v>198643</v>
      </c>
      <c r="J13" s="29">
        <v>211968</v>
      </c>
      <c r="K13" s="29">
        <v>224234.66583</v>
      </c>
      <c r="L13" s="15">
        <f>(K13-J13)*100/J13</f>
        <v>5.7870366423233754</v>
      </c>
      <c r="M13" s="16">
        <f>(K13-O13)*100/O13</f>
        <v>45.24287553923284</v>
      </c>
      <c r="N13" s="16"/>
      <c r="O13" s="14">
        <v>154386</v>
      </c>
      <c r="P13" s="14"/>
      <c r="R13" s="3">
        <v>224234665.83</v>
      </c>
      <c r="S13" s="3">
        <f>R13/1000</f>
        <v>224234.66583</v>
      </c>
    </row>
    <row r="14" spans="1:19" ht="12.75">
      <c r="A14" s="1" t="s">
        <v>5</v>
      </c>
      <c r="B14" s="14">
        <v>398957</v>
      </c>
      <c r="C14" s="14">
        <v>418500</v>
      </c>
      <c r="D14" s="14">
        <v>427969</v>
      </c>
      <c r="E14" s="14">
        <v>487607</v>
      </c>
      <c r="F14" s="14">
        <v>530367</v>
      </c>
      <c r="G14" s="14">
        <v>535693</v>
      </c>
      <c r="H14" s="1">
        <v>580166</v>
      </c>
      <c r="I14" s="29">
        <v>564195</v>
      </c>
      <c r="J14" s="29">
        <v>572039</v>
      </c>
      <c r="K14" s="29">
        <v>593685.34762</v>
      </c>
      <c r="L14" s="15">
        <f>(K14-J14)*100/J14</f>
        <v>3.7840685023223966</v>
      </c>
      <c r="M14" s="16">
        <f>(K14-O14)*100/O14</f>
        <v>52.93640182796614</v>
      </c>
      <c r="N14" s="16"/>
      <c r="O14" s="14">
        <v>388191</v>
      </c>
      <c r="P14" s="14"/>
      <c r="R14" s="3">
        <v>593685347.62</v>
      </c>
      <c r="S14" s="3">
        <f>R14/1000</f>
        <v>593685.34762</v>
      </c>
    </row>
    <row r="15" spans="1:19" ht="12.75">
      <c r="A15" s="1" t="s">
        <v>6</v>
      </c>
      <c r="B15" s="14">
        <v>208757</v>
      </c>
      <c r="C15" s="14">
        <v>225656</v>
      </c>
      <c r="D15" s="14">
        <v>239301</v>
      </c>
      <c r="E15" s="14">
        <v>263698</v>
      </c>
      <c r="F15" s="14">
        <v>279677</v>
      </c>
      <c r="G15" s="14">
        <v>280585</v>
      </c>
      <c r="H15" s="1">
        <v>311112</v>
      </c>
      <c r="I15" s="29">
        <v>309774</v>
      </c>
      <c r="J15" s="29">
        <v>342365</v>
      </c>
      <c r="K15" s="29">
        <v>358620.43778999994</v>
      </c>
      <c r="L15" s="15">
        <f>(K15-J15)*100/J15</f>
        <v>4.747984691776303</v>
      </c>
      <c r="M15" s="16">
        <f>(K15-O15)*100/O15</f>
        <v>82.90988544046839</v>
      </c>
      <c r="N15" s="16"/>
      <c r="O15" s="14">
        <v>196064</v>
      </c>
      <c r="P15" s="14"/>
      <c r="R15" s="3">
        <v>358620437.78999996</v>
      </c>
      <c r="S15" s="3">
        <f>R15/1000</f>
        <v>358620.43778999994</v>
      </c>
    </row>
    <row r="16" spans="1:19" ht="12.75">
      <c r="A16" s="1" t="s">
        <v>7</v>
      </c>
      <c r="B16" s="14">
        <v>28661</v>
      </c>
      <c r="C16" s="14">
        <v>30643</v>
      </c>
      <c r="D16" s="14">
        <v>33668</v>
      </c>
      <c r="E16" s="14">
        <v>37031</v>
      </c>
      <c r="F16" s="14">
        <v>39524</v>
      </c>
      <c r="G16" s="14">
        <v>41705</v>
      </c>
      <c r="H16" s="1">
        <v>46050</v>
      </c>
      <c r="I16" s="29">
        <v>49652</v>
      </c>
      <c r="J16" s="29">
        <v>56030</v>
      </c>
      <c r="K16" s="29">
        <v>62681.10721</v>
      </c>
      <c r="L16" s="15">
        <f>(K16-J16)*100/J16</f>
        <v>11.8706179011244</v>
      </c>
      <c r="M16" s="16">
        <f>(K16-O16)*100/O16</f>
        <v>138.58521319275275</v>
      </c>
      <c r="N16" s="16"/>
      <c r="O16" s="14">
        <v>26272</v>
      </c>
      <c r="P16" s="14"/>
      <c r="R16" s="3">
        <v>62681107.21</v>
      </c>
      <c r="S16" s="3">
        <f>R16/1000</f>
        <v>62681.10721</v>
      </c>
    </row>
    <row r="17" spans="2:16" ht="12.75">
      <c r="B17" s="14"/>
      <c r="C17" s="14"/>
      <c r="D17" s="14"/>
      <c r="E17" s="14"/>
      <c r="F17" s="14"/>
      <c r="G17" s="14"/>
      <c r="I17" s="29"/>
      <c r="J17" s="29"/>
      <c r="K17" s="29"/>
      <c r="L17" s="15"/>
      <c r="M17" s="16"/>
      <c r="N17" s="16"/>
      <c r="O17" s="14"/>
      <c r="P17" s="14"/>
    </row>
    <row r="18" spans="1:19" ht="12.75">
      <c r="A18" s="1" t="s">
        <v>8</v>
      </c>
      <c r="B18" s="14">
        <v>17211</v>
      </c>
      <c r="C18" s="14">
        <v>18265</v>
      </c>
      <c r="D18" s="14">
        <v>20087</v>
      </c>
      <c r="E18" s="14">
        <v>21135</v>
      </c>
      <c r="F18" s="14">
        <v>22230</v>
      </c>
      <c r="G18" s="14">
        <v>22901</v>
      </c>
      <c r="H18" s="1">
        <v>23681</v>
      </c>
      <c r="I18" s="29">
        <v>24629</v>
      </c>
      <c r="J18" s="29">
        <v>27385</v>
      </c>
      <c r="K18" s="29">
        <v>29577.44292</v>
      </c>
      <c r="L18" s="15">
        <f>(K18-J18)*100/J18</f>
        <v>8.005999342705866</v>
      </c>
      <c r="M18" s="16">
        <f>(K18-O18)*100/O18</f>
        <v>83.57400024826217</v>
      </c>
      <c r="N18" s="16"/>
      <c r="O18" s="14">
        <v>16112</v>
      </c>
      <c r="P18" s="14"/>
      <c r="R18" s="3">
        <v>29577442.92</v>
      </c>
      <c r="S18" s="3">
        <f>R18/1000</f>
        <v>29577.44292</v>
      </c>
    </row>
    <row r="19" spans="1:19" ht="12.75">
      <c r="A19" s="1" t="s">
        <v>9</v>
      </c>
      <c r="B19" s="14">
        <v>63373</v>
      </c>
      <c r="C19" s="14">
        <v>66144</v>
      </c>
      <c r="D19" s="14">
        <v>70315</v>
      </c>
      <c r="E19" s="14">
        <v>76325</v>
      </c>
      <c r="F19" s="14">
        <v>79649</v>
      </c>
      <c r="G19" s="14">
        <v>82264</v>
      </c>
      <c r="H19" s="1">
        <v>91478</v>
      </c>
      <c r="I19" s="29">
        <v>89002</v>
      </c>
      <c r="J19" s="29">
        <v>96606</v>
      </c>
      <c r="K19" s="29">
        <v>103423.00642000003</v>
      </c>
      <c r="L19" s="15">
        <f>(K19-J19)*100/J19</f>
        <v>7.0565041715835815</v>
      </c>
      <c r="M19" s="16">
        <f>(K19-O19)*100/O19</f>
        <v>70.696011520243</v>
      </c>
      <c r="N19" s="16"/>
      <c r="O19" s="14">
        <v>60589</v>
      </c>
      <c r="P19" s="14"/>
      <c r="R19" s="3">
        <v>103423006.42000003</v>
      </c>
      <c r="S19" s="3">
        <f>R19/1000</f>
        <v>103423.00642000003</v>
      </c>
    </row>
    <row r="20" spans="1:19" ht="12.75">
      <c r="A20" s="1" t="s">
        <v>10</v>
      </c>
      <c r="B20" s="14">
        <v>39731</v>
      </c>
      <c r="C20" s="14">
        <v>41464</v>
      </c>
      <c r="D20" s="14">
        <v>44171</v>
      </c>
      <c r="E20" s="14">
        <v>46617</v>
      </c>
      <c r="F20" s="14">
        <v>49585</v>
      </c>
      <c r="G20" s="14">
        <v>50463</v>
      </c>
      <c r="H20" s="1">
        <v>60672</v>
      </c>
      <c r="I20" s="29">
        <v>57827</v>
      </c>
      <c r="J20" s="29">
        <v>63184</v>
      </c>
      <c r="K20" s="29">
        <v>67222.84049</v>
      </c>
      <c r="L20" s="15">
        <f>(K20-J20)*100/J20</f>
        <v>6.3921886711825815</v>
      </c>
      <c r="M20" s="16">
        <f>(K20-O20)*100/O20</f>
        <v>77.06996230639554</v>
      </c>
      <c r="N20" s="16"/>
      <c r="O20" s="14">
        <v>37964</v>
      </c>
      <c r="P20" s="14"/>
      <c r="R20" s="3">
        <v>67222840.49000001</v>
      </c>
      <c r="S20" s="3">
        <f>R20/1000</f>
        <v>67222.84049</v>
      </c>
    </row>
    <row r="21" spans="1:19" ht="12.75">
      <c r="A21" s="1" t="s">
        <v>11</v>
      </c>
      <c r="B21" s="14">
        <v>56040</v>
      </c>
      <c r="C21" s="14">
        <v>58156</v>
      </c>
      <c r="D21" s="14">
        <v>61443</v>
      </c>
      <c r="E21" s="14">
        <v>64831</v>
      </c>
      <c r="F21" s="14">
        <v>66595</v>
      </c>
      <c r="G21" s="14">
        <v>70856</v>
      </c>
      <c r="H21" s="1">
        <v>81031</v>
      </c>
      <c r="I21" s="29">
        <v>81871</v>
      </c>
      <c r="J21" s="29">
        <v>88252</v>
      </c>
      <c r="K21" s="29">
        <v>98455.13651000003</v>
      </c>
      <c r="L21" s="15">
        <f>(K21-J21)*100/J21</f>
        <v>11.561365759416248</v>
      </c>
      <c r="M21" s="16">
        <f>(K21-O21)*100/O21</f>
        <v>82.19611478959256</v>
      </c>
      <c r="N21" s="16"/>
      <c r="O21" s="14">
        <v>54038</v>
      </c>
      <c r="P21" s="14"/>
      <c r="R21" s="3">
        <v>98455136.51000002</v>
      </c>
      <c r="S21" s="3">
        <f>R21/1000</f>
        <v>98455.13651000003</v>
      </c>
    </row>
    <row r="22" spans="1:19" ht="12.75">
      <c r="A22" s="1" t="s">
        <v>12</v>
      </c>
      <c r="B22" s="14">
        <v>16302</v>
      </c>
      <c r="C22" s="14">
        <v>16535</v>
      </c>
      <c r="D22" s="14">
        <v>17049</v>
      </c>
      <c r="E22" s="14">
        <v>18082</v>
      </c>
      <c r="F22" s="14">
        <v>18355</v>
      </c>
      <c r="G22" s="14">
        <v>18594</v>
      </c>
      <c r="H22" s="1">
        <v>20550</v>
      </c>
      <c r="I22" s="29">
        <v>19809</v>
      </c>
      <c r="J22" s="29">
        <v>20290</v>
      </c>
      <c r="K22" s="29">
        <v>22467.50857</v>
      </c>
      <c r="L22" s="15">
        <f>(K22-J22)*100/J22</f>
        <v>10.731929866929532</v>
      </c>
      <c r="M22" s="16">
        <f>(K22-O22)*100/O22</f>
        <v>49.544119874866894</v>
      </c>
      <c r="N22" s="16"/>
      <c r="O22" s="14">
        <v>15024</v>
      </c>
      <c r="P22" s="14"/>
      <c r="R22" s="3">
        <v>22467508.57</v>
      </c>
      <c r="S22" s="3">
        <f>R22/1000</f>
        <v>22467.50857</v>
      </c>
    </row>
    <row r="23" spans="2:16" ht="12.75">
      <c r="B23" s="14"/>
      <c r="C23" s="14"/>
      <c r="D23" s="14"/>
      <c r="E23" s="14"/>
      <c r="F23" s="14"/>
      <c r="G23" s="14"/>
      <c r="I23" s="29"/>
      <c r="J23" s="29"/>
      <c r="K23" s="29"/>
      <c r="L23" s="15"/>
      <c r="M23" s="16"/>
      <c r="N23" s="16"/>
      <c r="O23" s="14"/>
      <c r="P23" s="14"/>
    </row>
    <row r="24" spans="1:19" ht="12.75">
      <c r="A24" s="1" t="s">
        <v>13</v>
      </c>
      <c r="B24" s="14">
        <v>78050</v>
      </c>
      <c r="C24" s="14">
        <v>82598</v>
      </c>
      <c r="D24" s="14">
        <v>88670</v>
      </c>
      <c r="E24" s="14">
        <v>95904</v>
      </c>
      <c r="F24" s="14">
        <v>99874</v>
      </c>
      <c r="G24" s="14">
        <v>102427</v>
      </c>
      <c r="H24" s="1">
        <v>123374</v>
      </c>
      <c r="I24" s="29">
        <v>114079</v>
      </c>
      <c r="J24" s="29">
        <v>126058</v>
      </c>
      <c r="K24" s="29">
        <v>134817.83754</v>
      </c>
      <c r="L24" s="15">
        <f>(K24-J24)*100/J24</f>
        <v>6.949053245331521</v>
      </c>
      <c r="M24" s="16">
        <f>(K24-O24)*100/O24</f>
        <v>83.10674952463738</v>
      </c>
      <c r="N24" s="16"/>
      <c r="O24" s="14">
        <v>73628</v>
      </c>
      <c r="P24" s="14"/>
      <c r="R24" s="3">
        <v>134817837.54000002</v>
      </c>
      <c r="S24" s="3">
        <f>R24/1000</f>
        <v>134817.83754</v>
      </c>
    </row>
    <row r="25" spans="1:19" ht="12.75">
      <c r="A25" s="1" t="s">
        <v>14</v>
      </c>
      <c r="B25" s="14">
        <v>17037</v>
      </c>
      <c r="C25" s="14">
        <v>17472</v>
      </c>
      <c r="D25" s="14">
        <v>17983</v>
      </c>
      <c r="E25" s="14">
        <v>18709</v>
      </c>
      <c r="F25" s="14">
        <v>19244</v>
      </c>
      <c r="G25" s="14">
        <v>19146</v>
      </c>
      <c r="H25" s="1">
        <v>19296</v>
      </c>
      <c r="I25" s="29">
        <v>19883</v>
      </c>
      <c r="J25" s="29">
        <v>21185</v>
      </c>
      <c r="K25" s="29">
        <v>21648.81072</v>
      </c>
      <c r="L25" s="15">
        <f>(K25-J25)*100/J25</f>
        <v>2.189335473212185</v>
      </c>
      <c r="M25" s="16">
        <f>(K25-O25)*100/O25</f>
        <v>29.323839426523307</v>
      </c>
      <c r="N25" s="16"/>
      <c r="O25" s="14">
        <v>16740</v>
      </c>
      <c r="P25" s="14"/>
      <c r="R25" s="3">
        <v>21648810.720000003</v>
      </c>
      <c r="S25" s="3">
        <f>R25/1000</f>
        <v>21648.81072</v>
      </c>
    </row>
    <row r="26" spans="1:19" ht="12.75">
      <c r="A26" s="1" t="s">
        <v>15</v>
      </c>
      <c r="B26" s="14">
        <v>94386</v>
      </c>
      <c r="C26" s="14">
        <v>99800</v>
      </c>
      <c r="D26" s="14">
        <v>104847</v>
      </c>
      <c r="E26" s="14">
        <v>111595</v>
      </c>
      <c r="F26" s="14">
        <v>116063</v>
      </c>
      <c r="G26" s="14">
        <v>118387</v>
      </c>
      <c r="H26" s="1">
        <v>133398</v>
      </c>
      <c r="I26" s="29">
        <v>128187</v>
      </c>
      <c r="J26" s="29">
        <v>137276</v>
      </c>
      <c r="K26" s="29">
        <v>150070.45316</v>
      </c>
      <c r="L26" s="15">
        <f>(K26-J26)*100/J26</f>
        <v>9.320240362481428</v>
      </c>
      <c r="M26" s="16">
        <f>(K26-O26)*100/O26</f>
        <v>68.93357628835807</v>
      </c>
      <c r="N26" s="16"/>
      <c r="O26" s="14">
        <v>88834</v>
      </c>
      <c r="P26" s="14"/>
      <c r="R26" s="3">
        <v>150070453.16</v>
      </c>
      <c r="S26" s="3">
        <f>R26/1000</f>
        <v>150070.45316</v>
      </c>
    </row>
    <row r="27" spans="1:19" ht="12.75">
      <c r="A27" s="1" t="s">
        <v>16</v>
      </c>
      <c r="B27" s="14">
        <v>72006</v>
      </c>
      <c r="C27" s="14">
        <v>78144</v>
      </c>
      <c r="D27" s="14">
        <v>82661</v>
      </c>
      <c r="E27" s="14">
        <v>90306</v>
      </c>
      <c r="F27" s="14">
        <v>96158</v>
      </c>
      <c r="G27" s="14">
        <v>100711</v>
      </c>
      <c r="H27" s="1">
        <v>121768</v>
      </c>
      <c r="I27" s="29">
        <v>111546</v>
      </c>
      <c r="J27" s="29">
        <v>125204</v>
      </c>
      <c r="K27" s="29">
        <v>142079.83365</v>
      </c>
      <c r="L27" s="15">
        <f>(K27-J27)*100/J27</f>
        <v>13.478669730998998</v>
      </c>
      <c r="M27" s="16">
        <f>(K27-O27)*100/O27</f>
        <v>110.31415958612112</v>
      </c>
      <c r="N27" s="16"/>
      <c r="O27" s="14">
        <v>67556</v>
      </c>
      <c r="P27" s="14"/>
      <c r="R27" s="3">
        <v>142079833.64999998</v>
      </c>
      <c r="S27" s="3">
        <f>R27/1000</f>
        <v>142079.83365</v>
      </c>
    </row>
    <row r="28" spans="1:19" ht="12.75">
      <c r="A28" s="1" t="s">
        <v>17</v>
      </c>
      <c r="B28" s="14">
        <v>6873</v>
      </c>
      <c r="C28" s="14">
        <v>7153</v>
      </c>
      <c r="D28" s="14">
        <v>7636</v>
      </c>
      <c r="E28" s="14">
        <v>7944</v>
      </c>
      <c r="F28" s="14">
        <v>8340</v>
      </c>
      <c r="G28" s="14">
        <v>8409</v>
      </c>
      <c r="H28" s="1">
        <v>8883</v>
      </c>
      <c r="I28" s="29">
        <v>9256</v>
      </c>
      <c r="J28" s="29">
        <v>10170</v>
      </c>
      <c r="K28" s="29">
        <v>9133.66854</v>
      </c>
      <c r="L28" s="15">
        <f>(K28-J28)*100/J28</f>
        <v>-10.190083185840702</v>
      </c>
      <c r="M28" s="16">
        <f>(K28-O28)*100/O28</f>
        <v>36.384478721815746</v>
      </c>
      <c r="N28" s="16"/>
      <c r="O28" s="14">
        <v>6697</v>
      </c>
      <c r="P28" s="14"/>
      <c r="R28" s="3">
        <v>9133668.540000001</v>
      </c>
      <c r="S28" s="3">
        <f>R28/1000</f>
        <v>9133.66854</v>
      </c>
    </row>
    <row r="29" spans="2:16" ht="12.75">
      <c r="B29" s="14"/>
      <c r="C29" s="14"/>
      <c r="D29" s="14"/>
      <c r="E29" s="14"/>
      <c r="F29" s="14"/>
      <c r="G29" s="14"/>
      <c r="I29" s="29"/>
      <c r="J29" s="29"/>
      <c r="K29" s="29"/>
      <c r="L29" s="15"/>
      <c r="M29" s="16"/>
      <c r="N29" s="16"/>
      <c r="O29" s="14"/>
      <c r="P29" s="14"/>
    </row>
    <row r="30" spans="1:19" ht="12.75">
      <c r="A30" s="1" t="s">
        <v>18</v>
      </c>
      <c r="B30" s="14">
        <v>169070</v>
      </c>
      <c r="C30" s="14">
        <v>190213</v>
      </c>
      <c r="D30" s="14">
        <v>206687</v>
      </c>
      <c r="E30" s="14">
        <v>217180</v>
      </c>
      <c r="F30" s="14">
        <v>227857</v>
      </c>
      <c r="G30" s="14">
        <v>236615</v>
      </c>
      <c r="H30" s="1">
        <v>287212</v>
      </c>
      <c r="I30" s="29">
        <v>276311</v>
      </c>
      <c r="J30" s="29">
        <v>306164</v>
      </c>
      <c r="K30" s="29">
        <v>334011.18083</v>
      </c>
      <c r="L30" s="15">
        <f>(K30-J30)*100/J30</f>
        <v>9.095511173750024</v>
      </c>
      <c r="M30" s="16">
        <f>(K30-O30)*100/O30</f>
        <v>115.07896535670363</v>
      </c>
      <c r="N30" s="16"/>
      <c r="O30" s="14">
        <v>155297</v>
      </c>
      <c r="P30" s="14"/>
      <c r="R30" s="3">
        <v>334011180.83000004</v>
      </c>
      <c r="S30" s="3">
        <f>R30/1000</f>
        <v>334011.18083</v>
      </c>
    </row>
    <row r="31" spans="1:19" ht="12.75">
      <c r="A31" s="1" t="s">
        <v>19</v>
      </c>
      <c r="B31" s="14">
        <v>328711</v>
      </c>
      <c r="C31" s="14">
        <v>345952</v>
      </c>
      <c r="D31" s="14">
        <v>367773</v>
      </c>
      <c r="E31" s="14">
        <v>402521</v>
      </c>
      <c r="F31" s="14">
        <v>434843</v>
      </c>
      <c r="G31" s="14">
        <v>460845</v>
      </c>
      <c r="H31" s="1">
        <v>523175</v>
      </c>
      <c r="I31" s="29">
        <v>520663</v>
      </c>
      <c r="J31" s="29">
        <v>573611</v>
      </c>
      <c r="K31" s="29">
        <v>610365.0983700001</v>
      </c>
      <c r="L31" s="15">
        <f>(K31-J31)*100/J31</f>
        <v>6.407495387989446</v>
      </c>
      <c r="M31" s="16">
        <f>(K31-O31)*100/O31</f>
        <v>96.6990752197845</v>
      </c>
      <c r="N31" s="16"/>
      <c r="O31" s="14">
        <v>310304</v>
      </c>
      <c r="P31" s="14"/>
      <c r="R31" s="3">
        <v>610365098.3700001</v>
      </c>
      <c r="S31" s="3">
        <f>R31/1000</f>
        <v>610365.0983700001</v>
      </c>
    </row>
    <row r="32" spans="1:19" ht="12.75">
      <c r="A32" s="1" t="s">
        <v>20</v>
      </c>
      <c r="B32" s="14">
        <v>14152</v>
      </c>
      <c r="C32" s="14">
        <v>14772</v>
      </c>
      <c r="D32" s="14">
        <v>15677</v>
      </c>
      <c r="E32" s="14">
        <v>16279</v>
      </c>
      <c r="F32" s="14">
        <v>17282</v>
      </c>
      <c r="G32" s="14">
        <v>18164</v>
      </c>
      <c r="H32" s="1">
        <v>25604</v>
      </c>
      <c r="I32" s="29">
        <v>21184</v>
      </c>
      <c r="J32" s="29">
        <v>22228</v>
      </c>
      <c r="K32" s="29">
        <v>23882.763239999997</v>
      </c>
      <c r="L32" s="15">
        <f>(K32-J32)*100/J32</f>
        <v>7.444499010257318</v>
      </c>
      <c r="M32" s="16">
        <f>(K32-O32)*100/O32</f>
        <v>72.22732559313475</v>
      </c>
      <c r="N32" s="16"/>
      <c r="O32" s="14">
        <v>13867</v>
      </c>
      <c r="P32" s="14"/>
      <c r="R32" s="3">
        <v>23882763.24</v>
      </c>
      <c r="S32" s="3">
        <f>R32/1000</f>
        <v>23882.763239999997</v>
      </c>
    </row>
    <row r="33" spans="1:19" ht="12.75">
      <c r="A33" s="1" t="s">
        <v>21</v>
      </c>
      <c r="B33" s="14">
        <v>37561</v>
      </c>
      <c r="C33" s="14">
        <v>39196</v>
      </c>
      <c r="D33" s="14">
        <v>42280</v>
      </c>
      <c r="E33" s="14">
        <v>45224</v>
      </c>
      <c r="F33" s="14">
        <v>47085</v>
      </c>
      <c r="G33" s="14">
        <v>47210</v>
      </c>
      <c r="H33" s="1">
        <v>57422</v>
      </c>
      <c r="I33" s="29">
        <v>52904</v>
      </c>
      <c r="J33" s="29">
        <v>57054</v>
      </c>
      <c r="K33" s="29">
        <v>63165.89157</v>
      </c>
      <c r="L33" s="15">
        <f>(K33-J33)*100/J33</f>
        <v>10.712468135450626</v>
      </c>
      <c r="M33" s="16">
        <f>(K33-O33)*100/O33</f>
        <v>70.75093009488282</v>
      </c>
      <c r="N33" s="16"/>
      <c r="O33" s="14">
        <v>36993</v>
      </c>
      <c r="P33" s="14"/>
      <c r="R33" s="3">
        <v>63165891.57</v>
      </c>
      <c r="S33" s="3">
        <f>R33/1000</f>
        <v>63165.89157</v>
      </c>
    </row>
    <row r="34" spans="1:19" ht="12.75">
      <c r="A34" s="1" t="s">
        <v>22</v>
      </c>
      <c r="B34" s="14">
        <v>11795</v>
      </c>
      <c r="C34" s="14">
        <v>12210</v>
      </c>
      <c r="D34" s="14">
        <v>12430</v>
      </c>
      <c r="E34" s="14">
        <v>12538</v>
      </c>
      <c r="F34" s="14">
        <v>13075</v>
      </c>
      <c r="G34" s="14">
        <v>13303</v>
      </c>
      <c r="H34" s="1">
        <v>13377</v>
      </c>
      <c r="I34" s="29">
        <v>14002</v>
      </c>
      <c r="J34" s="29">
        <v>15734</v>
      </c>
      <c r="K34" s="29">
        <v>16195.402189999999</v>
      </c>
      <c r="L34" s="15">
        <f>(K34-J34)*100/J34</f>
        <v>2.9325167789500375</v>
      </c>
      <c r="M34" s="16">
        <f>(K34-O34)*100/O34</f>
        <v>38.197817134567785</v>
      </c>
      <c r="N34" s="16"/>
      <c r="O34" s="14">
        <v>11719</v>
      </c>
      <c r="P34" s="14"/>
      <c r="R34" s="3">
        <v>16195402.19</v>
      </c>
      <c r="S34" s="3">
        <f>R34/1000</f>
        <v>16195.402189999999</v>
      </c>
    </row>
    <row r="35" spans="2:16" ht="12.75">
      <c r="B35" s="14"/>
      <c r="C35" s="14"/>
      <c r="D35" s="14"/>
      <c r="E35" s="14"/>
      <c r="F35" s="14"/>
      <c r="G35" s="14"/>
      <c r="I35" s="29"/>
      <c r="J35" s="29"/>
      <c r="K35" s="29"/>
      <c r="L35" s="15"/>
      <c r="M35" s="16"/>
      <c r="N35" s="16"/>
      <c r="O35" s="14"/>
      <c r="P35" s="14"/>
    </row>
    <row r="36" spans="1:19" ht="12.75">
      <c r="A36" s="1" t="s">
        <v>23</v>
      </c>
      <c r="B36" s="14">
        <v>6109</v>
      </c>
      <c r="C36" s="14">
        <v>6391</v>
      </c>
      <c r="D36" s="14">
        <v>6685</v>
      </c>
      <c r="E36" s="14">
        <v>6505</v>
      </c>
      <c r="F36" s="14">
        <v>7153</v>
      </c>
      <c r="G36" s="14">
        <v>6924</v>
      </c>
      <c r="H36" s="1">
        <v>10854</v>
      </c>
      <c r="I36" s="29">
        <v>7120</v>
      </c>
      <c r="J36" s="29">
        <v>7067</v>
      </c>
      <c r="K36" s="29">
        <v>10469.81599</v>
      </c>
      <c r="L36" s="15">
        <f>(K36-J36)*100/J36</f>
        <v>48.15078519881137</v>
      </c>
      <c r="M36" s="16">
        <f>(K36-O36)*100/O36</f>
        <v>75.43257355898122</v>
      </c>
      <c r="N36" s="16"/>
      <c r="O36" s="14">
        <v>5968</v>
      </c>
      <c r="P36" s="14"/>
      <c r="R36" s="3">
        <v>10469815.989999998</v>
      </c>
      <c r="S36" s="3">
        <f>R36/1000</f>
        <v>10469.81599</v>
      </c>
    </row>
    <row r="37" spans="1:19" ht="12.75">
      <c r="A37" s="1" t="s">
        <v>24</v>
      </c>
      <c r="B37" s="14">
        <v>55951</v>
      </c>
      <c r="C37" s="14">
        <v>57976</v>
      </c>
      <c r="D37" s="14">
        <v>60158</v>
      </c>
      <c r="E37" s="14">
        <v>62728</v>
      </c>
      <c r="F37" s="14">
        <v>64290</v>
      </c>
      <c r="G37" s="14">
        <v>65472</v>
      </c>
      <c r="H37" s="1">
        <v>70841</v>
      </c>
      <c r="I37" s="29">
        <v>70268</v>
      </c>
      <c r="J37" s="29">
        <v>73729</v>
      </c>
      <c r="K37" s="29">
        <v>81693.59172</v>
      </c>
      <c r="L37" s="15">
        <f>(K37-J37)*100/J37</f>
        <v>10.802522372472158</v>
      </c>
      <c r="M37" s="16">
        <f>(K37-O37)*100/O37</f>
        <v>53.709625423346125</v>
      </c>
      <c r="N37" s="16"/>
      <c r="O37" s="14">
        <v>53148</v>
      </c>
      <c r="P37" s="14"/>
      <c r="R37" s="3">
        <v>81693591.72</v>
      </c>
      <c r="S37" s="3">
        <f>R37/1000</f>
        <v>81693.59172</v>
      </c>
    </row>
    <row r="38" spans="1:19" ht="12.75">
      <c r="A38" s="1" t="s">
        <v>25</v>
      </c>
      <c r="B38" s="14">
        <v>40132</v>
      </c>
      <c r="C38" s="14">
        <v>41818</v>
      </c>
      <c r="D38" s="14">
        <v>43756</v>
      </c>
      <c r="E38" s="14">
        <v>46221</v>
      </c>
      <c r="F38" s="14">
        <v>48275</v>
      </c>
      <c r="G38" s="14">
        <v>49132</v>
      </c>
      <c r="H38" s="1">
        <v>55110</v>
      </c>
      <c r="I38" s="29">
        <v>54566</v>
      </c>
      <c r="J38" s="29">
        <v>58665</v>
      </c>
      <c r="K38" s="29">
        <v>65433.39123</v>
      </c>
      <c r="L38" s="15">
        <f>(K38-J38)*100/J38</f>
        <v>11.537358271541807</v>
      </c>
      <c r="M38" s="16">
        <f>(K38-O38)*100/O38</f>
        <v>71.06768949019609</v>
      </c>
      <c r="N38" s="16"/>
      <c r="O38" s="14">
        <v>38250</v>
      </c>
      <c r="P38" s="14"/>
      <c r="R38" s="3">
        <v>65433391.230000004</v>
      </c>
      <c r="S38" s="3">
        <f>R38/1000</f>
        <v>65433.39123</v>
      </c>
    </row>
    <row r="39" spans="1:19" ht="12.75">
      <c r="A39" s="17" t="s">
        <v>26</v>
      </c>
      <c r="B39" s="14">
        <v>6933</v>
      </c>
      <c r="C39" s="14">
        <v>7820</v>
      </c>
      <c r="D39" s="14">
        <v>8805</v>
      </c>
      <c r="E39" s="14">
        <v>7872</v>
      </c>
      <c r="F39" s="14">
        <v>10478</v>
      </c>
      <c r="G39" s="14">
        <v>10321</v>
      </c>
      <c r="H39" s="1">
        <v>10584</v>
      </c>
      <c r="I39" s="29">
        <v>11005</v>
      </c>
      <c r="J39" s="29">
        <v>12709</v>
      </c>
      <c r="K39" s="29">
        <v>15967.80492</v>
      </c>
      <c r="L39" s="15">
        <f>(K39-J39)*100/J39</f>
        <v>25.641709969313087</v>
      </c>
      <c r="M39" s="16">
        <f>(K39-O39)*100/O39</f>
        <v>131.1494632310365</v>
      </c>
      <c r="N39" s="16"/>
      <c r="O39" s="14">
        <v>6908</v>
      </c>
      <c r="P39" s="14"/>
      <c r="R39" s="3">
        <v>15967804.92</v>
      </c>
      <c r="S39" s="3">
        <f>R39/1000</f>
        <v>15967.80492</v>
      </c>
    </row>
    <row r="40" spans="1:16" ht="12.75">
      <c r="A40" s="1" t="s">
        <v>29</v>
      </c>
      <c r="B40" s="19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/>
      <c r="P40" s="19"/>
    </row>
    <row r="41" spans="2:16" ht="12.75">
      <c r="B41" s="14"/>
      <c r="C41" s="14"/>
      <c r="O41" s="14"/>
      <c r="P41" s="14"/>
    </row>
    <row r="42" spans="1:16" ht="12.75">
      <c r="A42" s="3"/>
      <c r="B42" s="14"/>
      <c r="C42" s="14"/>
      <c r="O42" s="14"/>
      <c r="P42" s="14"/>
    </row>
    <row r="43" spans="2:16" ht="12.75">
      <c r="B43" s="14"/>
      <c r="C43" s="14"/>
      <c r="O43" s="14"/>
      <c r="P43" s="14"/>
    </row>
    <row r="44" spans="2:16" ht="12.75">
      <c r="B44" s="14"/>
      <c r="C44" s="14"/>
      <c r="O44" s="14"/>
      <c r="P44" s="14"/>
    </row>
    <row r="45" spans="2:16" ht="12.75">
      <c r="B45" s="14"/>
      <c r="C45" s="14"/>
      <c r="O45" s="14"/>
      <c r="P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</sheetData>
  <mergeCells count="1">
    <mergeCell ref="L7:M7"/>
  </mergeCells>
  <printOptions/>
  <pageMargins left="0.52" right="0.48" top="1" bottom="0.84" header="0.5" footer="0.5"/>
  <pageSetup fitToHeight="1" fitToWidth="1" orientation="landscape" scale="78" r:id="rId1"/>
  <headerFooter alignWithMargins="0">
    <oddFooter>&amp;L&amp;"Lucida Sans,Italic"&amp;10MSDE-DBS  1 / 2006&amp;C- 3 -&amp;R&amp;"Lucida Sans,Italic"&amp;10Selected Financial Data - Part 4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workbookViewId="0" topLeftCell="I4">
      <selection activeCell="R17" sqref="R17"/>
    </sheetView>
  </sheetViews>
  <sheetFormatPr defaultColWidth="9.00390625" defaultRowHeight="15.75"/>
  <cols>
    <col min="1" max="1" width="12.875" style="1" customWidth="1"/>
    <col min="2" max="10" width="12.625" style="1" customWidth="1"/>
    <col min="11" max="11" width="11.50390625" style="1" customWidth="1"/>
    <col min="12" max="12" width="8.50390625" style="1" customWidth="1"/>
    <col min="13" max="13" width="7.125" style="1" customWidth="1"/>
    <col min="14" max="14" width="4.25390625" style="1" customWidth="1"/>
    <col min="15" max="15" width="10.875" style="1" bestFit="1" customWidth="1"/>
    <col min="16" max="16" width="7.75390625" style="1" customWidth="1"/>
    <col min="17" max="17" width="2.875" style="3" customWidth="1"/>
    <col min="18" max="18" width="13.625" style="3" customWidth="1"/>
    <col min="19" max="16384" width="10.00390625" style="3" customWidth="1"/>
  </cols>
  <sheetData>
    <row r="1" spans="1:14" ht="12.75">
      <c r="A1" s="108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203"/>
    </row>
    <row r="2" spans="1:15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203"/>
      <c r="O2" s="2"/>
    </row>
    <row r="3" spans="1:15" ht="12.75">
      <c r="A3" s="108" t="s">
        <v>33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203"/>
      <c r="O3" s="219" t="s">
        <v>181</v>
      </c>
    </row>
    <row r="4" spans="1:14" ht="12.75">
      <c r="A4" s="108" t="s">
        <v>169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203"/>
    </row>
    <row r="5" spans="1:14" ht="13.5" thickBo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63"/>
    </row>
    <row r="6" spans="1:19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7"/>
      <c r="R6" s="204" t="s">
        <v>185</v>
      </c>
      <c r="S6" s="205"/>
    </row>
    <row r="7" spans="12:19" ht="12.75">
      <c r="L7" s="6" t="s">
        <v>28</v>
      </c>
      <c r="M7" s="6"/>
      <c r="R7" s="206" t="s">
        <v>184</v>
      </c>
      <c r="S7" s="207"/>
    </row>
    <row r="8" spans="4:19" ht="12.75">
      <c r="D8" s="7"/>
      <c r="E8" s="7"/>
      <c r="F8" s="7"/>
      <c r="G8" s="7"/>
      <c r="H8" s="7"/>
      <c r="I8" s="7"/>
      <c r="J8" s="7"/>
      <c r="K8" s="7"/>
      <c r="L8" s="10" t="s">
        <v>59</v>
      </c>
      <c r="M8" s="10" t="s">
        <v>60</v>
      </c>
      <c r="R8" s="208" t="s">
        <v>165</v>
      </c>
      <c r="S8" s="209"/>
    </row>
    <row r="9" spans="1:19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20"/>
      <c r="O9" s="33" t="s">
        <v>158</v>
      </c>
      <c r="P9" s="7"/>
      <c r="R9" s="3" t="s">
        <v>180</v>
      </c>
      <c r="S9" s="20" t="s">
        <v>167</v>
      </c>
    </row>
    <row r="10" spans="1:19" ht="12.75">
      <c r="A10" s="7" t="s">
        <v>2</v>
      </c>
      <c r="B10" s="202">
        <f>SUM(B12:B39)</f>
        <v>2728936</v>
      </c>
      <c r="C10" s="202">
        <f>SUM(C12:C39)</f>
        <v>2810524</v>
      </c>
      <c r="D10" s="202">
        <f aca="true" t="shared" si="0" ref="D10:K10">SUM(D12:D39)</f>
        <v>2893531</v>
      </c>
      <c r="E10" s="202">
        <f t="shared" si="0"/>
        <v>2999645</v>
      </c>
      <c r="F10" s="202">
        <f t="shared" si="0"/>
        <v>3150814</v>
      </c>
      <c r="G10" s="202">
        <f t="shared" si="0"/>
        <v>3344657</v>
      </c>
      <c r="H10" s="202">
        <f t="shared" si="0"/>
        <v>3624544</v>
      </c>
      <c r="I10" s="202">
        <f t="shared" si="0"/>
        <v>3851120</v>
      </c>
      <c r="J10" s="202">
        <f t="shared" si="0"/>
        <v>3999047</v>
      </c>
      <c r="K10" s="202">
        <f t="shared" si="0"/>
        <v>4171051.0858500004</v>
      </c>
      <c r="L10" s="84">
        <f>(K10-J10)/J10</f>
        <v>0.04301126889731488</v>
      </c>
      <c r="M10" s="12">
        <f>(K10-O10)/O10</f>
        <v>0.6333549176264289</v>
      </c>
      <c r="N10" s="11"/>
      <c r="O10" s="18">
        <f>SUM(O12:O39)</f>
        <v>2553671</v>
      </c>
      <c r="P10" s="11"/>
      <c r="R10" s="11">
        <f>SUM(R12:R43)</f>
        <v>4171051085.85</v>
      </c>
      <c r="S10" s="11">
        <f>SUM(S12:S43)</f>
        <v>4171051.0858500004</v>
      </c>
    </row>
    <row r="11" spans="3:13" ht="12.75">
      <c r="C11" s="14"/>
      <c r="D11" s="14"/>
      <c r="E11" s="64"/>
      <c r="F11" s="64"/>
      <c r="G11" s="64"/>
      <c r="M11" s="14"/>
    </row>
    <row r="12" spans="1:19" ht="12.75">
      <c r="A12" s="1" t="s">
        <v>3</v>
      </c>
      <c r="B12" s="14">
        <v>20230</v>
      </c>
      <c r="C12" s="14">
        <v>20675</v>
      </c>
      <c r="D12" s="14">
        <v>21086</v>
      </c>
      <c r="E12" s="65">
        <v>21580</v>
      </c>
      <c r="F12" s="65">
        <v>22237</v>
      </c>
      <c r="G12" s="65">
        <v>23030</v>
      </c>
      <c r="H12" s="1">
        <v>24868</v>
      </c>
      <c r="I12" s="1">
        <v>26000</v>
      </c>
      <c r="J12" s="1">
        <v>25658</v>
      </c>
      <c r="K12" s="1">
        <v>26218.80716</v>
      </c>
      <c r="L12" s="15">
        <f>(K12-J12)*100/J12</f>
        <v>2.185700989944658</v>
      </c>
      <c r="M12" s="16">
        <f>(K12-O12)*100/O12</f>
        <v>36.201595636363635</v>
      </c>
      <c r="N12" s="21"/>
      <c r="O12" s="14">
        <v>19250</v>
      </c>
      <c r="P12" s="14"/>
      <c r="R12" s="3">
        <v>26218807.16</v>
      </c>
      <c r="S12" s="3">
        <f>R12/1000</f>
        <v>26218.80716</v>
      </c>
    </row>
    <row r="13" spans="1:19" ht="12.75">
      <c r="A13" s="1" t="s">
        <v>4</v>
      </c>
      <c r="B13" s="14">
        <v>260745</v>
      </c>
      <c r="C13" s="14">
        <v>266479</v>
      </c>
      <c r="D13" s="14">
        <v>269866</v>
      </c>
      <c r="E13" s="65">
        <v>274678</v>
      </c>
      <c r="F13" s="65">
        <v>288075</v>
      </c>
      <c r="G13" s="65">
        <v>316085</v>
      </c>
      <c r="H13" s="1">
        <v>342692</v>
      </c>
      <c r="I13" s="1">
        <v>367582</v>
      </c>
      <c r="J13" s="1">
        <v>383840</v>
      </c>
      <c r="K13" s="1">
        <v>390600</v>
      </c>
      <c r="L13" s="15">
        <f>(K13-J13)*100/J13</f>
        <v>1.7611504793664026</v>
      </c>
      <c r="M13" s="16">
        <f>(K13-O13)*100/O13</f>
        <v>64.04389623152616</v>
      </c>
      <c r="N13" s="21"/>
      <c r="O13" s="14">
        <v>238107</v>
      </c>
      <c r="P13" s="14"/>
      <c r="R13" s="3">
        <v>390600000</v>
      </c>
      <c r="S13" s="3">
        <f>R13/1000</f>
        <v>390600</v>
      </c>
    </row>
    <row r="14" spans="1:19" ht="12.75">
      <c r="A14" s="1" t="s">
        <v>5</v>
      </c>
      <c r="B14" s="14">
        <v>195554</v>
      </c>
      <c r="C14" s="14">
        <v>199202</v>
      </c>
      <c r="D14" s="14">
        <v>199202</v>
      </c>
      <c r="E14" s="65">
        <v>200553</v>
      </c>
      <c r="F14" s="65">
        <v>201565</v>
      </c>
      <c r="G14" s="65">
        <v>204065</v>
      </c>
      <c r="H14" s="1">
        <v>204428</v>
      </c>
      <c r="I14" s="1">
        <v>210260</v>
      </c>
      <c r="J14" s="1">
        <v>207400</v>
      </c>
      <c r="K14" s="1">
        <v>207554.99928</v>
      </c>
      <c r="L14" s="15">
        <f>(K14-J14)*100/J14</f>
        <v>0.07473446480230911</v>
      </c>
      <c r="M14" s="16">
        <f>(K14-O14)*100/O14</f>
        <v>9.129769168888112</v>
      </c>
      <c r="N14" s="21"/>
      <c r="O14" s="14">
        <v>190191</v>
      </c>
      <c r="P14" s="14"/>
      <c r="R14" s="3">
        <v>207554999.28</v>
      </c>
      <c r="S14" s="3">
        <f>R14/1000</f>
        <v>207554.99928</v>
      </c>
    </row>
    <row r="15" spans="1:19" ht="12.75">
      <c r="A15" s="1" t="s">
        <v>6</v>
      </c>
      <c r="B15" s="14">
        <v>393346</v>
      </c>
      <c r="C15" s="14">
        <v>404783</v>
      </c>
      <c r="D15" s="14">
        <v>414233</v>
      </c>
      <c r="E15" s="65">
        <v>426130</v>
      </c>
      <c r="F15" s="65">
        <v>442282</v>
      </c>
      <c r="G15" s="65">
        <v>466217</v>
      </c>
      <c r="H15" s="1">
        <v>523250</v>
      </c>
      <c r="I15" s="1">
        <v>545984</v>
      </c>
      <c r="J15" s="1">
        <v>548229</v>
      </c>
      <c r="K15" s="1">
        <v>560334.69619</v>
      </c>
      <c r="L15" s="15">
        <f>(K15-J15)*100/J15</f>
        <v>2.2081459007093835</v>
      </c>
      <c r="M15" s="16">
        <f>(K15-O15)*100/O15</f>
        <v>52.91182972249437</v>
      </c>
      <c r="N15" s="21"/>
      <c r="O15" s="14">
        <v>366443</v>
      </c>
      <c r="P15" s="14"/>
      <c r="R15" s="3">
        <v>560334696.19</v>
      </c>
      <c r="S15" s="3">
        <f>R15/1000</f>
        <v>560334.69619</v>
      </c>
    </row>
    <row r="16" spans="1:19" ht="12.75">
      <c r="A16" s="1" t="s">
        <v>7</v>
      </c>
      <c r="B16" s="14">
        <v>42004</v>
      </c>
      <c r="C16" s="14">
        <v>45104</v>
      </c>
      <c r="D16" s="14">
        <v>47504</v>
      </c>
      <c r="E16" s="65">
        <v>50204</v>
      </c>
      <c r="F16" s="65">
        <v>54460</v>
      </c>
      <c r="G16" s="65">
        <v>58310</v>
      </c>
      <c r="H16" s="1">
        <v>62710</v>
      </c>
      <c r="I16" s="1">
        <v>68900</v>
      </c>
      <c r="J16" s="1">
        <v>73413</v>
      </c>
      <c r="K16" s="1">
        <v>76412.612</v>
      </c>
      <c r="L16" s="15">
        <f>(K16-J16)*100/J16</f>
        <v>4.08594118207946</v>
      </c>
      <c r="M16" s="16">
        <f>(K16-O16)*100/O16</f>
        <v>93.4300627784528</v>
      </c>
      <c r="N16" s="21"/>
      <c r="O16" s="14">
        <v>39504</v>
      </c>
      <c r="P16" s="14"/>
      <c r="R16" s="3">
        <v>76412612</v>
      </c>
      <c r="S16" s="3">
        <f>R16/1000</f>
        <v>76412.612</v>
      </c>
    </row>
    <row r="17" spans="2:16" ht="12.75">
      <c r="B17" s="14"/>
      <c r="C17" s="14"/>
      <c r="D17" s="14"/>
      <c r="E17" s="65"/>
      <c r="F17" s="65"/>
      <c r="G17" s="65"/>
      <c r="L17" s="15"/>
      <c r="M17" s="16"/>
      <c r="N17" s="21"/>
      <c r="O17" s="14"/>
      <c r="P17" s="14"/>
    </row>
    <row r="18" spans="1:19" ht="12.75">
      <c r="A18" s="1" t="s">
        <v>8</v>
      </c>
      <c r="B18" s="14">
        <v>9582</v>
      </c>
      <c r="C18" s="14">
        <v>9753</v>
      </c>
      <c r="D18" s="14">
        <v>10049</v>
      </c>
      <c r="E18" s="65">
        <v>10500</v>
      </c>
      <c r="F18" s="65">
        <v>10698</v>
      </c>
      <c r="G18" s="65">
        <v>10798</v>
      </c>
      <c r="H18" s="1">
        <v>10798</v>
      </c>
      <c r="I18" s="1">
        <v>10677</v>
      </c>
      <c r="J18" s="1">
        <v>10923</v>
      </c>
      <c r="K18" s="1">
        <v>10877.114</v>
      </c>
      <c r="L18" s="15">
        <f>(K18-J18)*100/J18</f>
        <v>-0.42008605694406687</v>
      </c>
      <c r="M18" s="16">
        <f>(K18-O18)*100/O18</f>
        <v>22.050201974865345</v>
      </c>
      <c r="N18" s="21"/>
      <c r="O18" s="14">
        <v>8912</v>
      </c>
      <c r="P18" s="14"/>
      <c r="R18" s="3">
        <v>10877114</v>
      </c>
      <c r="S18" s="3">
        <f>R18/1000</f>
        <v>10877.114</v>
      </c>
    </row>
    <row r="19" spans="1:19" ht="12.75">
      <c r="A19" s="1" t="s">
        <v>9</v>
      </c>
      <c r="B19" s="14">
        <v>73607</v>
      </c>
      <c r="C19" s="14">
        <v>75801</v>
      </c>
      <c r="D19" s="14">
        <v>78645</v>
      </c>
      <c r="E19" s="65">
        <v>82337</v>
      </c>
      <c r="F19" s="65">
        <v>89057</v>
      </c>
      <c r="G19" s="65">
        <v>93528</v>
      </c>
      <c r="H19" s="1">
        <v>99455</v>
      </c>
      <c r="I19" s="1">
        <v>107235</v>
      </c>
      <c r="J19" s="1">
        <v>112827</v>
      </c>
      <c r="K19" s="1">
        <v>119534.398</v>
      </c>
      <c r="L19" s="15">
        <f>(K19-J19)*100/J19</f>
        <v>5.944851852836644</v>
      </c>
      <c r="M19" s="16">
        <f>(K19-O19)*100/O19</f>
        <v>85.15241325898388</v>
      </c>
      <c r="N19" s="21"/>
      <c r="O19" s="14">
        <v>64560</v>
      </c>
      <c r="P19" s="14"/>
      <c r="R19" s="3">
        <v>119534398</v>
      </c>
      <c r="S19" s="3">
        <f>R19/1000</f>
        <v>119534.398</v>
      </c>
    </row>
    <row r="20" spans="1:19" ht="12.75">
      <c r="A20" s="1" t="s">
        <v>10</v>
      </c>
      <c r="B20" s="14">
        <v>35039</v>
      </c>
      <c r="C20" s="14">
        <v>36057</v>
      </c>
      <c r="D20" s="14">
        <v>36945</v>
      </c>
      <c r="E20" s="65">
        <v>39107</v>
      </c>
      <c r="F20" s="65">
        <v>42407</v>
      </c>
      <c r="G20" s="65">
        <v>45407</v>
      </c>
      <c r="H20" s="1">
        <v>48407</v>
      </c>
      <c r="I20" s="1">
        <v>50884</v>
      </c>
      <c r="J20" s="1">
        <v>53984</v>
      </c>
      <c r="K20" s="1">
        <v>56089.93</v>
      </c>
      <c r="L20" s="15">
        <f>(K20-J20)*100/J20</f>
        <v>3.901026229994073</v>
      </c>
      <c r="M20" s="16">
        <f>(K20-O20)*100/O20</f>
        <v>74.38187470853413</v>
      </c>
      <c r="N20" s="21"/>
      <c r="O20" s="14">
        <v>32165</v>
      </c>
      <c r="P20" s="14"/>
      <c r="R20" s="3">
        <v>56089930</v>
      </c>
      <c r="S20" s="3">
        <f>R20/1000</f>
        <v>56089.93</v>
      </c>
    </row>
    <row r="21" spans="1:19" ht="12.75">
      <c r="A21" s="1" t="s">
        <v>11</v>
      </c>
      <c r="B21" s="14">
        <v>59050</v>
      </c>
      <c r="C21" s="14">
        <v>59442</v>
      </c>
      <c r="D21" s="14">
        <v>62828</v>
      </c>
      <c r="E21" s="65">
        <v>65412</v>
      </c>
      <c r="F21" s="65">
        <v>69459</v>
      </c>
      <c r="G21" s="65">
        <v>76213</v>
      </c>
      <c r="H21" s="1">
        <v>80960</v>
      </c>
      <c r="I21" s="1">
        <v>85681</v>
      </c>
      <c r="J21" s="1">
        <v>90831</v>
      </c>
      <c r="K21" s="1">
        <v>94944.2</v>
      </c>
      <c r="L21" s="15">
        <f>(K21-J21)*100/J21</f>
        <v>4.528409904107625</v>
      </c>
      <c r="M21" s="16">
        <f>(K21-O21)*100/O21</f>
        <v>75.6014648220759</v>
      </c>
      <c r="N21" s="21"/>
      <c r="O21" s="14">
        <v>54068</v>
      </c>
      <c r="P21" s="14"/>
      <c r="R21" s="3">
        <v>94944200</v>
      </c>
      <c r="S21" s="3">
        <f>R21/1000</f>
        <v>94944.2</v>
      </c>
    </row>
    <row r="22" spans="1:19" ht="12.75">
      <c r="A22" s="1" t="s">
        <v>12</v>
      </c>
      <c r="B22" s="14">
        <v>10671</v>
      </c>
      <c r="C22" s="14">
        <v>11322</v>
      </c>
      <c r="D22" s="14">
        <v>12322</v>
      </c>
      <c r="E22" s="65">
        <v>12866</v>
      </c>
      <c r="F22" s="65">
        <v>12866</v>
      </c>
      <c r="G22" s="65">
        <v>13766</v>
      </c>
      <c r="H22" s="1">
        <v>14352</v>
      </c>
      <c r="I22" s="1">
        <v>14358</v>
      </c>
      <c r="J22" s="1">
        <v>15070</v>
      </c>
      <c r="K22" s="1">
        <v>15068.779</v>
      </c>
      <c r="L22" s="15">
        <f>(K22-J22)*100/J22</f>
        <v>-0.008102189781018905</v>
      </c>
      <c r="M22" s="16">
        <f>(K22-O22)*100/O22</f>
        <v>53.26260170870627</v>
      </c>
      <c r="N22" s="21"/>
      <c r="O22" s="14">
        <v>9832</v>
      </c>
      <c r="P22" s="14"/>
      <c r="R22" s="3">
        <v>15068779</v>
      </c>
      <c r="S22" s="3">
        <f>R22/1000</f>
        <v>15068.779</v>
      </c>
    </row>
    <row r="23" spans="2:16" ht="12.75">
      <c r="B23" s="14"/>
      <c r="C23" s="14"/>
      <c r="D23" s="14"/>
      <c r="E23" s="65"/>
      <c r="F23" s="65"/>
      <c r="G23" s="65"/>
      <c r="L23" s="15"/>
      <c r="M23" s="16"/>
      <c r="N23" s="21"/>
      <c r="O23" s="14"/>
      <c r="P23" s="14"/>
    </row>
    <row r="24" spans="1:19" ht="12.75">
      <c r="A24" s="1" t="s">
        <v>13</v>
      </c>
      <c r="B24" s="14">
        <v>93205</v>
      </c>
      <c r="C24" s="14">
        <v>96790</v>
      </c>
      <c r="D24" s="14">
        <v>100031</v>
      </c>
      <c r="E24" s="65">
        <v>107305</v>
      </c>
      <c r="F24" s="65">
        <v>113550</v>
      </c>
      <c r="G24" s="65">
        <v>123625</v>
      </c>
      <c r="H24" s="1">
        <v>137920</v>
      </c>
      <c r="I24" s="1">
        <v>149616</v>
      </c>
      <c r="J24" s="1">
        <v>157583</v>
      </c>
      <c r="K24" s="1">
        <v>169943.8081</v>
      </c>
      <c r="L24" s="15">
        <f>(K24-J24)*100/J24</f>
        <v>7.843998464301349</v>
      </c>
      <c r="M24" s="16">
        <f>(K24-O24)*100/O24</f>
        <v>102.21054472115463</v>
      </c>
      <c r="N24" s="21"/>
      <c r="O24" s="14">
        <v>84043</v>
      </c>
      <c r="P24" s="14"/>
      <c r="R24" s="3">
        <v>169943808.1</v>
      </c>
      <c r="S24" s="3">
        <f>R24/1000</f>
        <v>169943.8081</v>
      </c>
    </row>
    <row r="25" spans="1:19" ht="12.75">
      <c r="A25" s="1" t="s">
        <v>14</v>
      </c>
      <c r="B25" s="14">
        <v>10649</v>
      </c>
      <c r="C25" s="14">
        <v>11382</v>
      </c>
      <c r="D25" s="14">
        <v>11830</v>
      </c>
      <c r="E25" s="65">
        <v>12068</v>
      </c>
      <c r="F25" s="65">
        <v>12772</v>
      </c>
      <c r="G25" s="65">
        <v>13537</v>
      </c>
      <c r="H25" s="1">
        <v>14413</v>
      </c>
      <c r="I25" s="1">
        <v>15118</v>
      </c>
      <c r="J25" s="1">
        <v>15680</v>
      </c>
      <c r="K25" s="1">
        <v>17590.1</v>
      </c>
      <c r="L25" s="15">
        <f>(K25-J25)*100/J25</f>
        <v>12.181760204081623</v>
      </c>
      <c r="M25" s="16">
        <f>(K25-O25)*100/O25</f>
        <v>68.61675613496931</v>
      </c>
      <c r="N25" s="21"/>
      <c r="O25" s="14">
        <v>10432</v>
      </c>
      <c r="P25" s="14"/>
      <c r="R25" s="3">
        <v>17590100</v>
      </c>
      <c r="S25" s="3">
        <f>R25/1000</f>
        <v>17590.1</v>
      </c>
    </row>
    <row r="26" spans="1:19" ht="12.75">
      <c r="A26" s="1" t="s">
        <v>15</v>
      </c>
      <c r="B26" s="14">
        <v>94418</v>
      </c>
      <c r="C26" s="14">
        <v>101054</v>
      </c>
      <c r="D26" s="14">
        <v>105082</v>
      </c>
      <c r="E26" s="65">
        <v>109844</v>
      </c>
      <c r="F26" s="65">
        <v>113800</v>
      </c>
      <c r="G26" s="65">
        <v>119220</v>
      </c>
      <c r="H26" s="1">
        <v>128102</v>
      </c>
      <c r="I26" s="1">
        <v>138335</v>
      </c>
      <c r="J26" s="1">
        <v>146051</v>
      </c>
      <c r="K26" s="1">
        <v>148150.51</v>
      </c>
      <c r="L26" s="15">
        <f>(K26-J26)*100/J26</f>
        <v>1.4375184011064692</v>
      </c>
      <c r="M26" s="16">
        <f>(K26-O26)*100/O26</f>
        <v>69.31486857142858</v>
      </c>
      <c r="N26" s="21"/>
      <c r="O26" s="14">
        <v>87500</v>
      </c>
      <c r="P26" s="14"/>
      <c r="R26" s="3">
        <v>148150510</v>
      </c>
      <c r="S26" s="3">
        <f>R26/1000</f>
        <v>148150.51</v>
      </c>
    </row>
    <row r="27" spans="1:19" ht="12.75">
      <c r="A27" s="1" t="s">
        <v>16</v>
      </c>
      <c r="B27" s="14">
        <v>162340</v>
      </c>
      <c r="C27" s="14">
        <v>170840</v>
      </c>
      <c r="D27" s="14">
        <v>177425</v>
      </c>
      <c r="E27" s="65">
        <v>184605</v>
      </c>
      <c r="F27" s="65">
        <v>199129</v>
      </c>
      <c r="G27" s="65">
        <v>220800</v>
      </c>
      <c r="H27" s="1">
        <v>248277</v>
      </c>
      <c r="I27" s="1">
        <v>274540</v>
      </c>
      <c r="J27" s="1">
        <v>292401</v>
      </c>
      <c r="K27" s="1">
        <v>310590.015</v>
      </c>
      <c r="L27" s="15">
        <f>(K27-J27)*100/J27</f>
        <v>6.220572091066725</v>
      </c>
      <c r="M27" s="16">
        <f>(K27-O27)*100/O27</f>
        <v>104.54815861224168</v>
      </c>
      <c r="N27" s="21"/>
      <c r="O27" s="14">
        <v>151842</v>
      </c>
      <c r="P27" s="14"/>
      <c r="R27" s="3">
        <v>310590015</v>
      </c>
      <c r="S27" s="3">
        <f>R27/1000</f>
        <v>310590.015</v>
      </c>
    </row>
    <row r="28" spans="1:19" ht="12.75">
      <c r="A28" s="1" t="s">
        <v>17</v>
      </c>
      <c r="B28" s="14">
        <v>9874</v>
      </c>
      <c r="C28" s="14">
        <v>10110</v>
      </c>
      <c r="D28" s="14">
        <v>10368</v>
      </c>
      <c r="E28" s="65">
        <v>10790</v>
      </c>
      <c r="F28" s="65">
        <v>11090</v>
      </c>
      <c r="G28" s="65">
        <v>11537</v>
      </c>
      <c r="H28" s="1">
        <v>12492</v>
      </c>
      <c r="I28" s="1">
        <v>13484</v>
      </c>
      <c r="J28" s="1">
        <v>13437</v>
      </c>
      <c r="K28" s="1">
        <v>13124.906</v>
      </c>
      <c r="L28" s="15">
        <f>(K28-J28)*100/J28</f>
        <v>-2.322646424052982</v>
      </c>
      <c r="M28" s="16">
        <f>(K28-O28)*100/O28</f>
        <v>45.29952396767409</v>
      </c>
      <c r="N28" s="21"/>
      <c r="O28" s="14">
        <v>9033</v>
      </c>
      <c r="P28" s="14"/>
      <c r="R28" s="3">
        <v>13124906</v>
      </c>
      <c r="S28" s="3">
        <f>R28/1000</f>
        <v>13124.906</v>
      </c>
    </row>
    <row r="29" spans="2:16" ht="12.75">
      <c r="B29" s="14"/>
      <c r="C29" s="14"/>
      <c r="D29" s="14"/>
      <c r="E29" s="65"/>
      <c r="F29" s="65"/>
      <c r="G29" s="65"/>
      <c r="L29" s="15"/>
      <c r="M29" s="16"/>
      <c r="N29" s="21"/>
      <c r="O29" s="14"/>
      <c r="P29" s="14"/>
    </row>
    <row r="30" spans="1:19" ht="12.75">
      <c r="A30" s="1" t="s">
        <v>18</v>
      </c>
      <c r="B30" s="14">
        <v>694727</v>
      </c>
      <c r="C30" s="14">
        <v>718687</v>
      </c>
      <c r="D30" s="14">
        <v>740909</v>
      </c>
      <c r="E30" s="65">
        <v>775813</v>
      </c>
      <c r="F30" s="65">
        <v>821457</v>
      </c>
      <c r="G30" s="65">
        <v>872189</v>
      </c>
      <c r="H30" s="1">
        <v>959722</v>
      </c>
      <c r="I30" s="1">
        <v>1030003</v>
      </c>
      <c r="J30" s="1">
        <v>1065185</v>
      </c>
      <c r="K30" s="1">
        <v>1132069.738</v>
      </c>
      <c r="L30" s="15">
        <f>(K30-J30)*100/J30</f>
        <v>6.279166341996921</v>
      </c>
      <c r="M30" s="16">
        <f>(K30-O30)*100/O30</f>
        <v>69.9355332524738</v>
      </c>
      <c r="N30" s="21"/>
      <c r="O30" s="14">
        <v>666176</v>
      </c>
      <c r="P30" s="14"/>
      <c r="R30" s="3">
        <v>1132069738</v>
      </c>
      <c r="S30" s="3">
        <f>R30/1000</f>
        <v>1132069.738</v>
      </c>
    </row>
    <row r="31" spans="1:19" ht="12.75">
      <c r="A31" s="1" t="s">
        <v>19</v>
      </c>
      <c r="B31" s="14">
        <v>376988</v>
      </c>
      <c r="C31" s="14">
        <v>385470</v>
      </c>
      <c r="D31" s="14">
        <v>398605</v>
      </c>
      <c r="E31" s="65">
        <v>408086</v>
      </c>
      <c r="F31" s="65">
        <v>422402</v>
      </c>
      <c r="G31" s="65">
        <v>437615</v>
      </c>
      <c r="H31" s="1">
        <v>453301</v>
      </c>
      <c r="I31" s="1">
        <v>468356</v>
      </c>
      <c r="J31" s="1">
        <v>500379</v>
      </c>
      <c r="K31" s="1">
        <v>527648.158</v>
      </c>
      <c r="L31" s="15">
        <f>(K31-J31)*100/J31</f>
        <v>5.449700726849059</v>
      </c>
      <c r="M31" s="16">
        <f>(K31-O31)*100/O31</f>
        <v>51.11757168551169</v>
      </c>
      <c r="N31" s="21"/>
      <c r="O31" s="14">
        <v>349164</v>
      </c>
      <c r="P31" s="14"/>
      <c r="R31" s="3">
        <v>527648158</v>
      </c>
      <c r="S31" s="3">
        <f>R31/1000</f>
        <v>527648.158</v>
      </c>
    </row>
    <row r="32" spans="1:19" ht="12.75">
      <c r="A32" s="1" t="s">
        <v>20</v>
      </c>
      <c r="B32" s="14">
        <v>20192</v>
      </c>
      <c r="C32" s="14">
        <v>20730</v>
      </c>
      <c r="D32" s="14">
        <v>21929</v>
      </c>
      <c r="E32" s="65">
        <v>22607</v>
      </c>
      <c r="F32" s="65">
        <v>25707</v>
      </c>
      <c r="G32" s="65">
        <v>27058</v>
      </c>
      <c r="H32" s="1">
        <v>29258</v>
      </c>
      <c r="I32" s="1">
        <v>30978</v>
      </c>
      <c r="J32" s="1">
        <v>32757</v>
      </c>
      <c r="K32" s="1">
        <v>35007.413</v>
      </c>
      <c r="L32" s="15">
        <f>(K32-J32)*100/J32</f>
        <v>6.870021674756542</v>
      </c>
      <c r="M32" s="16">
        <f>(K32-O32)*100/O32</f>
        <v>88.92289800323799</v>
      </c>
      <c r="N32" s="21"/>
      <c r="O32" s="14">
        <v>18530</v>
      </c>
      <c r="P32" s="14"/>
      <c r="R32" s="3">
        <v>35007413</v>
      </c>
      <c r="S32" s="3">
        <f>R32/1000</f>
        <v>35007.413</v>
      </c>
    </row>
    <row r="33" spans="1:19" ht="12.75">
      <c r="A33" s="1" t="s">
        <v>21</v>
      </c>
      <c r="B33" s="14">
        <v>36252</v>
      </c>
      <c r="C33" s="14">
        <v>36256</v>
      </c>
      <c r="D33" s="14">
        <v>38631</v>
      </c>
      <c r="E33" s="65">
        <v>40060</v>
      </c>
      <c r="F33" s="65">
        <v>42888</v>
      </c>
      <c r="G33" s="65">
        <v>46460</v>
      </c>
      <c r="H33" s="1">
        <v>49691</v>
      </c>
      <c r="I33" s="1">
        <v>52520</v>
      </c>
      <c r="J33" s="1">
        <v>54535</v>
      </c>
      <c r="K33" s="1">
        <v>56214.697</v>
      </c>
      <c r="L33" s="15">
        <f>(K33-J33)*100/J33</f>
        <v>3.0800348400110025</v>
      </c>
      <c r="M33" s="16">
        <f>(K33-O33)*100/O33</f>
        <v>73.88319156175571</v>
      </c>
      <c r="N33" s="21"/>
      <c r="O33" s="14">
        <v>32329</v>
      </c>
      <c r="P33" s="14"/>
      <c r="R33" s="3">
        <v>56214697</v>
      </c>
      <c r="S33" s="3">
        <f>R33/1000</f>
        <v>56214.697</v>
      </c>
    </row>
    <row r="34" spans="1:19" ht="12.75">
      <c r="A34" s="1" t="s">
        <v>22</v>
      </c>
      <c r="B34" s="14">
        <v>6267</v>
      </c>
      <c r="C34" s="14">
        <v>6580</v>
      </c>
      <c r="D34" s="14">
        <v>6449</v>
      </c>
      <c r="E34" s="65">
        <v>7094</v>
      </c>
      <c r="F34" s="65">
        <v>7619</v>
      </c>
      <c r="G34" s="65">
        <v>8119</v>
      </c>
      <c r="H34" s="1">
        <v>8850</v>
      </c>
      <c r="I34" s="1">
        <v>8692</v>
      </c>
      <c r="J34" s="1">
        <v>8844</v>
      </c>
      <c r="K34" s="1">
        <v>8562.017</v>
      </c>
      <c r="L34" s="15">
        <f>(K34-J34)*100/J34</f>
        <v>-3.1884102216191788</v>
      </c>
      <c r="M34" s="16">
        <f>(K34-O34)*100/O34</f>
        <v>54.57694529698501</v>
      </c>
      <c r="N34" s="21"/>
      <c r="O34" s="14">
        <v>5539</v>
      </c>
      <c r="P34" s="14"/>
      <c r="R34" s="3">
        <v>8562017</v>
      </c>
      <c r="S34" s="3">
        <f>R34/1000</f>
        <v>8562.017</v>
      </c>
    </row>
    <row r="35" spans="2:16" ht="12.75">
      <c r="B35" s="14"/>
      <c r="C35" s="14"/>
      <c r="D35" s="14"/>
      <c r="E35" s="65"/>
      <c r="F35" s="65"/>
      <c r="G35" s="65"/>
      <c r="L35" s="15"/>
      <c r="M35" s="16"/>
      <c r="O35" s="14"/>
      <c r="P35" s="14"/>
    </row>
    <row r="36" spans="1:19" ht="12.75">
      <c r="A36" s="1" t="s">
        <v>23</v>
      </c>
      <c r="B36" s="14">
        <v>18550</v>
      </c>
      <c r="C36" s="14">
        <v>17675</v>
      </c>
      <c r="D36" s="14">
        <v>18578</v>
      </c>
      <c r="E36" s="65">
        <v>19162</v>
      </c>
      <c r="F36" s="65">
        <v>19949</v>
      </c>
      <c r="G36" s="65">
        <v>20946</v>
      </c>
      <c r="H36" s="1">
        <v>22370</v>
      </c>
      <c r="I36" s="1">
        <v>24072</v>
      </c>
      <c r="J36" s="1">
        <v>25804</v>
      </c>
      <c r="K36" s="1">
        <v>25845.786</v>
      </c>
      <c r="L36" s="15">
        <f>(K36-J36)*100/J36</f>
        <v>0.16193613393272382</v>
      </c>
      <c r="M36" s="16">
        <f>(K36-O36)*100/O36</f>
        <v>53.77988933182603</v>
      </c>
      <c r="N36" s="21"/>
      <c r="O36" s="14">
        <v>16807</v>
      </c>
      <c r="P36" s="14"/>
      <c r="R36" s="3">
        <v>25845786</v>
      </c>
      <c r="S36" s="3">
        <f>R36/1000</f>
        <v>25845.786</v>
      </c>
    </row>
    <row r="37" spans="1:19" ht="12.75">
      <c r="A37" s="1" t="s">
        <v>24</v>
      </c>
      <c r="B37" s="14">
        <v>45898</v>
      </c>
      <c r="C37" s="14">
        <v>47037</v>
      </c>
      <c r="D37" s="14">
        <v>48233</v>
      </c>
      <c r="E37" s="65">
        <v>51661</v>
      </c>
      <c r="F37" s="65">
        <v>55841</v>
      </c>
      <c r="G37" s="65">
        <v>60440</v>
      </c>
      <c r="H37" s="1">
        <v>64576</v>
      </c>
      <c r="I37" s="1">
        <v>69564</v>
      </c>
      <c r="J37" s="1">
        <v>72071</v>
      </c>
      <c r="K37" s="1">
        <v>74824.84812000001</v>
      </c>
      <c r="L37" s="15">
        <f>(K37-J37)*100/J37</f>
        <v>3.8210211041889384</v>
      </c>
      <c r="M37" s="16">
        <f>(K37-O37)*100/O37</f>
        <v>73.11350003470376</v>
      </c>
      <c r="N37" s="21"/>
      <c r="O37" s="14">
        <v>43223</v>
      </c>
      <c r="P37" s="14"/>
      <c r="R37" s="3">
        <v>74824848.12</v>
      </c>
      <c r="S37" s="3">
        <f>R37/1000</f>
        <v>74824.84812000001</v>
      </c>
    </row>
    <row r="38" spans="1:19" ht="12.75">
      <c r="A38" s="1" t="s">
        <v>25</v>
      </c>
      <c r="B38" s="14">
        <v>29526</v>
      </c>
      <c r="C38" s="14">
        <v>28153</v>
      </c>
      <c r="D38" s="14">
        <v>30343</v>
      </c>
      <c r="E38" s="65">
        <v>31788</v>
      </c>
      <c r="F38" s="65">
        <v>35426</v>
      </c>
      <c r="G38" s="65">
        <v>38144</v>
      </c>
      <c r="H38" s="1">
        <v>42844</v>
      </c>
      <c r="I38" s="1">
        <v>43744</v>
      </c>
      <c r="J38" s="1">
        <v>44665</v>
      </c>
      <c r="K38" s="1">
        <v>45679.815</v>
      </c>
      <c r="L38" s="15">
        <f>(K38-J38)*100/J38</f>
        <v>2.272058658905188</v>
      </c>
      <c r="M38" s="16">
        <f>(K38-O38)*100/O38</f>
        <v>67.24568886610773</v>
      </c>
      <c r="N38" s="21"/>
      <c r="O38" s="14">
        <v>27313</v>
      </c>
      <c r="P38" s="14"/>
      <c r="R38" s="3">
        <v>45679815</v>
      </c>
      <c r="S38" s="3">
        <f>R38/1000</f>
        <v>45679.815</v>
      </c>
    </row>
    <row r="39" spans="1:19" ht="12.75">
      <c r="A39" s="1" t="s">
        <v>26</v>
      </c>
      <c r="B39" s="14">
        <v>30222</v>
      </c>
      <c r="C39" s="14">
        <v>31142</v>
      </c>
      <c r="D39" s="14">
        <v>32438</v>
      </c>
      <c r="E39" s="66">
        <v>35395</v>
      </c>
      <c r="F39" s="65">
        <v>36078</v>
      </c>
      <c r="G39" s="65">
        <v>37548</v>
      </c>
      <c r="H39" s="1">
        <v>40808</v>
      </c>
      <c r="I39" s="1">
        <v>44537</v>
      </c>
      <c r="J39" s="1">
        <v>47480</v>
      </c>
      <c r="K39" s="1">
        <v>48163.739</v>
      </c>
      <c r="L39" s="15">
        <f>(K39-J39)*100/J39</f>
        <v>1.4400568660488655</v>
      </c>
      <c r="M39" s="16">
        <f>(K39-O39)*100/O39</f>
        <v>67.77114044865543</v>
      </c>
      <c r="N39" s="21"/>
      <c r="O39" s="14">
        <v>28708</v>
      </c>
      <c r="P39" s="14"/>
      <c r="R39" s="3">
        <v>48163739</v>
      </c>
      <c r="S39" s="3">
        <f>R39/1000</f>
        <v>48163.739</v>
      </c>
    </row>
    <row r="40" spans="1:14" ht="12.75">
      <c r="A40" s="18"/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  <row r="47" spans="2:3" ht="12.75">
      <c r="B47" s="14"/>
      <c r="C47" s="14"/>
    </row>
    <row r="48" spans="2:3" ht="12.75">
      <c r="B48" s="14"/>
      <c r="C48" s="14"/>
    </row>
    <row r="49" spans="2:3" ht="12.75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ht="12.75">
      <c r="C52" s="14"/>
    </row>
    <row r="53" ht="12.75">
      <c r="C53" s="14"/>
    </row>
  </sheetData>
  <printOptions/>
  <pageMargins left="0.4" right="0.41" top="1" bottom="1" header="0.5" footer="0.5"/>
  <pageSetup fitToHeight="1" fitToWidth="1" orientation="landscape" scale="79" r:id="rId1"/>
  <headerFooter alignWithMargins="0">
    <oddFooter>&amp;L&amp;"Lucida Sans,Italic"&amp;10MSDE-DBS  1 / 2006&amp;C- 4 -&amp;R&amp;"Lucida Sans,Italic"&amp;10Selected Financial Data - Part 4</oddFooter>
  </headerFooter>
  <rowBreaks count="1" manualBreakCount="1"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workbookViewId="0" topLeftCell="A4">
      <selection activeCell="A4" sqref="A4:M4"/>
    </sheetView>
  </sheetViews>
  <sheetFormatPr defaultColWidth="9.00390625" defaultRowHeight="15.75"/>
  <cols>
    <col min="1" max="1" width="12.875" style="1" customWidth="1"/>
    <col min="2" max="10" width="12.625" style="1" customWidth="1"/>
    <col min="11" max="11" width="11.25390625" style="1" customWidth="1"/>
    <col min="12" max="12" width="7.875" style="1" customWidth="1"/>
    <col min="13" max="13" width="8.375" style="1" customWidth="1"/>
    <col min="14" max="14" width="6.625" style="1" customWidth="1"/>
    <col min="15" max="15" width="12.625" style="1" customWidth="1"/>
    <col min="16" max="16" width="4.375" style="3" customWidth="1"/>
    <col min="17" max="16384" width="10.00390625" style="3" customWidth="1"/>
  </cols>
  <sheetData>
    <row r="1" spans="1:15" ht="15.75" customHeight="1">
      <c r="A1" s="228" t="s">
        <v>70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108"/>
      <c r="O1" s="108"/>
    </row>
    <row r="2" spans="1:15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12.75">
      <c r="A3" s="228" t="s">
        <v>34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08"/>
      <c r="O3" s="219" t="s">
        <v>181</v>
      </c>
    </row>
    <row r="4" spans="1:15" ht="12.75">
      <c r="A4" s="228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8"/>
      <c r="O4" s="108"/>
    </row>
    <row r="5" spans="1:15" ht="13.5" thickBot="1">
      <c r="A5" s="22"/>
      <c r="B5" s="22"/>
      <c r="C5" s="22"/>
      <c r="D5" s="22"/>
      <c r="E5" s="22"/>
      <c r="F5" s="22"/>
      <c r="O5" s="22"/>
    </row>
    <row r="6" spans="1:18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7"/>
      <c r="O6" s="5"/>
      <c r="Q6" s="204" t="s">
        <v>186</v>
      </c>
      <c r="R6" s="205"/>
    </row>
    <row r="7" spans="12:18" ht="12.75">
      <c r="L7" s="227" t="s">
        <v>28</v>
      </c>
      <c r="M7" s="227"/>
      <c r="N7" s="210"/>
      <c r="Q7" s="206" t="s">
        <v>187</v>
      </c>
      <c r="R7" s="207"/>
    </row>
    <row r="8" spans="1:18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5" t="s">
        <v>59</v>
      </c>
      <c r="M8" s="25" t="s">
        <v>60</v>
      </c>
      <c r="N8" s="25"/>
      <c r="O8" s="7"/>
      <c r="Q8" s="208" t="s">
        <v>165</v>
      </c>
      <c r="R8" s="209"/>
    </row>
    <row r="9" spans="1:18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25"/>
      <c r="O9" s="33" t="s">
        <v>158</v>
      </c>
      <c r="Q9" s="3" t="s">
        <v>180</v>
      </c>
      <c r="R9" s="20" t="s">
        <v>167</v>
      </c>
    </row>
    <row r="10" spans="1:18" ht="12.75">
      <c r="A10" s="7" t="s">
        <v>2</v>
      </c>
      <c r="B10" s="23">
        <v>269938</v>
      </c>
      <c r="C10" s="23">
        <v>271776</v>
      </c>
      <c r="D10" s="23">
        <v>303882</v>
      </c>
      <c r="E10" s="23">
        <v>328358</v>
      </c>
      <c r="F10" s="23">
        <v>362568</v>
      </c>
      <c r="G10" s="23">
        <v>397904</v>
      </c>
      <c r="H10" s="23">
        <v>479697</v>
      </c>
      <c r="I10" s="23">
        <v>529948</v>
      </c>
      <c r="J10" s="23">
        <f>SUM(J12:J39)</f>
        <v>571041</v>
      </c>
      <c r="K10" s="23">
        <v>575837</v>
      </c>
      <c r="L10" s="12">
        <f>(K10-J10)/J10</f>
        <v>0.008398696415844046</v>
      </c>
      <c r="M10" s="12">
        <f>(K10-O10)/O10</f>
        <v>1.2286007314666099</v>
      </c>
      <c r="N10" s="12"/>
      <c r="O10" s="11">
        <v>258385</v>
      </c>
      <c r="Q10" s="3">
        <v>575840541</v>
      </c>
      <c r="R10" s="29">
        <f>SUM(R12:R39)</f>
        <v>575840.5421600002</v>
      </c>
    </row>
    <row r="11" spans="2:14" ht="12.75">
      <c r="B11" s="14"/>
      <c r="C11" s="14"/>
      <c r="D11" s="14"/>
      <c r="E11" s="14"/>
      <c r="F11" s="14"/>
      <c r="G11" s="14"/>
      <c r="H11" s="14"/>
      <c r="I11" s="14"/>
      <c r="J11" s="14"/>
      <c r="K11" s="14"/>
      <c r="M11" s="14"/>
      <c r="N11" s="14"/>
    </row>
    <row r="12" spans="1:18" ht="12.75">
      <c r="A12" s="1" t="s">
        <v>3</v>
      </c>
      <c r="B12" s="14">
        <v>5867</v>
      </c>
      <c r="C12" s="14">
        <v>6228</v>
      </c>
      <c r="D12" s="14">
        <v>6769</v>
      </c>
      <c r="E12" s="14">
        <v>6681</v>
      </c>
      <c r="F12" s="14">
        <v>8135</v>
      </c>
      <c r="G12" s="14">
        <v>10008</v>
      </c>
      <c r="H12" s="14">
        <v>9702</v>
      </c>
      <c r="I12" s="14">
        <v>10787</v>
      </c>
      <c r="J12" s="14">
        <v>10844</v>
      </c>
      <c r="K12" s="14">
        <v>11710</v>
      </c>
      <c r="L12" s="15">
        <f>(K12-J12)*100/J12</f>
        <v>7.985983032091479</v>
      </c>
      <c r="M12" s="16">
        <f>(K12-O12)*100/O12</f>
        <v>106.8904593639576</v>
      </c>
      <c r="N12" s="16"/>
      <c r="O12" s="14">
        <v>5660</v>
      </c>
      <c r="Q12" s="3">
        <v>11710150</v>
      </c>
      <c r="R12" s="3">
        <f>Q12/1000</f>
        <v>11710.15</v>
      </c>
    </row>
    <row r="13" spans="1:18" ht="12.75">
      <c r="A13" s="1" t="s">
        <v>4</v>
      </c>
      <c r="B13" s="14">
        <v>16930</v>
      </c>
      <c r="C13" s="14">
        <v>17941</v>
      </c>
      <c r="D13" s="14">
        <v>15365</v>
      </c>
      <c r="E13" s="14">
        <v>18958</v>
      </c>
      <c r="F13" s="14">
        <v>23140</v>
      </c>
      <c r="G13" s="14">
        <v>22160</v>
      </c>
      <c r="H13" s="14">
        <v>29263</v>
      </c>
      <c r="I13" s="14">
        <v>32619</v>
      </c>
      <c r="J13" s="14">
        <v>36241</v>
      </c>
      <c r="K13" s="14">
        <v>39519</v>
      </c>
      <c r="L13" s="15">
        <f>(K13-J13)*100/J13</f>
        <v>9.045004276923926</v>
      </c>
      <c r="M13" s="16">
        <f>(K13-O13)*100/O13</f>
        <v>134.98037816625043</v>
      </c>
      <c r="N13" s="16"/>
      <c r="O13" s="14">
        <v>16818</v>
      </c>
      <c r="Q13" s="3">
        <v>39518655</v>
      </c>
      <c r="R13" s="3">
        <f>Q13/1000</f>
        <v>39518.655</v>
      </c>
    </row>
    <row r="14" spans="1:18" ht="12.75">
      <c r="A14" s="1" t="s">
        <v>5</v>
      </c>
      <c r="B14" s="14">
        <v>78577</v>
      </c>
      <c r="C14" s="14">
        <v>79756</v>
      </c>
      <c r="D14" s="14">
        <v>99987</v>
      </c>
      <c r="E14" s="14">
        <v>98507</v>
      </c>
      <c r="F14" s="14">
        <v>107912</v>
      </c>
      <c r="G14" s="14">
        <v>107464</v>
      </c>
      <c r="H14" s="14">
        <v>148228</v>
      </c>
      <c r="I14" s="14">
        <v>150340</v>
      </c>
      <c r="J14" s="14">
        <v>142798</v>
      </c>
      <c r="K14" s="14">
        <v>113610</v>
      </c>
      <c r="L14" s="15">
        <f>(K14-J14)*100/J14</f>
        <v>-20.4400621857449</v>
      </c>
      <c r="M14" s="16">
        <f>(K14-O14)*100/O14</f>
        <v>49.68971105577295</v>
      </c>
      <c r="N14" s="16"/>
      <c r="O14" s="14">
        <v>75897</v>
      </c>
      <c r="Q14" s="3">
        <v>113610304</v>
      </c>
      <c r="R14" s="3">
        <f>Q14/1000</f>
        <v>113610.304</v>
      </c>
    </row>
    <row r="15" spans="1:18" ht="12.75">
      <c r="A15" s="1" t="s">
        <v>6</v>
      </c>
      <c r="B15" s="14">
        <v>27499</v>
      </c>
      <c r="C15" s="14">
        <v>26910</v>
      </c>
      <c r="D15" s="14">
        <v>34839</v>
      </c>
      <c r="E15" s="14">
        <v>37629</v>
      </c>
      <c r="F15" s="14">
        <v>37275</v>
      </c>
      <c r="G15" s="14">
        <v>42527</v>
      </c>
      <c r="H15" s="14">
        <v>46767</v>
      </c>
      <c r="I15" s="14">
        <v>51438</v>
      </c>
      <c r="J15" s="14">
        <v>61460</v>
      </c>
      <c r="K15" s="14">
        <v>67682</v>
      </c>
      <c r="L15" s="15">
        <f>(K15-J15)*100/J15</f>
        <v>10.123657663520989</v>
      </c>
      <c r="M15" s="16">
        <f>(K15-O15)*100/O15</f>
        <v>166.7376054228738</v>
      </c>
      <c r="N15" s="16"/>
      <c r="O15" s="14">
        <v>25374</v>
      </c>
      <c r="Q15" s="3">
        <v>67681614</v>
      </c>
      <c r="R15" s="3">
        <f>Q15/1000</f>
        <v>67681.614</v>
      </c>
    </row>
    <row r="16" spans="1:18" ht="12.75">
      <c r="A16" s="1" t="s">
        <v>7</v>
      </c>
      <c r="B16" s="14">
        <v>2791</v>
      </c>
      <c r="C16" s="14">
        <v>2835</v>
      </c>
      <c r="D16" s="14">
        <v>3145</v>
      </c>
      <c r="E16" s="14">
        <v>3644</v>
      </c>
      <c r="F16" s="14">
        <v>4413</v>
      </c>
      <c r="G16" s="14">
        <v>5110</v>
      </c>
      <c r="H16" s="14">
        <v>6178</v>
      </c>
      <c r="I16" s="14">
        <v>7001</v>
      </c>
      <c r="J16" s="14">
        <v>7545</v>
      </c>
      <c r="K16" s="14">
        <v>8781</v>
      </c>
      <c r="L16" s="15">
        <f>(K16-J16)*100/J16</f>
        <v>16.381709741550697</v>
      </c>
      <c r="M16" s="16">
        <f>(K16-O16)*100/O16</f>
        <v>217.00361010830323</v>
      </c>
      <c r="N16" s="16"/>
      <c r="O16" s="14">
        <v>2770</v>
      </c>
      <c r="Q16" s="3">
        <v>8781393</v>
      </c>
      <c r="R16" s="3">
        <f>Q16/1000</f>
        <v>8781.393</v>
      </c>
    </row>
    <row r="17" spans="2:15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4"/>
    </row>
    <row r="18" spans="1:18" ht="12.75">
      <c r="A18" s="1" t="s">
        <v>8</v>
      </c>
      <c r="B18" s="14">
        <v>2198</v>
      </c>
      <c r="C18" s="14">
        <v>2503</v>
      </c>
      <c r="D18" s="14">
        <v>2455</v>
      </c>
      <c r="E18" s="14">
        <v>2437</v>
      </c>
      <c r="F18" s="14">
        <v>3092</v>
      </c>
      <c r="G18" s="14">
        <v>3248</v>
      </c>
      <c r="H18" s="14">
        <v>3549</v>
      </c>
      <c r="I18" s="14">
        <v>4620</v>
      </c>
      <c r="J18" s="14">
        <v>4723</v>
      </c>
      <c r="K18" s="14">
        <v>4924</v>
      </c>
      <c r="L18" s="15">
        <f>(K18-J18)*100/J18</f>
        <v>4.255769637941986</v>
      </c>
      <c r="M18" s="16">
        <f>(K18-O18)*100/O18</f>
        <v>132.37376120811703</v>
      </c>
      <c r="N18" s="16"/>
      <c r="O18" s="14">
        <v>2119</v>
      </c>
      <c r="Q18" s="3">
        <v>4924429.5</v>
      </c>
      <c r="R18" s="3">
        <f>Q18/1000</f>
        <v>4924.4295</v>
      </c>
    </row>
    <row r="19" spans="1:18" ht="12.75">
      <c r="A19" s="1" t="s">
        <v>9</v>
      </c>
      <c r="B19" s="14">
        <v>4786</v>
      </c>
      <c r="C19" s="14">
        <v>4526</v>
      </c>
      <c r="D19" s="14">
        <v>4633</v>
      </c>
      <c r="E19" s="14">
        <v>4990</v>
      </c>
      <c r="F19" s="14">
        <v>6397</v>
      </c>
      <c r="G19" s="14">
        <v>6924</v>
      </c>
      <c r="H19" s="14">
        <v>8639</v>
      </c>
      <c r="I19" s="14">
        <v>9611</v>
      </c>
      <c r="J19" s="14">
        <v>11984</v>
      </c>
      <c r="K19" s="14">
        <v>13144</v>
      </c>
      <c r="L19" s="15">
        <f>(K19-J19)*100/J19</f>
        <v>9.679572763684913</v>
      </c>
      <c r="M19" s="16">
        <f>(K19-O19)*100/O19</f>
        <v>190.47513812154696</v>
      </c>
      <c r="N19" s="16"/>
      <c r="O19" s="14">
        <v>4525</v>
      </c>
      <c r="Q19" s="3">
        <v>13143958</v>
      </c>
      <c r="R19" s="3">
        <f>Q19/1000</f>
        <v>13143.958</v>
      </c>
    </row>
    <row r="20" spans="1:18" ht="12.75">
      <c r="A20" s="1" t="s">
        <v>10</v>
      </c>
      <c r="B20" s="14">
        <v>3774</v>
      </c>
      <c r="C20" s="14">
        <v>3672</v>
      </c>
      <c r="D20" s="14">
        <v>3914</v>
      </c>
      <c r="E20" s="14">
        <v>4527</v>
      </c>
      <c r="F20" s="14">
        <v>5495</v>
      </c>
      <c r="G20" s="14">
        <v>5975</v>
      </c>
      <c r="H20" s="14">
        <v>7167</v>
      </c>
      <c r="I20" s="14">
        <v>8469</v>
      </c>
      <c r="J20" s="14">
        <v>9014</v>
      </c>
      <c r="K20" s="14">
        <v>9789</v>
      </c>
      <c r="L20" s="15">
        <f>(K20-J20)*100/J20</f>
        <v>8.597736853783005</v>
      </c>
      <c r="M20" s="16">
        <f>(K20-O20)*100/O20</f>
        <v>179.5259851513421</v>
      </c>
      <c r="N20" s="16"/>
      <c r="O20" s="14">
        <v>3502</v>
      </c>
      <c r="Q20" s="3">
        <v>9789152</v>
      </c>
      <c r="R20" s="3">
        <f>Q20/1000</f>
        <v>9789.152</v>
      </c>
    </row>
    <row r="21" spans="1:18" ht="12.75">
      <c r="A21" s="1" t="s">
        <v>11</v>
      </c>
      <c r="B21" s="14">
        <v>5570</v>
      </c>
      <c r="C21" s="14">
        <v>5085</v>
      </c>
      <c r="D21" s="14">
        <v>4982</v>
      </c>
      <c r="E21" s="14">
        <v>5929</v>
      </c>
      <c r="F21" s="14">
        <v>7204</v>
      </c>
      <c r="G21" s="14">
        <v>8237</v>
      </c>
      <c r="H21" s="14">
        <v>9045</v>
      </c>
      <c r="I21" s="14">
        <v>10022</v>
      </c>
      <c r="J21" s="14">
        <v>12243</v>
      </c>
      <c r="K21" s="14">
        <v>13581</v>
      </c>
      <c r="L21" s="15">
        <f>(K21-J21)*100/J21</f>
        <v>10.928693947561872</v>
      </c>
      <c r="M21" s="16">
        <f>(K21-O21)*100/O21</f>
        <v>148.37234820775421</v>
      </c>
      <c r="N21" s="16"/>
      <c r="O21" s="14">
        <v>5468</v>
      </c>
      <c r="Q21" s="3">
        <v>13580722</v>
      </c>
      <c r="R21" s="3">
        <f>Q21/1000</f>
        <v>13580.722</v>
      </c>
    </row>
    <row r="22" spans="1:18" ht="12.75">
      <c r="A22" s="1" t="s">
        <v>12</v>
      </c>
      <c r="B22" s="14">
        <v>2968</v>
      </c>
      <c r="C22" s="14">
        <v>2977</v>
      </c>
      <c r="D22" s="14">
        <v>3325</v>
      </c>
      <c r="E22" s="14">
        <v>3445</v>
      </c>
      <c r="F22" s="14">
        <v>3624</v>
      </c>
      <c r="G22" s="14">
        <v>4898</v>
      </c>
      <c r="H22" s="14">
        <v>5291</v>
      </c>
      <c r="I22" s="14">
        <v>5086</v>
      </c>
      <c r="J22" s="14">
        <v>5616</v>
      </c>
      <c r="K22" s="14">
        <v>5182</v>
      </c>
      <c r="L22" s="15">
        <f>(K22-J22)*100/J22</f>
        <v>-7.727920227920228</v>
      </c>
      <c r="M22" s="16">
        <f>(K22-O22)*100/O22</f>
        <v>68.35607537361923</v>
      </c>
      <c r="N22" s="16"/>
      <c r="O22" s="14">
        <v>3078</v>
      </c>
      <c r="Q22" s="3">
        <v>5182023.92</v>
      </c>
      <c r="R22" s="3">
        <f>Q22/1000</f>
        <v>5182.02392</v>
      </c>
    </row>
    <row r="23" spans="2:15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4"/>
    </row>
    <row r="24" spans="1:18" ht="12.75">
      <c r="A24" s="1" t="s">
        <v>13</v>
      </c>
      <c r="B24" s="14">
        <v>6265</v>
      </c>
      <c r="C24" s="14">
        <v>6355</v>
      </c>
      <c r="D24" s="14">
        <v>5971</v>
      </c>
      <c r="E24" s="14">
        <v>7285</v>
      </c>
      <c r="F24" s="14">
        <v>8922</v>
      </c>
      <c r="G24" s="14">
        <v>9939</v>
      </c>
      <c r="H24" s="14">
        <v>10691</v>
      </c>
      <c r="I24" s="14">
        <v>13395</v>
      </c>
      <c r="J24" s="14">
        <v>14906</v>
      </c>
      <c r="K24" s="14">
        <v>15571</v>
      </c>
      <c r="L24" s="15">
        <f>(K24-J24)*100/J24</f>
        <v>4.46129075540051</v>
      </c>
      <c r="M24" s="16">
        <f>(K24-O24)*100/O24</f>
        <v>171.93503318197693</v>
      </c>
      <c r="N24" s="16"/>
      <c r="O24" s="14">
        <v>5726</v>
      </c>
      <c r="Q24" s="3">
        <v>15571457</v>
      </c>
      <c r="R24" s="3">
        <f>Q24/1000</f>
        <v>15571.457</v>
      </c>
    </row>
    <row r="25" spans="1:18" ht="12.75">
      <c r="A25" s="1" t="s">
        <v>14</v>
      </c>
      <c r="B25" s="14">
        <v>2750</v>
      </c>
      <c r="C25" s="14">
        <v>2750</v>
      </c>
      <c r="D25" s="14">
        <v>3035</v>
      </c>
      <c r="E25" s="14">
        <v>3226</v>
      </c>
      <c r="F25" s="14">
        <v>3768</v>
      </c>
      <c r="G25" s="14">
        <v>3998</v>
      </c>
      <c r="H25" s="14">
        <v>4597</v>
      </c>
      <c r="I25" s="14">
        <v>5006</v>
      </c>
      <c r="J25" s="14">
        <v>4798</v>
      </c>
      <c r="K25" s="14">
        <v>5111</v>
      </c>
      <c r="L25" s="15">
        <f>(K25-J25)*100/J25</f>
        <v>6.523551479783243</v>
      </c>
      <c r="M25" s="16">
        <f>(K25-O25)*100/O25</f>
        <v>99.25925925925925</v>
      </c>
      <c r="N25" s="16"/>
      <c r="O25" s="14">
        <v>2565</v>
      </c>
      <c r="Q25" s="3">
        <v>5111040.61</v>
      </c>
      <c r="R25" s="3">
        <f>Q25/1000</f>
        <v>5111.04061</v>
      </c>
    </row>
    <row r="26" spans="1:18" ht="12.75">
      <c r="A26" s="1" t="s">
        <v>15</v>
      </c>
      <c r="B26" s="14">
        <v>8297</v>
      </c>
      <c r="C26" s="14">
        <v>7892</v>
      </c>
      <c r="D26" s="14">
        <v>8890</v>
      </c>
      <c r="E26" s="14">
        <v>8683</v>
      </c>
      <c r="F26" s="14">
        <v>10459</v>
      </c>
      <c r="G26" s="14">
        <v>11452</v>
      </c>
      <c r="H26" s="14">
        <v>14522</v>
      </c>
      <c r="I26" s="14">
        <v>17580</v>
      </c>
      <c r="J26" s="14">
        <v>18815</v>
      </c>
      <c r="K26" s="14">
        <v>19675</v>
      </c>
      <c r="L26" s="15">
        <f>(K26-J26)*100/J26</f>
        <v>4.570821153335105</v>
      </c>
      <c r="M26" s="16">
        <f>(K26-O26)*100/O26</f>
        <v>128.24825986078886</v>
      </c>
      <c r="N26" s="16"/>
      <c r="O26" s="14">
        <v>8620</v>
      </c>
      <c r="Q26" s="3">
        <v>19675189</v>
      </c>
      <c r="R26" s="3">
        <f>Q26/1000</f>
        <v>19675.189</v>
      </c>
    </row>
    <row r="27" spans="1:18" ht="12.75">
      <c r="A27" s="1" t="s">
        <v>16</v>
      </c>
      <c r="B27" s="14">
        <v>4694</v>
      </c>
      <c r="C27" s="14">
        <v>4650</v>
      </c>
      <c r="D27" s="14">
        <v>5407</v>
      </c>
      <c r="E27" s="14">
        <v>7342</v>
      </c>
      <c r="F27" s="14">
        <v>7309</v>
      </c>
      <c r="G27" s="14">
        <v>9140</v>
      </c>
      <c r="H27" s="14">
        <v>10152</v>
      </c>
      <c r="I27" s="14">
        <v>11280</v>
      </c>
      <c r="J27" s="14">
        <v>14474</v>
      </c>
      <c r="K27" s="14">
        <v>17975</v>
      </c>
      <c r="L27" s="15">
        <f>(K27-J27)*100/J27</f>
        <v>24.18819953019207</v>
      </c>
      <c r="M27" s="16">
        <f>(K27-O27)*100/O27</f>
        <v>293.670608848007</v>
      </c>
      <c r="N27" s="16"/>
      <c r="O27" s="14">
        <v>4566</v>
      </c>
      <c r="Q27" s="3">
        <v>17975285</v>
      </c>
      <c r="R27" s="3">
        <f>Q27/1000</f>
        <v>17975.285</v>
      </c>
    </row>
    <row r="28" spans="1:18" ht="12.75">
      <c r="A28" s="1" t="s">
        <v>17</v>
      </c>
      <c r="B28" s="14">
        <v>1202</v>
      </c>
      <c r="C28" s="14">
        <v>1394</v>
      </c>
      <c r="D28" s="14">
        <v>1346</v>
      </c>
      <c r="E28" s="14">
        <v>1809</v>
      </c>
      <c r="F28" s="14">
        <v>2242</v>
      </c>
      <c r="G28" s="14">
        <v>2339</v>
      </c>
      <c r="H28" s="14">
        <v>2721</v>
      </c>
      <c r="I28" s="14">
        <v>3290</v>
      </c>
      <c r="J28" s="14">
        <v>3141</v>
      </c>
      <c r="K28" s="14">
        <v>2671</v>
      </c>
      <c r="L28" s="15">
        <f>(K28-J28)*100/J28</f>
        <v>-14.963387456224133</v>
      </c>
      <c r="M28" s="16">
        <f>(K28-O28)*100/O28</f>
        <v>139.336917562724</v>
      </c>
      <c r="N28" s="16"/>
      <c r="O28" s="14">
        <v>1116</v>
      </c>
      <c r="Q28" s="3">
        <v>2671228.45</v>
      </c>
      <c r="R28" s="3">
        <f>Q28/1000</f>
        <v>2671.22845</v>
      </c>
    </row>
    <row r="29" spans="2:15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4"/>
    </row>
    <row r="30" spans="1:18" ht="12.75">
      <c r="A30" s="1" t="s">
        <v>18</v>
      </c>
      <c r="B30" s="14">
        <v>29313</v>
      </c>
      <c r="C30" s="14">
        <v>29559</v>
      </c>
      <c r="D30" s="14">
        <v>30528</v>
      </c>
      <c r="E30" s="14">
        <v>34007</v>
      </c>
      <c r="F30" s="14">
        <v>36902</v>
      </c>
      <c r="G30" s="14">
        <v>44300</v>
      </c>
      <c r="H30" s="14">
        <v>48939</v>
      </c>
      <c r="I30" s="14">
        <v>55404</v>
      </c>
      <c r="J30" s="14">
        <v>68993</v>
      </c>
      <c r="K30" s="14">
        <v>74629</v>
      </c>
      <c r="L30" s="15">
        <f>(K30-J30)*100/J30</f>
        <v>8.168944675546795</v>
      </c>
      <c r="M30" s="16">
        <f>(K30-O30)*100/O30</f>
        <v>186.78092456672942</v>
      </c>
      <c r="N30" s="16"/>
      <c r="O30" s="14">
        <v>26023</v>
      </c>
      <c r="Q30" s="3">
        <v>74629364</v>
      </c>
      <c r="R30" s="3">
        <f>Q30/1000</f>
        <v>74629.364</v>
      </c>
    </row>
    <row r="31" spans="1:18" ht="12.75">
      <c r="A31" s="1" t="s">
        <v>19</v>
      </c>
      <c r="B31" s="14">
        <v>40610</v>
      </c>
      <c r="C31" s="14">
        <v>41359</v>
      </c>
      <c r="D31" s="14">
        <v>42276</v>
      </c>
      <c r="E31" s="14">
        <v>49353</v>
      </c>
      <c r="F31" s="14">
        <v>51654</v>
      </c>
      <c r="G31" s="14">
        <v>61040</v>
      </c>
      <c r="H31" s="14">
        <v>70195</v>
      </c>
      <c r="I31" s="14">
        <v>83055</v>
      </c>
      <c r="J31" s="14">
        <v>87536</v>
      </c>
      <c r="K31" s="14">
        <v>94808</v>
      </c>
      <c r="L31" s="15">
        <f>(K31-J31)*100/J31</f>
        <v>8.30743922500457</v>
      </c>
      <c r="M31" s="16">
        <f>(K31-O31)*100/O31</f>
        <v>138.0734751274389</v>
      </c>
      <c r="N31" s="16"/>
      <c r="O31" s="14">
        <v>39823</v>
      </c>
      <c r="Q31" s="3">
        <v>94808277</v>
      </c>
      <c r="R31" s="3">
        <f>Q31/1000</f>
        <v>94808.277</v>
      </c>
    </row>
    <row r="32" spans="1:18" ht="12.75">
      <c r="A32" s="1" t="s">
        <v>20</v>
      </c>
      <c r="B32" s="14">
        <v>1798</v>
      </c>
      <c r="C32" s="14">
        <v>1687</v>
      </c>
      <c r="D32" s="14">
        <v>1972</v>
      </c>
      <c r="E32" s="14">
        <v>2261</v>
      </c>
      <c r="F32" s="14">
        <v>2490</v>
      </c>
      <c r="G32" s="14">
        <v>2698</v>
      </c>
      <c r="H32" s="14">
        <v>3443</v>
      </c>
      <c r="I32" s="14">
        <v>4280</v>
      </c>
      <c r="J32" s="14">
        <v>4607</v>
      </c>
      <c r="K32" s="14">
        <v>4453</v>
      </c>
      <c r="L32" s="15">
        <f>(K32-J32)*100/J32</f>
        <v>-3.3427393097460385</v>
      </c>
      <c r="M32" s="16">
        <f>(K32-O32)*100/O32</f>
        <v>146.29424778761063</v>
      </c>
      <c r="N32" s="16"/>
      <c r="O32" s="14">
        <v>1808</v>
      </c>
      <c r="Q32" s="3">
        <v>4453155.9</v>
      </c>
      <c r="R32" s="3">
        <f>Q32/1000</f>
        <v>4453.155900000001</v>
      </c>
    </row>
    <row r="33" spans="1:18" ht="12.75">
      <c r="A33" s="1" t="s">
        <v>21</v>
      </c>
      <c r="B33" s="14">
        <v>5623</v>
      </c>
      <c r="C33" s="14">
        <v>5315</v>
      </c>
      <c r="D33" s="14">
        <v>5597</v>
      </c>
      <c r="E33" s="14">
        <v>5662</v>
      </c>
      <c r="F33" s="14">
        <v>6128</v>
      </c>
      <c r="G33" s="14">
        <v>7820</v>
      </c>
      <c r="H33" s="14">
        <v>9269</v>
      </c>
      <c r="I33" s="14">
        <v>11272</v>
      </c>
      <c r="J33" s="14">
        <v>12053</v>
      </c>
      <c r="K33" s="14">
        <v>13069</v>
      </c>
      <c r="L33" s="15">
        <f>(K33-J33)*100/J33</f>
        <v>8.429436654774745</v>
      </c>
      <c r="M33" s="16">
        <f>(K33-O33)*100/O33</f>
        <v>148.2712765957447</v>
      </c>
      <c r="N33" s="16"/>
      <c r="O33" s="14">
        <v>5264</v>
      </c>
      <c r="Q33" s="3">
        <v>13069164</v>
      </c>
      <c r="R33" s="3">
        <f>Q33/1000</f>
        <v>13069.164</v>
      </c>
    </row>
    <row r="34" spans="1:18" ht="12.75">
      <c r="A34" s="1" t="s">
        <v>22</v>
      </c>
      <c r="B34" s="14">
        <v>2575</v>
      </c>
      <c r="C34" s="14">
        <v>2473</v>
      </c>
      <c r="D34" s="14">
        <v>2697</v>
      </c>
      <c r="E34" s="14">
        <v>3062</v>
      </c>
      <c r="F34" s="14">
        <v>3255</v>
      </c>
      <c r="G34" s="14">
        <v>3488</v>
      </c>
      <c r="H34" s="14">
        <v>3796</v>
      </c>
      <c r="I34" s="14">
        <v>4611</v>
      </c>
      <c r="J34" s="14">
        <v>3989</v>
      </c>
      <c r="K34" s="14">
        <v>4212</v>
      </c>
      <c r="L34" s="15">
        <f>(K34-J34)*100/J34</f>
        <v>5.5903735271998</v>
      </c>
      <c r="M34" s="16">
        <f>(K34-O34)*100/O34</f>
        <v>78.1725888324873</v>
      </c>
      <c r="N34" s="16"/>
      <c r="O34" s="14">
        <v>2364</v>
      </c>
      <c r="Q34" s="3">
        <v>4212302.31</v>
      </c>
      <c r="R34" s="3">
        <f>Q34/1000</f>
        <v>4212.30231</v>
      </c>
    </row>
    <row r="35" spans="2:15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6"/>
      <c r="N35" s="16"/>
      <c r="O35" s="14"/>
    </row>
    <row r="36" spans="1:18" ht="12.75">
      <c r="A36" s="1" t="s">
        <v>23</v>
      </c>
      <c r="B36" s="14">
        <v>1295</v>
      </c>
      <c r="C36" s="14">
        <v>1391</v>
      </c>
      <c r="D36" s="14">
        <v>1450</v>
      </c>
      <c r="E36" s="14">
        <v>1675</v>
      </c>
      <c r="F36" s="14">
        <v>2181</v>
      </c>
      <c r="G36" s="14">
        <v>2518</v>
      </c>
      <c r="H36" s="14">
        <v>3121</v>
      </c>
      <c r="I36" s="14">
        <v>3433</v>
      </c>
      <c r="J36" s="14">
        <v>4135</v>
      </c>
      <c r="K36" s="14">
        <v>3308</v>
      </c>
      <c r="L36" s="15">
        <f>(K36-J36)*100/J36</f>
        <v>-20</v>
      </c>
      <c r="M36" s="16">
        <f>(K36-O36)*100/O36</f>
        <v>137.64367816091954</v>
      </c>
      <c r="N36" s="16"/>
      <c r="O36" s="14">
        <v>1392</v>
      </c>
      <c r="Q36" s="3">
        <v>3308308.47</v>
      </c>
      <c r="R36" s="3">
        <f>Q36/1000</f>
        <v>3308.3084700000004</v>
      </c>
    </row>
    <row r="37" spans="1:18" ht="12.75">
      <c r="A37" s="1" t="s">
        <v>24</v>
      </c>
      <c r="B37" s="14">
        <v>7633</v>
      </c>
      <c r="C37" s="14">
        <v>7206</v>
      </c>
      <c r="D37" s="14">
        <v>6995</v>
      </c>
      <c r="E37" s="14">
        <v>7222</v>
      </c>
      <c r="F37" s="14">
        <v>8684</v>
      </c>
      <c r="G37" s="14">
        <v>9776</v>
      </c>
      <c r="H37" s="14">
        <v>10092</v>
      </c>
      <c r="I37" s="14">
        <v>11026</v>
      </c>
      <c r="J37" s="14">
        <v>12325</v>
      </c>
      <c r="K37" s="14">
        <v>13012</v>
      </c>
      <c r="L37" s="15">
        <f>(K37-J37)*100/J37</f>
        <v>5.574036511156186</v>
      </c>
      <c r="M37" s="16">
        <f>(K37-O37)*100/O37</f>
        <v>79.20396639581325</v>
      </c>
      <c r="N37" s="16"/>
      <c r="O37" s="14">
        <v>7261</v>
      </c>
      <c r="Q37" s="3">
        <v>13012358</v>
      </c>
      <c r="R37" s="3">
        <f>Q37/1000</f>
        <v>13012.358</v>
      </c>
    </row>
    <row r="38" spans="1:18" ht="12.75">
      <c r="A38" s="1" t="s">
        <v>25</v>
      </c>
      <c r="B38" s="14">
        <v>4479</v>
      </c>
      <c r="C38" s="14">
        <v>4720</v>
      </c>
      <c r="D38" s="14">
        <v>5375</v>
      </c>
      <c r="E38" s="14">
        <v>6382</v>
      </c>
      <c r="F38" s="14">
        <v>7733</v>
      </c>
      <c r="G38" s="14">
        <v>8579</v>
      </c>
      <c r="H38" s="14">
        <v>9419</v>
      </c>
      <c r="I38" s="14">
        <v>10270</v>
      </c>
      <c r="J38" s="14">
        <v>11796</v>
      </c>
      <c r="K38" s="14">
        <v>12652</v>
      </c>
      <c r="L38" s="15">
        <f>(K38-J38)*100/J38</f>
        <v>7.256697185486606</v>
      </c>
      <c r="M38" s="16">
        <f>(K38-O38)*100/O38</f>
        <v>200.30856871587943</v>
      </c>
      <c r="N38" s="16"/>
      <c r="O38" s="14">
        <v>4213</v>
      </c>
      <c r="Q38" s="3">
        <v>12651976</v>
      </c>
      <c r="R38" s="3">
        <f>Q38/1000</f>
        <v>12651.976</v>
      </c>
    </row>
    <row r="39" spans="1:18" ht="12.75">
      <c r="A39" s="17" t="s">
        <v>26</v>
      </c>
      <c r="B39" s="14">
        <v>2444</v>
      </c>
      <c r="C39" s="14">
        <v>2592</v>
      </c>
      <c r="D39" s="14">
        <v>2929</v>
      </c>
      <c r="E39" s="14">
        <v>3642</v>
      </c>
      <c r="F39" s="14">
        <v>4154</v>
      </c>
      <c r="G39" s="14">
        <v>4266</v>
      </c>
      <c r="H39" s="14">
        <v>4911</v>
      </c>
      <c r="I39" s="14">
        <v>6053</v>
      </c>
      <c r="J39" s="14">
        <v>7005</v>
      </c>
      <c r="K39" s="14">
        <v>6769</v>
      </c>
      <c r="L39" s="15">
        <f>(K39-J39)*100/J39</f>
        <v>-3.3690221270521055</v>
      </c>
      <c r="M39" s="16">
        <f>(K39-O39)*100/O39</f>
        <v>178.21619399917796</v>
      </c>
      <c r="N39" s="16"/>
      <c r="O39" s="24">
        <v>2433</v>
      </c>
      <c r="Q39" s="3">
        <v>6769035</v>
      </c>
      <c r="R39" s="3">
        <f>Q39/1000</f>
        <v>6769.035</v>
      </c>
    </row>
    <row r="40" spans="1:15" ht="12.75">
      <c r="A40" s="1" t="s">
        <v>35</v>
      </c>
      <c r="B40" s="19"/>
      <c r="C40" s="19"/>
      <c r="D40" s="19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9"/>
    </row>
    <row r="41" spans="2:15" ht="12.75">
      <c r="B41" s="14"/>
      <c r="C41" s="14"/>
      <c r="D41" s="14"/>
      <c r="E41" s="14"/>
      <c r="F41" s="14"/>
      <c r="O41" s="14"/>
    </row>
    <row r="42" spans="1:15" ht="12.75">
      <c r="A42" s="3"/>
      <c r="B42" s="14"/>
      <c r="C42" s="14"/>
      <c r="D42" s="14"/>
      <c r="E42" s="14"/>
      <c r="F42" s="14"/>
      <c r="O42" s="14"/>
    </row>
    <row r="43" spans="2:15" ht="12.75">
      <c r="B43" s="14"/>
      <c r="C43" s="14"/>
      <c r="D43" s="14"/>
      <c r="E43" s="14"/>
      <c r="F43" s="14"/>
      <c r="O43" s="14"/>
    </row>
    <row r="44" spans="2:15" ht="12.75">
      <c r="B44" s="14"/>
      <c r="C44" s="14"/>
      <c r="D44" s="14"/>
      <c r="E44" s="14"/>
      <c r="F44" s="14"/>
      <c r="O44" s="14"/>
    </row>
    <row r="45" spans="2:15" ht="12.75">
      <c r="B45" s="14"/>
      <c r="C45" s="14"/>
      <c r="D45" s="14"/>
      <c r="E45" s="14"/>
      <c r="F45" s="14"/>
      <c r="O45" s="14"/>
    </row>
    <row r="46" spans="2:6" ht="12.75">
      <c r="B46" s="14"/>
      <c r="C46" s="14"/>
      <c r="D46" s="14"/>
      <c r="E46" s="14"/>
      <c r="F46" s="14"/>
    </row>
    <row r="47" spans="2:6" ht="12.75">
      <c r="B47" s="14"/>
      <c r="C47" s="14"/>
      <c r="D47" s="14"/>
      <c r="E47" s="14"/>
      <c r="F47" s="14"/>
    </row>
    <row r="48" spans="2:6" ht="12.75">
      <c r="B48" s="14"/>
      <c r="C48" s="14"/>
      <c r="D48" s="14"/>
      <c r="E48" s="14"/>
      <c r="F48" s="14"/>
    </row>
    <row r="49" spans="2:6" ht="12.75">
      <c r="B49" s="14"/>
      <c r="C49" s="14"/>
      <c r="D49" s="14"/>
      <c r="E49" s="14"/>
      <c r="F49" s="14"/>
    </row>
    <row r="50" spans="2:6" ht="12.75">
      <c r="B50" s="14"/>
      <c r="C50" s="14"/>
      <c r="D50" s="14"/>
      <c r="E50" s="14"/>
      <c r="F50" s="14"/>
    </row>
    <row r="51" spans="2:6" ht="12.75">
      <c r="B51" s="14"/>
      <c r="C51" s="14"/>
      <c r="D51" s="14"/>
      <c r="E51" s="14"/>
      <c r="F51" s="14"/>
    </row>
    <row r="52" spans="2:6" ht="12.75">
      <c r="B52" s="14"/>
      <c r="C52" s="14"/>
      <c r="D52" s="14"/>
      <c r="E52" s="14"/>
      <c r="F52" s="14"/>
    </row>
  </sheetData>
  <mergeCells count="4">
    <mergeCell ref="L7:M7"/>
    <mergeCell ref="A1:M1"/>
    <mergeCell ref="A3:M3"/>
    <mergeCell ref="A4:M4"/>
  </mergeCells>
  <printOptions/>
  <pageMargins left="0.54" right="0.45" top="1" bottom="0.87" header="0.5" footer="0.5"/>
  <pageSetup fitToHeight="1" fitToWidth="1" orientation="landscape" scale="77" r:id="rId1"/>
  <headerFooter alignWithMargins="0">
    <oddFooter>&amp;L&amp;"Lucida Sans,Italic"&amp;10MSDE-DBS  1 / 2006&amp;C- 5 -&amp;R&amp;"Lucida Sans,Italic"&amp;10Selected Financial Data - Part 4</oddFooter>
  </headerFooter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3">
      <selection activeCell="F3" sqref="F3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375" style="1" customWidth="1"/>
    <col min="13" max="14" width="6.625" style="1" customWidth="1"/>
    <col min="15" max="15" width="10.125" style="1" customWidth="1"/>
    <col min="16" max="16" width="10.25390625" style="3" customWidth="1"/>
    <col min="17" max="16384" width="12.875" style="3" customWidth="1"/>
  </cols>
  <sheetData>
    <row r="1" spans="1:15" s="115" customFormat="1" ht="15.75" customHeight="1">
      <c r="A1" s="108" t="s">
        <v>69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"/>
    </row>
    <row r="2" spans="1:15" s="115" customFormat="1" ht="12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2"/>
    </row>
    <row r="3" spans="1:15" s="115" customFormat="1" ht="12.75">
      <c r="A3" s="108" t="s">
        <v>170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"/>
    </row>
    <row r="4" spans="1:15" s="115" customFormat="1" ht="12.75">
      <c r="A4" s="108" t="s">
        <v>168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"/>
    </row>
    <row r="5" ht="13.5" thickBot="1">
      <c r="O5" s="219" t="s">
        <v>181</v>
      </c>
    </row>
    <row r="6" spans="1:18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7"/>
      <c r="Q6" s="204" t="s">
        <v>188</v>
      </c>
      <c r="R6" s="205"/>
    </row>
    <row r="7" spans="12:18" ht="12.75">
      <c r="L7" s="227" t="s">
        <v>28</v>
      </c>
      <c r="M7" s="227"/>
      <c r="N7" s="25"/>
      <c r="P7" s="1"/>
      <c r="Q7" s="206" t="s">
        <v>189</v>
      </c>
      <c r="R7" s="207"/>
    </row>
    <row r="8" spans="5:18" ht="12.75">
      <c r="E8" s="7"/>
      <c r="F8" s="7"/>
      <c r="G8" s="7"/>
      <c r="H8" s="7"/>
      <c r="I8" s="7"/>
      <c r="J8" s="7"/>
      <c r="K8" s="7"/>
      <c r="L8" s="25" t="s">
        <v>59</v>
      </c>
      <c r="M8" s="25" t="s">
        <v>60</v>
      </c>
      <c r="N8" s="25"/>
      <c r="P8" s="1"/>
      <c r="Q8" s="208" t="s">
        <v>165</v>
      </c>
      <c r="R8" s="209"/>
    </row>
    <row r="9" spans="1:18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9"/>
      <c r="O9" s="33" t="s">
        <v>158</v>
      </c>
      <c r="P9" s="7"/>
      <c r="Q9" s="3" t="s">
        <v>180</v>
      </c>
      <c r="R9" s="20" t="s">
        <v>167</v>
      </c>
    </row>
    <row r="10" spans="1:18" ht="12.75">
      <c r="A10" s="7" t="s">
        <v>2</v>
      </c>
      <c r="B10" s="13">
        <f aca="true" t="shared" si="0" ref="B10:H10">SUM(B12:B39)</f>
        <v>5547321</v>
      </c>
      <c r="C10" s="13">
        <f t="shared" si="0"/>
        <v>5738451</v>
      </c>
      <c r="D10" s="13">
        <f t="shared" si="0"/>
        <v>6121487</v>
      </c>
      <c r="E10" s="13">
        <f t="shared" si="0"/>
        <v>6416894</v>
      </c>
      <c r="F10" s="13">
        <f t="shared" si="0"/>
        <v>6762380</v>
      </c>
      <c r="G10" s="13">
        <f t="shared" si="0"/>
        <v>7264200</v>
      </c>
      <c r="H10" s="13">
        <f t="shared" si="0"/>
        <v>7837675</v>
      </c>
      <c r="I10" s="13">
        <f>SUM(I12:I39)</f>
        <v>8400373</v>
      </c>
      <c r="J10" s="13">
        <f>SUM(J12:J39)</f>
        <v>8611075</v>
      </c>
      <c r="K10" s="13">
        <f>SUM(K12:K39)</f>
        <v>8819687.634110002</v>
      </c>
      <c r="L10" s="12">
        <f>(K10-J10)/J10</f>
        <v>0.02422608490925951</v>
      </c>
      <c r="M10" s="12">
        <f>(K10-O10)/O10</f>
        <v>0.6706614887162902</v>
      </c>
      <c r="N10" s="12"/>
      <c r="O10" s="11">
        <f>SUM(O12:O39)</f>
        <v>5279159</v>
      </c>
      <c r="P10" s="11"/>
      <c r="Q10" s="11">
        <f>SUM(Q12:Q39)</f>
        <v>8819687634.11</v>
      </c>
      <c r="R10" s="11">
        <f>SUM(R12:R39)</f>
        <v>8819687.634110002</v>
      </c>
    </row>
    <row r="11" spans="2:16" ht="12.75">
      <c r="B11" s="84"/>
      <c r="C11" s="84"/>
      <c r="D11" s="84"/>
      <c r="E11" s="84"/>
      <c r="F11" s="84"/>
      <c r="G11" s="84"/>
      <c r="H11" s="14"/>
      <c r="I11" s="14"/>
      <c r="J11" s="14"/>
      <c r="K11" s="14"/>
      <c r="M11" s="14"/>
      <c r="N11" s="14"/>
      <c r="O11" s="84"/>
      <c r="P11" s="1"/>
    </row>
    <row r="12" spans="1:18" ht="12.75">
      <c r="A12" s="1" t="s">
        <v>3</v>
      </c>
      <c r="B12" s="14">
        <v>69015</v>
      </c>
      <c r="C12" s="14">
        <v>74490</v>
      </c>
      <c r="D12" s="14">
        <v>77377</v>
      </c>
      <c r="E12" s="14">
        <v>77932</v>
      </c>
      <c r="F12" s="14">
        <v>84129</v>
      </c>
      <c r="G12" s="14">
        <v>87910</v>
      </c>
      <c r="H12" s="14">
        <v>83612</v>
      </c>
      <c r="I12" s="14">
        <v>88498</v>
      </c>
      <c r="J12" s="14">
        <v>92659</v>
      </c>
      <c r="K12" s="14">
        <v>95889.21664999999</v>
      </c>
      <c r="L12" s="15">
        <f>(K12-J12)*100/J12</f>
        <v>3.4861337268910604</v>
      </c>
      <c r="M12" s="16">
        <f>(K12-O12)*100/O12</f>
        <v>44.04485068124801</v>
      </c>
      <c r="N12" s="16"/>
      <c r="O12" s="14">
        <v>66569</v>
      </c>
      <c r="P12" s="14"/>
      <c r="Q12" s="3">
        <v>95889216.64999999</v>
      </c>
      <c r="R12" s="3">
        <f>Q12/1000</f>
        <v>95889.21664999999</v>
      </c>
    </row>
    <row r="13" spans="1:18" ht="12.75">
      <c r="A13" s="1" t="s">
        <v>4</v>
      </c>
      <c r="B13" s="14">
        <v>487550</v>
      </c>
      <c r="C13" s="14">
        <v>495770</v>
      </c>
      <c r="D13" s="14">
        <v>528511</v>
      </c>
      <c r="E13" s="14">
        <v>541341</v>
      </c>
      <c r="F13" s="14">
        <v>552841</v>
      </c>
      <c r="G13" s="14">
        <v>602766</v>
      </c>
      <c r="H13" s="14">
        <v>679587</v>
      </c>
      <c r="I13" s="14">
        <v>702504</v>
      </c>
      <c r="J13" s="14">
        <v>697026</v>
      </c>
      <c r="K13" s="14">
        <v>721236.7752200001</v>
      </c>
      <c r="L13" s="15">
        <f>(K13-J13)*100/J13</f>
        <v>3.473439329379402</v>
      </c>
      <c r="M13" s="16">
        <f>(K13-O13)*100/O13</f>
        <v>60.37391437821589</v>
      </c>
      <c r="N13" s="16"/>
      <c r="O13" s="14">
        <v>449722</v>
      </c>
      <c r="P13" s="14"/>
      <c r="Q13" s="3">
        <v>721236775.22</v>
      </c>
      <c r="R13" s="3">
        <f>Q13/1000</f>
        <v>721236.7752200001</v>
      </c>
    </row>
    <row r="14" spans="1:18" ht="12.75">
      <c r="A14" s="1" t="s">
        <v>5</v>
      </c>
      <c r="B14" s="14">
        <v>696617</v>
      </c>
      <c r="C14" s="14">
        <v>720627</v>
      </c>
      <c r="D14" s="14">
        <v>766520</v>
      </c>
      <c r="E14" s="14">
        <v>834709</v>
      </c>
      <c r="F14" s="14">
        <v>859391</v>
      </c>
      <c r="G14" s="14">
        <v>914471</v>
      </c>
      <c r="H14" s="14">
        <v>979019</v>
      </c>
      <c r="I14" s="14">
        <v>1016083</v>
      </c>
      <c r="J14" s="14">
        <v>1062589</v>
      </c>
      <c r="K14" s="14">
        <v>975456.84054</v>
      </c>
      <c r="L14" s="15">
        <f>(K14-J14)*100/J14</f>
        <v>-8.199986962033297</v>
      </c>
      <c r="M14" s="16">
        <f>(K14-O14)*100/O14</f>
        <v>43.26708053273332</v>
      </c>
      <c r="N14" s="16"/>
      <c r="O14" s="14">
        <v>680866</v>
      </c>
      <c r="P14" s="14"/>
      <c r="Q14" s="3">
        <v>975456840.54</v>
      </c>
      <c r="R14" s="3">
        <f>Q14/1000</f>
        <v>975456.84054</v>
      </c>
    </row>
    <row r="15" spans="1:18" ht="12.75">
      <c r="A15" s="1" t="s">
        <v>6</v>
      </c>
      <c r="B15" s="14">
        <v>693762</v>
      </c>
      <c r="C15" s="14">
        <v>701708</v>
      </c>
      <c r="D15" s="14">
        <v>755038</v>
      </c>
      <c r="E15" s="14">
        <v>814182</v>
      </c>
      <c r="F15" s="14">
        <v>842137</v>
      </c>
      <c r="G15" s="14">
        <v>887067</v>
      </c>
      <c r="H15" s="14">
        <v>1007333</v>
      </c>
      <c r="I15" s="14">
        <v>1107094</v>
      </c>
      <c r="J15" s="14">
        <v>981919</v>
      </c>
      <c r="K15" s="14">
        <v>1067201.6585000001</v>
      </c>
      <c r="L15" s="15">
        <f>(K15-J15)*100/J15</f>
        <v>8.68530484693749</v>
      </c>
      <c r="M15" s="16">
        <f>(K15-O15)*100/O15</f>
        <v>68.00822069306435</v>
      </c>
      <c r="N15" s="16"/>
      <c r="O15" s="14">
        <v>635208</v>
      </c>
      <c r="P15" s="14"/>
      <c r="Q15" s="3">
        <v>1067201658.5000001</v>
      </c>
      <c r="R15" s="3">
        <f>Q15/1000</f>
        <v>1067201.6585000001</v>
      </c>
    </row>
    <row r="16" spans="1:18" ht="12.75">
      <c r="A16" s="1" t="s">
        <v>7</v>
      </c>
      <c r="B16" s="14">
        <v>83181</v>
      </c>
      <c r="C16" s="14">
        <v>94248</v>
      </c>
      <c r="D16" s="14">
        <v>99389</v>
      </c>
      <c r="E16" s="14">
        <v>96406</v>
      </c>
      <c r="F16" s="14">
        <v>119213</v>
      </c>
      <c r="G16" s="14">
        <v>124208</v>
      </c>
      <c r="H16" s="14">
        <v>122464</v>
      </c>
      <c r="I16" s="14">
        <v>133731</v>
      </c>
      <c r="J16" s="14">
        <v>181447</v>
      </c>
      <c r="K16" s="14">
        <v>157222.19039999996</v>
      </c>
      <c r="L16" s="15">
        <f>(K16-J16)*100/J16</f>
        <v>-13.3509011446869</v>
      </c>
      <c r="M16" s="16">
        <f>(K16-O16)*100/O16</f>
        <v>71.85570355796028</v>
      </c>
      <c r="N16" s="16"/>
      <c r="O16" s="14">
        <v>91485</v>
      </c>
      <c r="P16" s="14"/>
      <c r="Q16" s="3">
        <v>157222190.39999998</v>
      </c>
      <c r="R16" s="3">
        <f>Q16/1000</f>
        <v>157222.19039999996</v>
      </c>
    </row>
    <row r="17" spans="2:16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4"/>
      <c r="P17" s="14"/>
    </row>
    <row r="18" spans="1:18" ht="12.75">
      <c r="A18" s="1" t="s">
        <v>8</v>
      </c>
      <c r="B18" s="14">
        <v>31246</v>
      </c>
      <c r="C18" s="14">
        <v>32641</v>
      </c>
      <c r="D18" s="14">
        <v>34303</v>
      </c>
      <c r="E18" s="14">
        <v>36615</v>
      </c>
      <c r="F18" s="14">
        <v>40663</v>
      </c>
      <c r="G18" s="14">
        <v>41160</v>
      </c>
      <c r="H18" s="14">
        <v>45441</v>
      </c>
      <c r="I18" s="14">
        <v>48226</v>
      </c>
      <c r="J18" s="14">
        <v>47127</v>
      </c>
      <c r="K18" s="14">
        <v>49553.28109</v>
      </c>
      <c r="L18" s="15">
        <f>(K18-J18)*100/J18</f>
        <v>5.148388588282718</v>
      </c>
      <c r="M18" s="16">
        <f>(K18-O18)*100/O18</f>
        <v>75.30435168217355</v>
      </c>
      <c r="N18" s="16"/>
      <c r="O18" s="14">
        <v>28267</v>
      </c>
      <c r="P18" s="14"/>
      <c r="Q18" s="3">
        <v>49553281.089999996</v>
      </c>
      <c r="R18" s="3">
        <f>Q18/1000</f>
        <v>49553.28109</v>
      </c>
    </row>
    <row r="19" spans="1:18" ht="12.75">
      <c r="A19" s="1" t="s">
        <v>9</v>
      </c>
      <c r="B19" s="14">
        <v>163157</v>
      </c>
      <c r="C19" s="14">
        <v>165152</v>
      </c>
      <c r="D19" s="14">
        <v>182880</v>
      </c>
      <c r="E19" s="14">
        <v>192782</v>
      </c>
      <c r="F19" s="14">
        <v>203761</v>
      </c>
      <c r="G19" s="14">
        <v>222617</v>
      </c>
      <c r="H19" s="14">
        <v>235922</v>
      </c>
      <c r="I19" s="14">
        <v>225348</v>
      </c>
      <c r="J19" s="14">
        <v>238511</v>
      </c>
      <c r="K19" s="14">
        <v>262252.8985</v>
      </c>
      <c r="L19" s="15">
        <f>(K19-J19)*100/J19</f>
        <v>9.9542153192096</v>
      </c>
      <c r="M19" s="16">
        <f>(K19-O19)*100/O19</f>
        <v>80.54158330981214</v>
      </c>
      <c r="N19" s="16"/>
      <c r="O19" s="14">
        <v>145259</v>
      </c>
      <c r="P19" s="14"/>
      <c r="Q19" s="3">
        <v>262252898.50000003</v>
      </c>
      <c r="R19" s="3">
        <f>Q19/1000</f>
        <v>262252.8985</v>
      </c>
    </row>
    <row r="20" spans="1:18" ht="12.75">
      <c r="A20" s="1" t="s">
        <v>10</v>
      </c>
      <c r="B20" s="14">
        <v>91219</v>
      </c>
      <c r="C20" s="14">
        <v>97374</v>
      </c>
      <c r="D20" s="14">
        <v>99974</v>
      </c>
      <c r="E20" s="14">
        <v>104385</v>
      </c>
      <c r="F20" s="14">
        <v>122282</v>
      </c>
      <c r="G20" s="14">
        <v>118925</v>
      </c>
      <c r="H20" s="14">
        <v>129914</v>
      </c>
      <c r="I20" s="14">
        <v>131766</v>
      </c>
      <c r="J20" s="14">
        <v>138489</v>
      </c>
      <c r="K20" s="14">
        <v>138988.32570000004</v>
      </c>
      <c r="L20" s="15">
        <f>(K20-J20)*100/J20</f>
        <v>0.3605526070662976</v>
      </c>
      <c r="M20" s="16">
        <f>(K20-O20)*100/O20</f>
        <v>73.67245086156274</v>
      </c>
      <c r="N20" s="16"/>
      <c r="O20" s="14">
        <v>80029</v>
      </c>
      <c r="P20" s="14"/>
      <c r="Q20" s="3">
        <v>138988325.70000005</v>
      </c>
      <c r="R20" s="3">
        <f>Q20/1000</f>
        <v>138988.32570000004</v>
      </c>
    </row>
    <row r="21" spans="1:18" ht="12.75">
      <c r="A21" s="1" t="s">
        <v>11</v>
      </c>
      <c r="B21" s="14">
        <v>144735</v>
      </c>
      <c r="C21" s="14">
        <v>139496</v>
      </c>
      <c r="D21" s="14">
        <v>151268</v>
      </c>
      <c r="E21" s="14">
        <v>154376</v>
      </c>
      <c r="F21" s="14">
        <v>162922</v>
      </c>
      <c r="G21" s="14">
        <v>174773</v>
      </c>
      <c r="H21" s="14">
        <v>193026</v>
      </c>
      <c r="I21" s="14">
        <v>190735</v>
      </c>
      <c r="J21" s="14">
        <v>224631</v>
      </c>
      <c r="K21" s="14">
        <v>235248.9200699999</v>
      </c>
      <c r="L21" s="15">
        <f>(K21-J21)*100/J21</f>
        <v>4.726827583904227</v>
      </c>
      <c r="M21" s="16">
        <f>(K21-O21)*100/O21</f>
        <v>84.7538463296447</v>
      </c>
      <c r="N21" s="16"/>
      <c r="O21" s="14">
        <v>127331</v>
      </c>
      <c r="P21" s="14"/>
      <c r="Q21" s="3">
        <v>235248920.0699999</v>
      </c>
      <c r="R21" s="3">
        <f>Q21/1000</f>
        <v>235248.9200699999</v>
      </c>
    </row>
    <row r="22" spans="1:18" ht="12.75">
      <c r="A22" s="1" t="s">
        <v>12</v>
      </c>
      <c r="B22" s="14">
        <v>32010</v>
      </c>
      <c r="C22" s="14">
        <v>33622</v>
      </c>
      <c r="D22" s="14">
        <v>39220</v>
      </c>
      <c r="E22" s="14">
        <v>38249</v>
      </c>
      <c r="F22" s="14">
        <v>37334</v>
      </c>
      <c r="G22" s="14">
        <v>39858</v>
      </c>
      <c r="H22" s="14">
        <v>43245</v>
      </c>
      <c r="I22" s="14">
        <v>44401</v>
      </c>
      <c r="J22" s="14">
        <v>51112</v>
      </c>
      <c r="K22" s="14">
        <v>51085.250869999996</v>
      </c>
      <c r="L22" s="15">
        <f>(K22-J22)*100/J22</f>
        <v>-0.052334344185325926</v>
      </c>
      <c r="M22" s="16">
        <f>(K22-O22)*100/O22</f>
        <v>70.80226978501454</v>
      </c>
      <c r="N22" s="16"/>
      <c r="O22" s="14">
        <v>29909</v>
      </c>
      <c r="P22" s="14"/>
      <c r="Q22" s="3">
        <v>51085250.87</v>
      </c>
      <c r="R22" s="3">
        <f>Q22/1000</f>
        <v>51085.250869999996</v>
      </c>
    </row>
    <row r="23" spans="2:16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4"/>
      <c r="P23" s="14"/>
    </row>
    <row r="24" spans="1:18" ht="12.75">
      <c r="A24" s="1" t="s">
        <v>13</v>
      </c>
      <c r="B24" s="14">
        <v>220537</v>
      </c>
      <c r="C24" s="14">
        <v>218587</v>
      </c>
      <c r="D24" s="14">
        <v>219254</v>
      </c>
      <c r="E24" s="14">
        <v>240691</v>
      </c>
      <c r="F24" s="14">
        <v>252220</v>
      </c>
      <c r="G24" s="14">
        <v>290723</v>
      </c>
      <c r="H24" s="14">
        <v>338378</v>
      </c>
      <c r="I24" s="14">
        <v>359465</v>
      </c>
      <c r="J24" s="14">
        <v>350497</v>
      </c>
      <c r="K24" s="14">
        <v>377518.40807</v>
      </c>
      <c r="L24" s="15">
        <f>(K24-J24)*100/J24</f>
        <v>7.709454879784992</v>
      </c>
      <c r="M24" s="16">
        <f>(K24-O24)*100/O24</f>
        <v>107.11133985999408</v>
      </c>
      <c r="N24" s="16"/>
      <c r="O24" s="14">
        <v>182278</v>
      </c>
      <c r="P24" s="14"/>
      <c r="Q24" s="3">
        <v>377518408.07</v>
      </c>
      <c r="R24" s="3">
        <f>Q24/1000</f>
        <v>377518.40807</v>
      </c>
    </row>
    <row r="25" spans="1:18" ht="12.75">
      <c r="A25" s="1" t="s">
        <v>14</v>
      </c>
      <c r="B25" s="14">
        <v>31674</v>
      </c>
      <c r="C25" s="14">
        <v>32945</v>
      </c>
      <c r="D25" s="14">
        <v>34181</v>
      </c>
      <c r="E25" s="14">
        <v>35463</v>
      </c>
      <c r="F25" s="14">
        <v>37240</v>
      </c>
      <c r="G25" s="14">
        <v>38426</v>
      </c>
      <c r="H25" s="14">
        <v>40972</v>
      </c>
      <c r="I25" s="14">
        <v>41720</v>
      </c>
      <c r="J25" s="14">
        <v>44336</v>
      </c>
      <c r="K25" s="14">
        <v>46409.09931</v>
      </c>
      <c r="L25" s="15">
        <f>(K25-J25)*100/J25</f>
        <v>4.675882601046548</v>
      </c>
      <c r="M25" s="16">
        <f>(K25-O25)*100/O25</f>
        <v>53.611476598702495</v>
      </c>
      <c r="N25" s="16"/>
      <c r="O25" s="14">
        <v>30212</v>
      </c>
      <c r="P25" s="14"/>
      <c r="Q25" s="3">
        <v>46409099.309999995</v>
      </c>
      <c r="R25" s="3">
        <f>Q25/1000</f>
        <v>46409.09931</v>
      </c>
    </row>
    <row r="26" spans="1:18" ht="12.75">
      <c r="A26" s="1" t="s">
        <v>15</v>
      </c>
      <c r="B26" s="14">
        <v>218888</v>
      </c>
      <c r="C26" s="14">
        <v>230455</v>
      </c>
      <c r="D26" s="14">
        <v>245819</v>
      </c>
      <c r="E26" s="14">
        <v>255607</v>
      </c>
      <c r="F26" s="14">
        <v>264957</v>
      </c>
      <c r="G26" s="14">
        <v>281629</v>
      </c>
      <c r="H26" s="14">
        <v>299817</v>
      </c>
      <c r="I26" s="14">
        <v>319097</v>
      </c>
      <c r="J26" s="14">
        <v>342783</v>
      </c>
      <c r="K26" s="14">
        <v>348590.31432000006</v>
      </c>
      <c r="L26" s="15">
        <f>(K26-J26)*100/J26</f>
        <v>1.694166373478283</v>
      </c>
      <c r="M26" s="16">
        <f>(K26-O26)*100/O26</f>
        <v>68.8530241903452</v>
      </c>
      <c r="N26" s="16"/>
      <c r="O26" s="14">
        <v>206446</v>
      </c>
      <c r="P26" s="14"/>
      <c r="Q26" s="3">
        <v>348590314.32000005</v>
      </c>
      <c r="R26" s="3">
        <f>Q26/1000</f>
        <v>348590.31432000006</v>
      </c>
    </row>
    <row r="27" spans="1:18" ht="12.75">
      <c r="A27" s="1" t="s">
        <v>16</v>
      </c>
      <c r="B27" s="14">
        <v>296185</v>
      </c>
      <c r="C27" s="14">
        <v>324292</v>
      </c>
      <c r="D27" s="14">
        <v>330228</v>
      </c>
      <c r="E27" s="14">
        <v>328174</v>
      </c>
      <c r="F27" s="14">
        <v>351613</v>
      </c>
      <c r="G27" s="14">
        <v>383699</v>
      </c>
      <c r="H27" s="14">
        <v>434396</v>
      </c>
      <c r="I27" s="14">
        <v>483102</v>
      </c>
      <c r="J27" s="14">
        <v>512538</v>
      </c>
      <c r="K27" s="14">
        <v>539622.3914900001</v>
      </c>
      <c r="L27" s="15">
        <f>(K27-J27)*100/J27</f>
        <v>5.284367498604994</v>
      </c>
      <c r="M27" s="16">
        <f>(K27-O27)*100/O27</f>
        <v>96.12505233297718</v>
      </c>
      <c r="N27" s="16"/>
      <c r="O27" s="14">
        <v>275142</v>
      </c>
      <c r="P27" s="14"/>
      <c r="Q27" s="3">
        <v>539622391.49</v>
      </c>
      <c r="R27" s="3">
        <f>Q27/1000</f>
        <v>539622.3914900001</v>
      </c>
    </row>
    <row r="28" spans="1:18" ht="12.75">
      <c r="A28" s="1" t="s">
        <v>17</v>
      </c>
      <c r="B28" s="14">
        <v>19559</v>
      </c>
      <c r="C28" s="14">
        <v>20359</v>
      </c>
      <c r="D28" s="14">
        <v>20672</v>
      </c>
      <c r="E28" s="14">
        <v>23544</v>
      </c>
      <c r="F28" s="14">
        <v>22938</v>
      </c>
      <c r="G28" s="14">
        <v>23761</v>
      </c>
      <c r="H28" s="14">
        <v>25456</v>
      </c>
      <c r="I28" s="14">
        <v>27932</v>
      </c>
      <c r="J28" s="14">
        <v>27945</v>
      </c>
      <c r="K28" s="14">
        <v>27525.18593</v>
      </c>
      <c r="L28" s="15">
        <f>(K28-J28)*100/J28</f>
        <v>-1.5022868849525868</v>
      </c>
      <c r="M28" s="16">
        <f>(K28-O28)*100/O28</f>
        <v>45.19034671378837</v>
      </c>
      <c r="N28" s="16"/>
      <c r="O28" s="14">
        <v>18958</v>
      </c>
      <c r="P28" s="14"/>
      <c r="Q28" s="3">
        <v>27525185.93</v>
      </c>
      <c r="R28" s="3">
        <f>Q28/1000</f>
        <v>27525.18593</v>
      </c>
    </row>
    <row r="29" spans="2:16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4"/>
      <c r="P29" s="14"/>
    </row>
    <row r="30" spans="1:18" ht="12.75">
      <c r="A30" s="1" t="s">
        <v>18</v>
      </c>
      <c r="B30" s="14">
        <v>1015499</v>
      </c>
      <c r="C30" s="14">
        <v>1102242</v>
      </c>
      <c r="D30" s="14">
        <v>1179936</v>
      </c>
      <c r="E30" s="14">
        <v>1183321</v>
      </c>
      <c r="F30" s="14">
        <v>1237973</v>
      </c>
      <c r="G30" s="14">
        <v>1378930</v>
      </c>
      <c r="H30" s="14">
        <v>1428000</v>
      </c>
      <c r="I30" s="14">
        <v>1576992</v>
      </c>
      <c r="J30" s="14">
        <v>1646230</v>
      </c>
      <c r="K30" s="14">
        <v>1688224.64049</v>
      </c>
      <c r="L30" s="15">
        <f>(K30-J30)*100/J30</f>
        <v>2.5509582798272357</v>
      </c>
      <c r="M30" s="16">
        <f>(K30-O30)*100/O30</f>
        <v>58.11225604876851</v>
      </c>
      <c r="N30" s="16"/>
      <c r="O30" s="14">
        <v>1067738</v>
      </c>
      <c r="P30" s="14"/>
      <c r="Q30" s="3">
        <v>1688224640.49</v>
      </c>
      <c r="R30" s="3">
        <f>Q30/1000</f>
        <v>1688224.64049</v>
      </c>
    </row>
    <row r="31" spans="1:18" ht="12.75">
      <c r="A31" s="1" t="s">
        <v>19</v>
      </c>
      <c r="B31" s="14">
        <v>826347</v>
      </c>
      <c r="C31" s="14">
        <v>821745</v>
      </c>
      <c r="D31" s="14">
        <v>859239</v>
      </c>
      <c r="E31" s="14">
        <v>945164</v>
      </c>
      <c r="F31" s="14">
        <v>1024886</v>
      </c>
      <c r="G31" s="14">
        <v>1083849</v>
      </c>
      <c r="H31" s="14">
        <v>1146780</v>
      </c>
      <c r="I31" s="14">
        <v>1252257</v>
      </c>
      <c r="J31" s="14">
        <v>1287429</v>
      </c>
      <c r="K31" s="14">
        <v>1339158.3111800002</v>
      </c>
      <c r="L31" s="15">
        <f>(K31-J31)*100/J31</f>
        <v>4.018032154006177</v>
      </c>
      <c r="M31" s="16">
        <f>(K31-O31)*100/O31</f>
        <v>75.29397358204073</v>
      </c>
      <c r="N31" s="16"/>
      <c r="O31" s="14">
        <v>763950</v>
      </c>
      <c r="P31" s="14"/>
      <c r="Q31" s="3">
        <v>1339158311.1800003</v>
      </c>
      <c r="R31" s="3">
        <f>Q31/1000</f>
        <v>1339158.3111800002</v>
      </c>
    </row>
    <row r="32" spans="1:18" ht="12.75">
      <c r="A32" s="1" t="s">
        <v>20</v>
      </c>
      <c r="B32" s="14">
        <v>44283</v>
      </c>
      <c r="C32" s="14">
        <v>41631</v>
      </c>
      <c r="D32" s="14">
        <v>50019</v>
      </c>
      <c r="E32" s="14">
        <v>60237</v>
      </c>
      <c r="F32" s="14">
        <v>57468</v>
      </c>
      <c r="G32" s="14">
        <v>54876</v>
      </c>
      <c r="H32" s="14">
        <v>67339</v>
      </c>
      <c r="I32" s="14">
        <v>66049</v>
      </c>
      <c r="J32" s="14">
        <v>78934</v>
      </c>
      <c r="K32" s="14">
        <v>78182.47946999999</v>
      </c>
      <c r="L32" s="15">
        <f>(K32-J32)*100/J32</f>
        <v>-0.9520872247700723</v>
      </c>
      <c r="M32" s="16">
        <f>(K32-O32)*100/O32</f>
        <v>107.99297525871928</v>
      </c>
      <c r="N32" s="16"/>
      <c r="O32" s="14">
        <v>37589</v>
      </c>
      <c r="P32" s="14"/>
      <c r="Q32" s="3">
        <v>78182479.46999998</v>
      </c>
      <c r="R32" s="3">
        <f>Q32/1000</f>
        <v>78182.47946999999</v>
      </c>
    </row>
    <row r="33" spans="1:18" ht="12.75">
      <c r="A33" s="1" t="s">
        <v>21</v>
      </c>
      <c r="B33" s="14">
        <v>84343</v>
      </c>
      <c r="C33" s="14">
        <v>90840</v>
      </c>
      <c r="D33" s="14">
        <v>106212</v>
      </c>
      <c r="E33" s="14">
        <v>111050</v>
      </c>
      <c r="F33" s="14">
        <v>117312</v>
      </c>
      <c r="G33" s="14">
        <v>125397</v>
      </c>
      <c r="H33" s="14">
        <v>131234</v>
      </c>
      <c r="I33" s="14">
        <v>151608</v>
      </c>
      <c r="J33" s="14">
        <v>148416</v>
      </c>
      <c r="K33" s="14">
        <v>153350.96798999998</v>
      </c>
      <c r="L33" s="15">
        <f>(K33-J33)*100/J33</f>
        <v>3.3250916275873057</v>
      </c>
      <c r="M33" s="16">
        <f>(K33-O33)*100/O33</f>
        <v>84.60451184543153</v>
      </c>
      <c r="N33" s="16"/>
      <c r="O33" s="14">
        <v>83070</v>
      </c>
      <c r="P33" s="14"/>
      <c r="Q33" s="3">
        <v>153350967.98999998</v>
      </c>
      <c r="R33" s="3">
        <f>Q33/1000</f>
        <v>153350.96798999998</v>
      </c>
    </row>
    <row r="34" spans="1:18" ht="12.75">
      <c r="A34" s="1" t="s">
        <v>22</v>
      </c>
      <c r="B34" s="14">
        <v>21340</v>
      </c>
      <c r="C34" s="14">
        <v>24058</v>
      </c>
      <c r="D34" s="14">
        <v>24780</v>
      </c>
      <c r="E34" s="14">
        <v>25183</v>
      </c>
      <c r="F34" s="14">
        <v>24663</v>
      </c>
      <c r="G34" s="14">
        <v>26077</v>
      </c>
      <c r="H34" s="14">
        <v>26565</v>
      </c>
      <c r="I34" s="14">
        <v>27851</v>
      </c>
      <c r="J34" s="14">
        <v>35520</v>
      </c>
      <c r="K34" s="14">
        <v>30398.36665</v>
      </c>
      <c r="L34" s="15">
        <f>(K34-J34)*100/J34</f>
        <v>-14.419012809684686</v>
      </c>
      <c r="M34" s="16">
        <f>(K34-O34)*100/O34</f>
        <v>48.42952465820313</v>
      </c>
      <c r="N34" s="16"/>
      <c r="O34" s="14">
        <v>20480</v>
      </c>
      <c r="P34" s="14"/>
      <c r="Q34" s="3">
        <v>30398366.65</v>
      </c>
      <c r="R34" s="3">
        <f>Q34/1000</f>
        <v>30398.36665</v>
      </c>
    </row>
    <row r="35" spans="2:16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6"/>
      <c r="N35" s="16"/>
      <c r="O35" s="14"/>
      <c r="P35" s="14"/>
    </row>
    <row r="36" spans="1:18" ht="12.75">
      <c r="A36" s="1" t="s">
        <v>23</v>
      </c>
      <c r="B36" s="14">
        <v>28062</v>
      </c>
      <c r="C36" s="14">
        <v>29579</v>
      </c>
      <c r="D36" s="14">
        <v>35210</v>
      </c>
      <c r="E36" s="14">
        <v>34454</v>
      </c>
      <c r="F36" s="14">
        <v>33752</v>
      </c>
      <c r="G36" s="14">
        <v>33717</v>
      </c>
      <c r="H36" s="14">
        <v>41669</v>
      </c>
      <c r="I36" s="14">
        <v>45254</v>
      </c>
      <c r="J36" s="14">
        <v>46402</v>
      </c>
      <c r="K36" s="14">
        <v>42923.89639999999</v>
      </c>
      <c r="L36" s="15">
        <f>(K36-J36)*100/J36</f>
        <v>-7.49558984526531</v>
      </c>
      <c r="M36" s="16">
        <f>(K36-O36)*100/O36</f>
        <v>50.293754901960746</v>
      </c>
      <c r="N36" s="16"/>
      <c r="O36" s="14">
        <v>28560</v>
      </c>
      <c r="P36" s="14"/>
      <c r="Q36" s="3">
        <v>42923896.39999999</v>
      </c>
      <c r="R36" s="3">
        <f>Q36/1000</f>
        <v>42923.89639999999</v>
      </c>
    </row>
    <row r="37" spans="1:18" ht="12.75">
      <c r="A37" s="1" t="s">
        <v>24</v>
      </c>
      <c r="B37" s="14">
        <v>123671</v>
      </c>
      <c r="C37" s="14">
        <v>121964</v>
      </c>
      <c r="D37" s="14">
        <v>132147</v>
      </c>
      <c r="E37" s="14">
        <v>133133</v>
      </c>
      <c r="F37" s="14">
        <v>142354</v>
      </c>
      <c r="G37" s="14">
        <v>151647</v>
      </c>
      <c r="H37" s="14">
        <v>154921</v>
      </c>
      <c r="I37" s="14">
        <v>166028</v>
      </c>
      <c r="J37" s="14">
        <v>170801</v>
      </c>
      <c r="K37" s="14">
        <v>182886.87878999996</v>
      </c>
      <c r="L37" s="15">
        <f>(K37-J37)*100/J37</f>
        <v>7.076000017564277</v>
      </c>
      <c r="M37" s="16">
        <f>(K37-O37)*100/O37</f>
        <v>62.015980218281</v>
      </c>
      <c r="N37" s="16"/>
      <c r="O37" s="14">
        <v>112882</v>
      </c>
      <c r="P37" s="14"/>
      <c r="Q37" s="3">
        <v>182886878.78999996</v>
      </c>
      <c r="R37" s="3">
        <f>Q37/1000</f>
        <v>182886.87878999996</v>
      </c>
    </row>
    <row r="38" spans="1:18" ht="12.75">
      <c r="A38" s="1" t="s">
        <v>25</v>
      </c>
      <c r="B38" s="14">
        <v>82078</v>
      </c>
      <c r="C38" s="14">
        <v>81099</v>
      </c>
      <c r="D38" s="14">
        <v>95747</v>
      </c>
      <c r="E38" s="14">
        <v>98242</v>
      </c>
      <c r="F38" s="14">
        <v>115399</v>
      </c>
      <c r="G38" s="14">
        <v>112003</v>
      </c>
      <c r="H38" s="14">
        <v>117318</v>
      </c>
      <c r="I38" s="14">
        <v>122077</v>
      </c>
      <c r="J38" s="14">
        <v>130994</v>
      </c>
      <c r="K38" s="14">
        <v>134581.79528</v>
      </c>
      <c r="L38" s="15">
        <f>(K38-J38)*100/J38</f>
        <v>2.7389004687237515</v>
      </c>
      <c r="M38" s="16">
        <f>(K38-O38)*100/O38</f>
        <v>77.2632376386291</v>
      </c>
      <c r="N38" s="16"/>
      <c r="O38" s="14">
        <v>75922</v>
      </c>
      <c r="P38" s="14"/>
      <c r="Q38" s="3">
        <v>134581795.28</v>
      </c>
      <c r="R38" s="3">
        <f>Q38/1000</f>
        <v>134581.79528</v>
      </c>
    </row>
    <row r="39" spans="1:18" ht="12.75">
      <c r="A39" s="17" t="s">
        <v>26</v>
      </c>
      <c r="B39" s="24">
        <v>42363</v>
      </c>
      <c r="C39" s="14">
        <v>43527</v>
      </c>
      <c r="D39" s="14">
        <v>53563</v>
      </c>
      <c r="E39" s="14">
        <v>51654</v>
      </c>
      <c r="F39" s="14">
        <v>54932</v>
      </c>
      <c r="G39" s="14">
        <v>65711</v>
      </c>
      <c r="H39" s="14">
        <v>65267</v>
      </c>
      <c r="I39" s="14">
        <v>72555</v>
      </c>
      <c r="J39" s="14">
        <v>72740</v>
      </c>
      <c r="K39" s="14">
        <v>76179.5412</v>
      </c>
      <c r="L39" s="15">
        <f>(K39-J39)*100/J39</f>
        <v>4.728541655210348</v>
      </c>
      <c r="M39" s="16">
        <f>(K39-O39)*100/O39</f>
        <v>84.5121738077361</v>
      </c>
      <c r="N39" s="16"/>
      <c r="O39" s="14">
        <v>41287</v>
      </c>
      <c r="P39" s="14"/>
      <c r="Q39" s="3">
        <v>76179541.2</v>
      </c>
      <c r="R39" s="3">
        <f>Q39/1000</f>
        <v>76179.5412</v>
      </c>
    </row>
    <row r="40" spans="2:15" ht="12.75"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5" ht="12.75">
      <c r="A41" s="1" t="s">
        <v>191</v>
      </c>
      <c r="B41" s="76"/>
      <c r="C41" s="76"/>
      <c r="D41" s="76"/>
      <c r="E41" s="76"/>
    </row>
    <row r="42" spans="1:2" ht="12.75">
      <c r="A42" s="224" t="s">
        <v>190</v>
      </c>
      <c r="B42" s="14"/>
    </row>
    <row r="43" ht="12.75"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</sheetData>
  <mergeCells count="1">
    <mergeCell ref="L7:M7"/>
  </mergeCells>
  <printOptions horizontalCentered="1"/>
  <pageMargins left="0.56" right="0.48" top="1" bottom="1" header="0.5" footer="0.5"/>
  <pageSetup fitToHeight="1" fitToWidth="1" orientation="landscape" scale="77" r:id="rId1"/>
  <headerFooter alignWithMargins="0">
    <oddFooter>&amp;L&amp;"Lucida Sans,Italic"&amp;10MSDE-DBS  1/ 2006&amp;C- 6 -&amp;R&amp;"Lucida Sans,Italic"&amp;10Selected Financial Data - Part 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2"/>
  <sheetViews>
    <sheetView view="pageBreakPreview" zoomScale="60" workbookViewId="0" topLeftCell="A5">
      <selection activeCell="A3" sqref="A3:M3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8.00390625" style="1" customWidth="1"/>
    <col min="13" max="14" width="6.625" style="1" customWidth="1"/>
    <col min="15" max="15" width="10.125" style="1" customWidth="1"/>
    <col min="16" max="16" width="4.875" style="1" customWidth="1"/>
    <col min="17" max="17" width="16.75390625" style="3" customWidth="1"/>
    <col min="18" max="18" width="16.375" style="3" customWidth="1"/>
    <col min="19" max="19" width="8.25390625" style="3" customWidth="1"/>
    <col min="20" max="20" width="11.125" style="3" bestFit="1" customWidth="1"/>
    <col min="21" max="40" width="10.125" style="3" customWidth="1"/>
    <col min="41" max="16384" width="10.00390625" style="3" customWidth="1"/>
  </cols>
  <sheetData>
    <row r="1" spans="1:16" s="115" customFormat="1" ht="15.75" customHeight="1">
      <c r="A1" s="226" t="s">
        <v>68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0"/>
      <c r="O1" s="10"/>
      <c r="P1" s="89"/>
    </row>
    <row r="2" spans="1:16" s="115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19" t="s">
        <v>181</v>
      </c>
      <c r="P2" s="3"/>
    </row>
    <row r="3" spans="1:16" s="115" customFormat="1" ht="12.75">
      <c r="A3" s="228" t="s">
        <v>36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108"/>
      <c r="O3" s="2"/>
      <c r="P3" s="89"/>
    </row>
    <row r="4" spans="1:16" s="115" customFormat="1" ht="12.75">
      <c r="A4" s="228" t="s">
        <v>168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108"/>
      <c r="O4" s="10"/>
      <c r="P4" s="89"/>
    </row>
    <row r="5" spans="1:16" s="115" customFormat="1" ht="13.5" thickBot="1">
      <c r="A5" s="108"/>
      <c r="B5" s="108"/>
      <c r="C5" s="108"/>
      <c r="D5" s="108"/>
      <c r="E5" s="108"/>
      <c r="F5" s="108"/>
      <c r="G5" s="108"/>
      <c r="H5" s="201"/>
      <c r="I5" s="201"/>
      <c r="J5" s="201"/>
      <c r="K5" s="201"/>
      <c r="L5" s="201"/>
      <c r="M5" s="201"/>
      <c r="N5" s="201"/>
      <c r="O5" s="89"/>
      <c r="P5" s="89"/>
    </row>
    <row r="6" spans="1:21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T6" s="229" t="s">
        <v>195</v>
      </c>
      <c r="U6" s="229"/>
    </row>
    <row r="7" spans="12:21" ht="12.75">
      <c r="L7" s="227" t="s">
        <v>28</v>
      </c>
      <c r="M7" s="227"/>
      <c r="N7" s="210"/>
      <c r="Q7" s="3" t="s">
        <v>192</v>
      </c>
      <c r="R7" s="3" t="s">
        <v>194</v>
      </c>
      <c r="T7" s="229" t="s">
        <v>94</v>
      </c>
      <c r="U7" s="229"/>
    </row>
    <row r="8" spans="1:2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5" t="s">
        <v>59</v>
      </c>
      <c r="M8" s="25" t="s">
        <v>60</v>
      </c>
      <c r="N8" s="25"/>
      <c r="O8" s="7"/>
      <c r="Q8" s="3" t="s">
        <v>193</v>
      </c>
      <c r="R8" s="3" t="s">
        <v>85</v>
      </c>
      <c r="T8" s="208" t="s">
        <v>165</v>
      </c>
      <c r="U8" s="209"/>
    </row>
    <row r="9" spans="1:21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25"/>
      <c r="O9" s="33" t="s">
        <v>158</v>
      </c>
      <c r="R9" s="3" t="s">
        <v>84</v>
      </c>
      <c r="T9" s="3" t="s">
        <v>180</v>
      </c>
      <c r="U9" s="20" t="s">
        <v>167</v>
      </c>
    </row>
    <row r="10" spans="1:21" ht="12.75">
      <c r="A10" s="7" t="s">
        <v>2</v>
      </c>
      <c r="B10" s="13">
        <f>SUM(B12:B39)</f>
        <v>4539001</v>
      </c>
      <c r="C10" s="13">
        <f>SUM(C12:C39)</f>
        <v>4710122.867999999</v>
      </c>
      <c r="D10" s="13">
        <f>SUM(D12:D39)</f>
        <v>4916670</v>
      </c>
      <c r="E10" s="13">
        <f>SUM(E12:E39)</f>
        <v>5234380</v>
      </c>
      <c r="F10" s="13">
        <f>SUM(F12:F39)-1</f>
        <v>5563224</v>
      </c>
      <c r="G10" s="13">
        <f>SUM(G12:G39)</f>
        <v>5921374</v>
      </c>
      <c r="H10" s="13">
        <f>SUM(H12:H39)</f>
        <v>6446370</v>
      </c>
      <c r="I10" s="13">
        <f>SUM(I12:I39)</f>
        <v>6901121</v>
      </c>
      <c r="J10" s="13">
        <f>SUM(J12:J39)</f>
        <v>7314458</v>
      </c>
      <c r="K10" s="13">
        <f>SUM(K12:K39)</f>
        <v>7555853.299949999</v>
      </c>
      <c r="L10" s="12">
        <f>(K10-J10)/J10</f>
        <v>0.03300248630178736</v>
      </c>
      <c r="M10" s="12">
        <f>(K10-O10)/O10</f>
        <v>0.7667121447100017</v>
      </c>
      <c r="N10" s="12"/>
      <c r="O10" s="11">
        <f>SUM(O12:O39)</f>
        <v>4276788</v>
      </c>
      <c r="Q10" s="11">
        <f>SUM(Q12:Q39)</f>
        <v>7939420309.950002</v>
      </c>
      <c r="R10" s="149">
        <f>SUM(R12:R39)</f>
        <v>383567010</v>
      </c>
      <c r="S10" s="149"/>
      <c r="T10" s="60">
        <f>SUM(T12:T39)</f>
        <v>7555853299.950002</v>
      </c>
      <c r="U10" s="60">
        <f>SUM(U12:U39)</f>
        <v>7555853.299949999</v>
      </c>
    </row>
    <row r="11" spans="2:19" ht="12.75">
      <c r="B11" s="84"/>
      <c r="C11" s="84"/>
      <c r="D11" s="84"/>
      <c r="E11" s="84"/>
      <c r="F11" s="84"/>
      <c r="G11" s="84"/>
      <c r="H11" s="84"/>
      <c r="I11" s="84"/>
      <c r="J11" s="84"/>
      <c r="K11" s="84"/>
      <c r="M11" s="14"/>
      <c r="N11" s="14"/>
      <c r="O11" s="84"/>
      <c r="R11" s="39"/>
      <c r="S11" s="39"/>
    </row>
    <row r="12" spans="1:21" ht="12.75">
      <c r="A12" s="1" t="s">
        <v>3</v>
      </c>
      <c r="B12" s="14">
        <v>57062</v>
      </c>
      <c r="C12" s="14">
        <f>64631.819-5338.742</f>
        <v>59293.077000000005</v>
      </c>
      <c r="D12" s="14">
        <v>60253</v>
      </c>
      <c r="E12" s="14">
        <v>64812</v>
      </c>
      <c r="F12" s="14">
        <v>68394</v>
      </c>
      <c r="G12" s="14">
        <v>71318</v>
      </c>
      <c r="H12" s="14">
        <v>71944</v>
      </c>
      <c r="I12" s="14">
        <v>78069</v>
      </c>
      <c r="J12" s="14">
        <v>81729</v>
      </c>
      <c r="K12" s="14">
        <v>84275.51636999998</v>
      </c>
      <c r="L12" s="15">
        <f>(K12-J12)*100/J12</f>
        <v>3.1158051242520806</v>
      </c>
      <c r="M12" s="16">
        <f>(K12-O12)*100/O12</f>
        <v>56.16699040118592</v>
      </c>
      <c r="N12" s="16"/>
      <c r="O12" s="14">
        <v>53965</v>
      </c>
      <c r="Q12" s="29">
        <v>88351428.36999999</v>
      </c>
      <c r="R12" s="150">
        <v>4075912</v>
      </c>
      <c r="S12" s="150"/>
      <c r="T12" s="3">
        <f>Q12-R12</f>
        <v>84275516.36999999</v>
      </c>
      <c r="U12" s="3">
        <f>T12/1000</f>
        <v>84275.51636999998</v>
      </c>
    </row>
    <row r="13" spans="1:21" ht="12.75">
      <c r="A13" s="1" t="s">
        <v>4</v>
      </c>
      <c r="B13" s="14">
        <v>399666</v>
      </c>
      <c r="C13" s="14">
        <f>448631.679-38666.806</f>
        <v>409964.873</v>
      </c>
      <c r="D13" s="14">
        <v>416830</v>
      </c>
      <c r="E13" s="14">
        <v>436234</v>
      </c>
      <c r="F13" s="14">
        <v>455369</v>
      </c>
      <c r="G13" s="14">
        <v>490560</v>
      </c>
      <c r="H13" s="14">
        <v>538320</v>
      </c>
      <c r="I13" s="14">
        <v>575270</v>
      </c>
      <c r="J13" s="14">
        <v>600637</v>
      </c>
      <c r="K13" s="14">
        <v>617255.4172200001</v>
      </c>
      <c r="L13" s="15">
        <f>(K13-J13)*100/J13</f>
        <v>2.7667987852896276</v>
      </c>
      <c r="M13" s="16">
        <f>(K13-O13)*100/O13</f>
        <v>64.72224090199481</v>
      </c>
      <c r="N13" s="16"/>
      <c r="O13" s="14">
        <v>374725</v>
      </c>
      <c r="Q13" s="29">
        <v>648675346.22</v>
      </c>
      <c r="R13" s="150">
        <v>31419929</v>
      </c>
      <c r="S13" s="150"/>
      <c r="T13" s="3">
        <f>Q13-R13</f>
        <v>617255417.22</v>
      </c>
      <c r="U13" s="3">
        <f>T13/1000</f>
        <v>617255.4172200001</v>
      </c>
    </row>
    <row r="14" spans="1:21" ht="12.75">
      <c r="A14" s="1" t="s">
        <v>5</v>
      </c>
      <c r="B14" s="14">
        <v>604889</v>
      </c>
      <c r="C14" s="14">
        <f>679601.035-52772.742</f>
        <v>626828.2930000001</v>
      </c>
      <c r="D14" s="14">
        <v>658450</v>
      </c>
      <c r="E14" s="14">
        <v>711511</v>
      </c>
      <c r="F14" s="14">
        <v>754773</v>
      </c>
      <c r="G14" s="14">
        <v>779570</v>
      </c>
      <c r="H14" s="14">
        <v>849577</v>
      </c>
      <c r="I14" s="14">
        <v>879095</v>
      </c>
      <c r="J14" s="14">
        <v>909363</v>
      </c>
      <c r="K14" s="14">
        <v>855472.5314399999</v>
      </c>
      <c r="L14" s="15">
        <f>(K14-J14)*100/J14</f>
        <v>-5.926177836573521</v>
      </c>
      <c r="M14" s="16">
        <f>(K14-O14)*100/O14</f>
        <v>45.55907734871493</v>
      </c>
      <c r="N14" s="16"/>
      <c r="O14" s="14">
        <v>587715</v>
      </c>
      <c r="Q14" s="29">
        <v>899119516.4399999</v>
      </c>
      <c r="R14" s="150">
        <v>43646985</v>
      </c>
      <c r="S14" s="150"/>
      <c r="T14" s="3">
        <f>Q14-R14</f>
        <v>855472531.4399999</v>
      </c>
      <c r="U14" s="3">
        <f>T14/1000</f>
        <v>855472.5314399999</v>
      </c>
    </row>
    <row r="15" spans="1:21" ht="12.75">
      <c r="A15" s="1" t="s">
        <v>6</v>
      </c>
      <c r="B15" s="14">
        <v>579938</v>
      </c>
      <c r="C15" s="14">
        <f>654056.579-53930.669</f>
        <v>600125.91</v>
      </c>
      <c r="D15" s="14">
        <v>631823</v>
      </c>
      <c r="E15" s="14">
        <v>671462</v>
      </c>
      <c r="F15" s="14">
        <v>702432</v>
      </c>
      <c r="G15" s="14">
        <v>737636</v>
      </c>
      <c r="H15" s="14">
        <v>816965</v>
      </c>
      <c r="I15" s="14">
        <v>860910</v>
      </c>
      <c r="J15" s="14">
        <v>899691</v>
      </c>
      <c r="K15" s="14">
        <v>932809.8042400001</v>
      </c>
      <c r="L15" s="15">
        <f>(K15-J15)*100/J15</f>
        <v>3.6811309927519655</v>
      </c>
      <c r="M15" s="16">
        <f>(K15-O15)*100/O15</f>
        <v>74.4296789577712</v>
      </c>
      <c r="N15" s="16"/>
      <c r="O15" s="14">
        <v>534777</v>
      </c>
      <c r="Q15" s="29">
        <v>981049114.2400001</v>
      </c>
      <c r="R15" s="150">
        <v>48239310</v>
      </c>
      <c r="S15" s="150"/>
      <c r="T15" s="3">
        <f>Q15-R15</f>
        <v>932809804.2400001</v>
      </c>
      <c r="U15" s="3">
        <f>T15/1000</f>
        <v>932809.8042400001</v>
      </c>
    </row>
    <row r="16" spans="1:21" ht="12.75">
      <c r="A16" s="1" t="s">
        <v>7</v>
      </c>
      <c r="B16" s="14">
        <v>67487</v>
      </c>
      <c r="C16" s="14">
        <f>78368.169-6438.661</f>
        <v>71929.508</v>
      </c>
      <c r="D16" s="14">
        <v>77277</v>
      </c>
      <c r="E16" s="14">
        <v>83216</v>
      </c>
      <c r="F16" s="14">
        <v>91661</v>
      </c>
      <c r="G16" s="14">
        <v>98843</v>
      </c>
      <c r="H16" s="14">
        <v>108648</v>
      </c>
      <c r="I16" s="14">
        <v>119737</v>
      </c>
      <c r="J16" s="14">
        <v>131499</v>
      </c>
      <c r="K16" s="14">
        <v>141449.3214</v>
      </c>
      <c r="L16" s="15">
        <f>(K16-J16)*100/J16</f>
        <v>7.5668418771245305</v>
      </c>
      <c r="M16" s="16">
        <f>(K16-O16)*100/O16</f>
        <v>124.8796842607313</v>
      </c>
      <c r="N16" s="16"/>
      <c r="O16" s="14">
        <v>62900</v>
      </c>
      <c r="Q16" s="29">
        <v>148437645.39999998</v>
      </c>
      <c r="R16" s="150">
        <v>6988324</v>
      </c>
      <c r="S16" s="150"/>
      <c r="T16" s="3">
        <f>Q16-R16</f>
        <v>141449321.39999998</v>
      </c>
      <c r="U16" s="3">
        <f>T16/1000</f>
        <v>141449.3214</v>
      </c>
    </row>
    <row r="17" spans="2:19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4"/>
      <c r="Q17" s="29"/>
      <c r="R17" s="150"/>
      <c r="S17" s="150"/>
    </row>
    <row r="18" spans="1:21" ht="12.75">
      <c r="A18" s="1" t="s">
        <v>8</v>
      </c>
      <c r="B18" s="14">
        <v>26372</v>
      </c>
      <c r="C18" s="14">
        <f>30139.155-2541.162</f>
        <v>27597.993</v>
      </c>
      <c r="D18" s="14">
        <v>29399</v>
      </c>
      <c r="E18" s="14">
        <v>31017</v>
      </c>
      <c r="F18" s="14">
        <v>33334</v>
      </c>
      <c r="G18" s="14">
        <v>33678</v>
      </c>
      <c r="H18" s="14">
        <v>35108</v>
      </c>
      <c r="I18" s="14">
        <v>37657</v>
      </c>
      <c r="J18" s="14">
        <v>40627</v>
      </c>
      <c r="K18" s="14">
        <v>42948.59415999999</v>
      </c>
      <c r="L18" s="15">
        <f>(K18-J18)*100/J18</f>
        <v>5.714411992024991</v>
      </c>
      <c r="M18" s="16">
        <f>(K18-O18)*100/O18</f>
        <v>75.8242688827936</v>
      </c>
      <c r="N18" s="16"/>
      <c r="O18" s="14">
        <v>24427</v>
      </c>
      <c r="Q18" s="29">
        <v>45171693.16</v>
      </c>
      <c r="R18" s="150">
        <v>2223099</v>
      </c>
      <c r="S18" s="150"/>
      <c r="T18" s="3">
        <f>Q18-R18</f>
        <v>42948594.16</v>
      </c>
      <c r="U18" s="3">
        <f>T18/1000</f>
        <v>42948.59415999999</v>
      </c>
    </row>
    <row r="19" spans="1:21" ht="12.75">
      <c r="A19" s="1" t="s">
        <v>9</v>
      </c>
      <c r="B19" s="14">
        <v>130827</v>
      </c>
      <c r="C19" s="14">
        <f>146305.533-11892.775</f>
        <v>134412.758</v>
      </c>
      <c r="D19" s="14">
        <v>141117</v>
      </c>
      <c r="E19" s="14">
        <v>149317</v>
      </c>
      <c r="F19" s="14">
        <v>162294</v>
      </c>
      <c r="G19" s="14">
        <v>171347</v>
      </c>
      <c r="H19" s="14">
        <v>184176</v>
      </c>
      <c r="I19" s="14">
        <v>196738</v>
      </c>
      <c r="J19" s="14">
        <v>211353</v>
      </c>
      <c r="K19" s="14">
        <v>225117.29914000002</v>
      </c>
      <c r="L19" s="15">
        <f>(K19-J19)*100/J19</f>
        <v>6.512469252861335</v>
      </c>
      <c r="M19" s="16">
        <f>(K19-O19)*100/O19</f>
        <v>88.23618367295745</v>
      </c>
      <c r="N19" s="16"/>
      <c r="O19" s="14">
        <v>119593</v>
      </c>
      <c r="Q19" s="29">
        <v>236000428.14000002</v>
      </c>
      <c r="R19" s="150">
        <v>10883129</v>
      </c>
      <c r="S19" s="150"/>
      <c r="T19" s="3">
        <f>Q19-R19</f>
        <v>225117299.14000002</v>
      </c>
      <c r="U19" s="3">
        <f>T19/1000</f>
        <v>225117.29914000002</v>
      </c>
    </row>
    <row r="20" spans="1:21" ht="12.75">
      <c r="A20" s="1" t="s">
        <v>10</v>
      </c>
      <c r="B20" s="14">
        <v>71710</v>
      </c>
      <c r="C20" s="14">
        <f>81431.025-6937.498</f>
        <v>74493.527</v>
      </c>
      <c r="D20" s="14">
        <v>76639</v>
      </c>
      <c r="E20" s="14">
        <v>82545</v>
      </c>
      <c r="F20" s="14">
        <v>89503</v>
      </c>
      <c r="G20" s="14">
        <v>94913</v>
      </c>
      <c r="H20" s="14">
        <v>104037</v>
      </c>
      <c r="I20" s="14">
        <v>111201</v>
      </c>
      <c r="J20" s="14">
        <v>118455</v>
      </c>
      <c r="K20" s="14">
        <v>125725.04959000005</v>
      </c>
      <c r="L20" s="15">
        <f>(K20-J20)*100/J20</f>
        <v>6.137393600945552</v>
      </c>
      <c r="M20" s="16">
        <f>(K20-O20)*100/O20</f>
        <v>88.1182194275284</v>
      </c>
      <c r="N20" s="16"/>
      <c r="O20" s="14">
        <v>66833</v>
      </c>
      <c r="Q20" s="29">
        <v>132195636.59000005</v>
      </c>
      <c r="R20" s="150">
        <v>6470587</v>
      </c>
      <c r="S20" s="150"/>
      <c r="T20" s="3">
        <f>Q20-R20</f>
        <v>125725049.59000005</v>
      </c>
      <c r="U20" s="3">
        <f>T20/1000</f>
        <v>125725.04959000005</v>
      </c>
    </row>
    <row r="21" spans="1:21" ht="12.75">
      <c r="A21" s="1" t="s">
        <v>11</v>
      </c>
      <c r="B21" s="14">
        <v>110883</v>
      </c>
      <c r="C21" s="14">
        <f>123172.841-10571.762</f>
        <v>112601.079</v>
      </c>
      <c r="D21" s="14">
        <v>116942</v>
      </c>
      <c r="E21" s="14">
        <v>126279</v>
      </c>
      <c r="F21" s="14">
        <v>134801</v>
      </c>
      <c r="G21" s="14">
        <v>146553</v>
      </c>
      <c r="H21" s="14">
        <v>156707</v>
      </c>
      <c r="I21" s="14">
        <v>169100</v>
      </c>
      <c r="J21" s="14">
        <v>182941</v>
      </c>
      <c r="K21" s="14">
        <v>195685.69486999992</v>
      </c>
      <c r="L21" s="15">
        <f>(K21-J21)*100/J21</f>
        <v>6.966560186070875</v>
      </c>
      <c r="M21" s="16">
        <f>(K21-O21)*100/O21</f>
        <v>85.01233335854543</v>
      </c>
      <c r="N21" s="16"/>
      <c r="O21" s="14">
        <v>105769</v>
      </c>
      <c r="Q21" s="29">
        <v>205348617.86999992</v>
      </c>
      <c r="R21" s="150">
        <v>9662923</v>
      </c>
      <c r="S21" s="150"/>
      <c r="T21" s="3">
        <f>Q21-R21</f>
        <v>195685694.86999992</v>
      </c>
      <c r="U21" s="3">
        <f>T21/1000</f>
        <v>195685.69486999992</v>
      </c>
    </row>
    <row r="22" spans="1:21" ht="12.75">
      <c r="A22" s="1" t="s">
        <v>12</v>
      </c>
      <c r="B22" s="14">
        <v>27567</v>
      </c>
      <c r="C22" s="14">
        <f>30435.699-2600.944</f>
        <v>27834.755</v>
      </c>
      <c r="D22" s="14">
        <v>29261</v>
      </c>
      <c r="E22" s="14">
        <v>31395</v>
      </c>
      <c r="F22" s="14">
        <v>31867</v>
      </c>
      <c r="G22" s="14">
        <v>34396</v>
      </c>
      <c r="H22" s="14">
        <v>36719</v>
      </c>
      <c r="I22" s="14">
        <v>37219</v>
      </c>
      <c r="J22" s="14">
        <v>38888</v>
      </c>
      <c r="K22" s="14">
        <v>39649.94287</v>
      </c>
      <c r="L22" s="15">
        <f>(K22-J22)*100/J22</f>
        <v>1.9593264503188617</v>
      </c>
      <c r="M22" s="16">
        <f>(K22-O22)*100/O22</f>
        <v>54.4000890576324</v>
      </c>
      <c r="N22" s="16"/>
      <c r="O22" s="14">
        <v>25680</v>
      </c>
      <c r="Q22" s="29">
        <v>41681757.87</v>
      </c>
      <c r="R22" s="150">
        <v>2031815</v>
      </c>
      <c r="S22" s="150"/>
      <c r="T22" s="3">
        <f>Q22-R22</f>
        <v>39649942.87</v>
      </c>
      <c r="U22" s="3">
        <f>T22/1000</f>
        <v>39649.94287</v>
      </c>
    </row>
    <row r="23" spans="2:19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4"/>
      <c r="Q23" s="29"/>
      <c r="R23" s="150"/>
      <c r="S23" s="150"/>
    </row>
    <row r="24" spans="1:21" ht="12.75">
      <c r="A24" s="1" t="s">
        <v>13</v>
      </c>
      <c r="B24" s="14">
        <v>165749</v>
      </c>
      <c r="C24" s="14">
        <f>187782.874-15357.694</f>
        <v>172425.18000000002</v>
      </c>
      <c r="D24" s="14">
        <v>180188</v>
      </c>
      <c r="E24" s="14">
        <v>192451</v>
      </c>
      <c r="F24" s="14">
        <v>206065</v>
      </c>
      <c r="G24" s="14">
        <v>219539</v>
      </c>
      <c r="H24" s="14">
        <v>238743</v>
      </c>
      <c r="I24" s="14">
        <v>268350</v>
      </c>
      <c r="J24" s="14">
        <v>284094</v>
      </c>
      <c r="K24" s="14">
        <v>305762.70407</v>
      </c>
      <c r="L24" s="15">
        <f>(K24-J24)*100/J24</f>
        <v>7.6273008476067705</v>
      </c>
      <c r="M24" s="16">
        <f>(K24-O24)*100/O24</f>
        <v>101.16364406534338</v>
      </c>
      <c r="N24" s="16"/>
      <c r="O24" s="14">
        <v>151997</v>
      </c>
      <c r="Q24" s="29">
        <v>320615931.07</v>
      </c>
      <c r="R24" s="150">
        <v>14853227</v>
      </c>
      <c r="S24" s="150"/>
      <c r="T24" s="3">
        <f>Q24-R24</f>
        <v>305762704.07</v>
      </c>
      <c r="U24" s="3">
        <f>T24/1000</f>
        <v>305762.70407</v>
      </c>
    </row>
    <row r="25" spans="1:21" ht="12.75">
      <c r="A25" s="1" t="s">
        <v>14</v>
      </c>
      <c r="B25" s="14">
        <v>27352</v>
      </c>
      <c r="C25" s="14">
        <f>30506.655-2610.279</f>
        <v>27896.376</v>
      </c>
      <c r="D25" s="14">
        <v>29326</v>
      </c>
      <c r="E25" s="14">
        <v>30727</v>
      </c>
      <c r="F25" s="14">
        <v>32472</v>
      </c>
      <c r="G25" s="14">
        <v>33987</v>
      </c>
      <c r="H25" s="14">
        <v>35532</v>
      </c>
      <c r="I25" s="14">
        <v>37498</v>
      </c>
      <c r="J25" s="14">
        <v>38822</v>
      </c>
      <c r="K25" s="14">
        <v>40755.95668</v>
      </c>
      <c r="L25" s="15">
        <f>(K25-J25)*100/J25</f>
        <v>4.981599814538156</v>
      </c>
      <c r="M25" s="16">
        <f>(K25-O25)*100/O25</f>
        <v>54.62461749753397</v>
      </c>
      <c r="N25" s="16"/>
      <c r="O25" s="14">
        <v>26358</v>
      </c>
      <c r="Q25" s="29">
        <v>42861788.68</v>
      </c>
      <c r="R25" s="150">
        <v>2105832</v>
      </c>
      <c r="S25" s="150"/>
      <c r="T25" s="3">
        <f>Q25-R25</f>
        <v>40755956.68</v>
      </c>
      <c r="U25" s="3">
        <f>T25/1000</f>
        <v>40755.95668</v>
      </c>
    </row>
    <row r="26" spans="1:21" ht="12.75">
      <c r="A26" s="1" t="s">
        <v>15</v>
      </c>
      <c r="B26" s="14">
        <v>180997</v>
      </c>
      <c r="C26" s="14">
        <f>207611.262-16988.594</f>
        <v>190622.66799999998</v>
      </c>
      <c r="D26" s="14">
        <v>199275</v>
      </c>
      <c r="E26" s="14">
        <v>209920</v>
      </c>
      <c r="F26" s="14">
        <v>218478</v>
      </c>
      <c r="G26" s="14">
        <v>232926</v>
      </c>
      <c r="H26" s="14">
        <v>250722</v>
      </c>
      <c r="I26" s="14">
        <v>270948</v>
      </c>
      <c r="J26" s="14">
        <v>287116</v>
      </c>
      <c r="K26" s="14">
        <v>299618.07617</v>
      </c>
      <c r="L26" s="15">
        <f>(K26-J26)*100/J26</f>
        <v>4.354364148985084</v>
      </c>
      <c r="M26" s="16">
        <f>(K26-O26)*100/O26</f>
        <v>77.1012218833307</v>
      </c>
      <c r="N26" s="16"/>
      <c r="O26" s="14">
        <v>169179</v>
      </c>
      <c r="Q26" s="29">
        <v>315234157.17</v>
      </c>
      <c r="R26" s="150">
        <v>15616081</v>
      </c>
      <c r="S26" s="150"/>
      <c r="T26" s="3">
        <f>Q26-R26</f>
        <v>299618076.17</v>
      </c>
      <c r="U26" s="3">
        <f>T26/1000</f>
        <v>299618.07617</v>
      </c>
    </row>
    <row r="27" spans="1:21" ht="12.75">
      <c r="A27" s="1" t="s">
        <v>16</v>
      </c>
      <c r="B27" s="14">
        <v>225155</v>
      </c>
      <c r="C27" s="14">
        <f>261805.99-20737.782</f>
        <v>241068.20799999998</v>
      </c>
      <c r="D27" s="14">
        <v>249190</v>
      </c>
      <c r="E27" s="14">
        <v>261395</v>
      </c>
      <c r="F27" s="14">
        <v>282982</v>
      </c>
      <c r="G27" s="14">
        <v>321568</v>
      </c>
      <c r="H27" s="14">
        <v>358350</v>
      </c>
      <c r="I27" s="14">
        <v>389191</v>
      </c>
      <c r="J27" s="14">
        <v>415662</v>
      </c>
      <c r="K27" s="14">
        <v>448932.70752999996</v>
      </c>
      <c r="L27" s="15">
        <f>(K27-J27)*100/J27</f>
        <v>8.00426970230619</v>
      </c>
      <c r="M27" s="16">
        <f>(K27-O27)*100/O27</f>
        <v>114.61139835264645</v>
      </c>
      <c r="N27" s="16"/>
      <c r="O27" s="14">
        <v>209184</v>
      </c>
      <c r="Q27" s="29">
        <v>472213590.53</v>
      </c>
      <c r="R27" s="150">
        <v>23280883</v>
      </c>
      <c r="S27" s="150"/>
      <c r="T27" s="3">
        <f>Q27-R27</f>
        <v>448932707.53</v>
      </c>
      <c r="U27" s="3">
        <f>T27/1000</f>
        <v>448932.70752999996</v>
      </c>
    </row>
    <row r="28" spans="1:21" ht="12.75">
      <c r="A28" s="1" t="s">
        <v>17</v>
      </c>
      <c r="B28" s="14">
        <v>16530</v>
      </c>
      <c r="C28" s="14">
        <f>18582.291-1525.805</f>
        <v>17056.486</v>
      </c>
      <c r="D28" s="14">
        <v>17656</v>
      </c>
      <c r="E28" s="14">
        <v>20400</v>
      </c>
      <c r="F28" s="14">
        <v>19760</v>
      </c>
      <c r="G28" s="14">
        <v>20706</v>
      </c>
      <c r="H28" s="14">
        <v>22682</v>
      </c>
      <c r="I28" s="14">
        <v>24554</v>
      </c>
      <c r="J28" s="14">
        <v>25133</v>
      </c>
      <c r="K28" s="14">
        <v>24060.96293</v>
      </c>
      <c r="L28" s="15">
        <f>(K28-J28)*100/J28</f>
        <v>-4.265456053793811</v>
      </c>
      <c r="M28" s="16">
        <f>(K28-O28)*100/O28</f>
        <v>54.49443257994094</v>
      </c>
      <c r="N28" s="16"/>
      <c r="O28" s="14">
        <v>15574</v>
      </c>
      <c r="Q28" s="29">
        <v>25384557.93</v>
      </c>
      <c r="R28" s="150">
        <v>1323595</v>
      </c>
      <c r="S28" s="150"/>
      <c r="T28" s="3">
        <f>Q28-R28</f>
        <v>24060962.93</v>
      </c>
      <c r="U28" s="3">
        <f>T28/1000</f>
        <v>24060.96293</v>
      </c>
    </row>
    <row r="29" spans="2:19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4"/>
      <c r="Q29" s="29"/>
      <c r="R29" s="150"/>
      <c r="S29" s="150"/>
    </row>
    <row r="30" spans="1:21" ht="12.75">
      <c r="A30" s="1" t="s">
        <v>18</v>
      </c>
      <c r="B30" s="14">
        <v>813765</v>
      </c>
      <c r="C30" s="14">
        <f>935435.462-79534.647</f>
        <v>855900.8150000001</v>
      </c>
      <c r="D30" s="14">
        <v>892984</v>
      </c>
      <c r="E30" s="14">
        <v>943875</v>
      </c>
      <c r="F30" s="14">
        <v>1006397</v>
      </c>
      <c r="G30" s="14">
        <v>1079688</v>
      </c>
      <c r="H30" s="14">
        <v>1189767</v>
      </c>
      <c r="I30" s="14">
        <v>1287628</v>
      </c>
      <c r="J30" s="14">
        <v>1380120</v>
      </c>
      <c r="K30" s="14">
        <v>1455185.91248</v>
      </c>
      <c r="L30" s="15">
        <f>(K30-J30)*100/J30</f>
        <v>5.439085911370022</v>
      </c>
      <c r="M30" s="16">
        <f>(K30-O30)*100/O30</f>
        <v>88.08943802436966</v>
      </c>
      <c r="N30" s="16"/>
      <c r="O30" s="14">
        <v>773667</v>
      </c>
      <c r="Q30" s="29">
        <v>1532477269.48</v>
      </c>
      <c r="R30" s="150">
        <v>77291357</v>
      </c>
      <c r="S30" s="150"/>
      <c r="T30" s="3">
        <f>Q30-R30</f>
        <v>1455185912.48</v>
      </c>
      <c r="U30" s="3">
        <f aca="true" t="shared" si="0" ref="U30:U39">T30/1000</f>
        <v>1455185.91248</v>
      </c>
    </row>
    <row r="31" spans="1:21" ht="12.75">
      <c r="A31" s="1" t="s">
        <v>19</v>
      </c>
      <c r="B31" s="14">
        <v>682772</v>
      </c>
      <c r="C31" s="14">
        <f>767173.669-62887.658</f>
        <v>704286.0109999999</v>
      </c>
      <c r="D31" s="14">
        <v>737341</v>
      </c>
      <c r="E31" s="14">
        <v>788620</v>
      </c>
      <c r="F31" s="14">
        <v>842987</v>
      </c>
      <c r="G31" s="14">
        <v>894764</v>
      </c>
      <c r="H31" s="14">
        <v>959409</v>
      </c>
      <c r="I31" s="14">
        <v>1031316</v>
      </c>
      <c r="J31" s="14">
        <v>1110197</v>
      </c>
      <c r="K31" s="14">
        <v>1129007.7932100003</v>
      </c>
      <c r="L31" s="15">
        <f>(K31-J31)*100/J31</f>
        <v>1.6943653432679304</v>
      </c>
      <c r="M31" s="16">
        <f>(K31-O31)*100/O31</f>
        <v>75.95877281837568</v>
      </c>
      <c r="N31" s="16"/>
      <c r="O31" s="14">
        <v>641632</v>
      </c>
      <c r="Q31" s="29">
        <v>1182024292.2100003</v>
      </c>
      <c r="R31" s="150">
        <v>53016499</v>
      </c>
      <c r="S31" s="150"/>
      <c r="T31" s="3">
        <f>Q31-R31</f>
        <v>1129007793.2100003</v>
      </c>
      <c r="U31" s="3">
        <f t="shared" si="0"/>
        <v>1129007.7932100003</v>
      </c>
    </row>
    <row r="32" spans="1:21" ht="12.75">
      <c r="A32" s="1" t="s">
        <v>20</v>
      </c>
      <c r="B32" s="14">
        <v>33064</v>
      </c>
      <c r="C32" s="14">
        <f>36645.216-3142.252</f>
        <v>33502.964</v>
      </c>
      <c r="D32" s="14">
        <v>35412</v>
      </c>
      <c r="E32" s="14">
        <v>38080</v>
      </c>
      <c r="F32" s="14">
        <v>42314</v>
      </c>
      <c r="G32" s="14">
        <v>44946</v>
      </c>
      <c r="H32" s="14">
        <v>49088</v>
      </c>
      <c r="I32" s="14">
        <v>53639</v>
      </c>
      <c r="J32" s="14">
        <v>56648</v>
      </c>
      <c r="K32" s="14">
        <v>60033.53495999999</v>
      </c>
      <c r="L32" s="15">
        <f>(K32-J32)*100/J32</f>
        <v>5.976442169185126</v>
      </c>
      <c r="M32" s="16">
        <f>(K32-O32)*100/O32</f>
        <v>91.43346607142854</v>
      </c>
      <c r="N32" s="16"/>
      <c r="O32" s="14">
        <v>31360</v>
      </c>
      <c r="Q32" s="29">
        <v>63022311.95999999</v>
      </c>
      <c r="R32" s="150">
        <v>2988777</v>
      </c>
      <c r="S32" s="150"/>
      <c r="T32" s="3">
        <f>Q32-R32</f>
        <v>60033534.95999999</v>
      </c>
      <c r="U32" s="3">
        <f t="shared" si="0"/>
        <v>60033.53495999999</v>
      </c>
    </row>
    <row r="33" spans="1:21" ht="12.75">
      <c r="A33" s="1" t="s">
        <v>21</v>
      </c>
      <c r="B33" s="14">
        <v>73304</v>
      </c>
      <c r="C33" s="14">
        <f>79604.785-6739.015</f>
        <v>72865.77</v>
      </c>
      <c r="D33" s="14">
        <v>78617</v>
      </c>
      <c r="E33" s="14">
        <v>83637</v>
      </c>
      <c r="F33" s="14">
        <v>88503</v>
      </c>
      <c r="G33" s="14">
        <v>96935</v>
      </c>
      <c r="H33" s="14">
        <v>102469</v>
      </c>
      <c r="I33" s="14">
        <v>111156</v>
      </c>
      <c r="J33" s="14">
        <v>118164</v>
      </c>
      <c r="K33" s="14">
        <v>123124.76827</v>
      </c>
      <c r="L33" s="15">
        <f>(K33-J33)*100/J33</f>
        <v>4.198206111844556</v>
      </c>
      <c r="M33" s="16">
        <f>(K33-O33)*100/O33</f>
        <v>78.0160027036796</v>
      </c>
      <c r="N33" s="16"/>
      <c r="O33" s="14">
        <v>69165</v>
      </c>
      <c r="Q33" s="29">
        <v>129367975.27</v>
      </c>
      <c r="R33" s="150">
        <v>6243207</v>
      </c>
      <c r="S33" s="150"/>
      <c r="T33" s="3">
        <f>Q33-R33</f>
        <v>123124768.27</v>
      </c>
      <c r="U33" s="3">
        <f t="shared" si="0"/>
        <v>123124.76827</v>
      </c>
    </row>
    <row r="34" spans="1:21" ht="12.75">
      <c r="A34" s="1" t="s">
        <v>22</v>
      </c>
      <c r="B34" s="14">
        <v>18576</v>
      </c>
      <c r="C34" s="14">
        <f>21174.935-1832.657</f>
        <v>19342.278000000002</v>
      </c>
      <c r="D34" s="14">
        <v>19090</v>
      </c>
      <c r="E34" s="14">
        <v>21497</v>
      </c>
      <c r="F34" s="14">
        <v>21765</v>
      </c>
      <c r="G34" s="14">
        <v>22892</v>
      </c>
      <c r="H34" s="14">
        <v>23864</v>
      </c>
      <c r="I34" s="14">
        <v>25279</v>
      </c>
      <c r="J34" s="14">
        <v>26414</v>
      </c>
      <c r="K34" s="14">
        <v>27417.34906</v>
      </c>
      <c r="L34" s="15">
        <f>(K34-J34)*100/J34</f>
        <v>3.798550238509883</v>
      </c>
      <c r="M34" s="16">
        <f>(K34-O34)*100/O34</f>
        <v>52.93032719767961</v>
      </c>
      <c r="N34" s="16"/>
      <c r="O34" s="14">
        <v>17928</v>
      </c>
      <c r="Q34" s="29">
        <v>28788993.06</v>
      </c>
      <c r="R34" s="150">
        <v>1371644</v>
      </c>
      <c r="S34" s="150"/>
      <c r="T34" s="3">
        <f>Q34-R34</f>
        <v>27417349.06</v>
      </c>
      <c r="U34" s="3">
        <f t="shared" si="0"/>
        <v>27417.34906</v>
      </c>
    </row>
    <row r="35" spans="2:19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6"/>
      <c r="N35" s="16"/>
      <c r="O35" s="14"/>
      <c r="Q35" s="29"/>
      <c r="R35" s="150"/>
      <c r="S35" s="150"/>
    </row>
    <row r="36" spans="1:21" ht="12.75">
      <c r="A36" s="1" t="s">
        <v>23</v>
      </c>
      <c r="B36" s="14">
        <v>23764</v>
      </c>
      <c r="C36" s="14">
        <f>26834.783-2255.978</f>
        <v>24578.805</v>
      </c>
      <c r="D36" s="14">
        <v>24358</v>
      </c>
      <c r="E36" s="14">
        <v>25080</v>
      </c>
      <c r="F36" s="14">
        <v>27346</v>
      </c>
      <c r="G36" s="14">
        <v>28517</v>
      </c>
      <c r="H36" s="14">
        <v>31121</v>
      </c>
      <c r="I36" s="14">
        <v>33609</v>
      </c>
      <c r="J36" s="14">
        <v>35845</v>
      </c>
      <c r="K36" s="14">
        <v>38081.83588</v>
      </c>
      <c r="L36" s="15">
        <f>(K36-J36)*100/J36</f>
        <v>6.240300962477329</v>
      </c>
      <c r="M36" s="16">
        <f>(K36-O36)*100/O36</f>
        <v>74.00089500137074</v>
      </c>
      <c r="N36" s="16"/>
      <c r="O36" s="14">
        <v>21886</v>
      </c>
      <c r="Q36" s="29">
        <v>40106978.879999995</v>
      </c>
      <c r="R36" s="150">
        <v>2025143</v>
      </c>
      <c r="S36" s="150"/>
      <c r="T36" s="3">
        <f>Q36-R36</f>
        <v>38081835.879999995</v>
      </c>
      <c r="U36" s="3">
        <f t="shared" si="0"/>
        <v>38081.83588</v>
      </c>
    </row>
    <row r="37" spans="1:21" ht="12.75">
      <c r="A37" s="1" t="s">
        <v>24</v>
      </c>
      <c r="B37" s="14">
        <v>99412</v>
      </c>
      <c r="C37" s="14">
        <f>110582.043-9899.971</f>
        <v>100682.072</v>
      </c>
      <c r="D37" s="14">
        <v>103725</v>
      </c>
      <c r="E37" s="14">
        <v>109580</v>
      </c>
      <c r="F37" s="14">
        <v>119573</v>
      </c>
      <c r="G37" s="14">
        <v>126376</v>
      </c>
      <c r="H37" s="14">
        <v>131291</v>
      </c>
      <c r="I37" s="14">
        <v>142158</v>
      </c>
      <c r="J37" s="14">
        <v>148692</v>
      </c>
      <c r="K37" s="14">
        <v>159437.81078999996</v>
      </c>
      <c r="L37" s="15">
        <f>(K37-J37)*100/J37</f>
        <v>7.226892361391306</v>
      </c>
      <c r="M37" s="16">
        <f>(K37-O37)*100/O37</f>
        <v>69.25098277106639</v>
      </c>
      <c r="N37" s="16"/>
      <c r="O37" s="14">
        <v>94202</v>
      </c>
      <c r="Q37" s="29">
        <v>167660384.78999996</v>
      </c>
      <c r="R37" s="150">
        <v>8222574</v>
      </c>
      <c r="S37" s="150"/>
      <c r="T37" s="3">
        <f>Q37-R37</f>
        <v>159437810.78999996</v>
      </c>
      <c r="U37" s="3">
        <f t="shared" si="0"/>
        <v>159437.81078999996</v>
      </c>
    </row>
    <row r="38" spans="1:21" ht="12.75">
      <c r="A38" s="1" t="s">
        <v>25</v>
      </c>
      <c r="B38" s="14">
        <v>66132</v>
      </c>
      <c r="C38" s="14">
        <f>74391.684-6955.611</f>
        <v>67436.07299999999</v>
      </c>
      <c r="D38" s="14">
        <v>71778</v>
      </c>
      <c r="E38" s="14">
        <v>78871</v>
      </c>
      <c r="F38" s="14">
        <v>84127</v>
      </c>
      <c r="G38" s="14">
        <v>91345</v>
      </c>
      <c r="H38" s="14">
        <v>98569</v>
      </c>
      <c r="I38" s="14">
        <v>102586</v>
      </c>
      <c r="J38" s="14">
        <v>108863</v>
      </c>
      <c r="K38" s="14">
        <v>117454.33406000001</v>
      </c>
      <c r="L38" s="15">
        <f>(K38-J38)*100/J38</f>
        <v>7.891877001368701</v>
      </c>
      <c r="M38" s="16">
        <f>(K38-O38)*100/O38</f>
        <v>85.06654596161725</v>
      </c>
      <c r="N38" s="16"/>
      <c r="O38" s="14">
        <v>63466</v>
      </c>
      <c r="Q38" s="29">
        <v>123648867.06</v>
      </c>
      <c r="R38" s="150">
        <v>6194533</v>
      </c>
      <c r="S38" s="150"/>
      <c r="T38" s="3">
        <f>Q38-R38</f>
        <v>117454334.06</v>
      </c>
      <c r="U38" s="3">
        <f t="shared" si="0"/>
        <v>117454.33406000001</v>
      </c>
    </row>
    <row r="39" spans="1:21" ht="12.75">
      <c r="A39" s="17" t="s">
        <v>26</v>
      </c>
      <c r="B39" s="14">
        <v>36028</v>
      </c>
      <c r="C39" s="14">
        <f>41036.102-3658.713</f>
        <v>37377.388999999996</v>
      </c>
      <c r="D39" s="14">
        <v>39739</v>
      </c>
      <c r="E39" s="14">
        <v>42459</v>
      </c>
      <c r="F39" s="14">
        <v>46028</v>
      </c>
      <c r="G39" s="14">
        <v>48371</v>
      </c>
      <c r="H39" s="14">
        <v>52562</v>
      </c>
      <c r="I39" s="14">
        <v>58213</v>
      </c>
      <c r="J39" s="14">
        <v>63505</v>
      </c>
      <c r="K39" s="14">
        <v>66590.38256</v>
      </c>
      <c r="L39" s="15">
        <f>(K39-J39)*100/J39</f>
        <v>4.858487615148411</v>
      </c>
      <c r="M39" s="16">
        <f>(K39-O39)*100/O39</f>
        <v>91.31868804229156</v>
      </c>
      <c r="N39" s="16"/>
      <c r="O39" s="24">
        <v>34806</v>
      </c>
      <c r="Q39" s="3">
        <v>69982027.56</v>
      </c>
      <c r="R39" s="102">
        <v>3391645</v>
      </c>
      <c r="S39" s="86"/>
      <c r="T39" s="3">
        <f>Q39-R39</f>
        <v>66590382.56</v>
      </c>
      <c r="U39" s="3">
        <f t="shared" si="0"/>
        <v>66590.38256</v>
      </c>
    </row>
    <row r="40" spans="1:15" ht="12.75">
      <c r="A40" s="1" t="s">
        <v>37</v>
      </c>
      <c r="B40" s="19"/>
      <c r="C40" s="19"/>
      <c r="D40" s="19"/>
      <c r="E40" s="19"/>
      <c r="F40" s="19"/>
      <c r="G40" s="19"/>
      <c r="H40" s="18"/>
      <c r="I40" s="18"/>
      <c r="J40" s="18"/>
      <c r="K40" s="18"/>
      <c r="L40" s="18"/>
      <c r="M40" s="18"/>
      <c r="N40" s="18"/>
      <c r="O40" s="19"/>
    </row>
    <row r="41" spans="2:15" ht="12.75">
      <c r="B41" s="14"/>
      <c r="C41" s="14"/>
      <c r="D41" s="14"/>
      <c r="E41" s="14"/>
      <c r="F41" s="14"/>
      <c r="G41" s="14"/>
      <c r="O41" s="14"/>
    </row>
    <row r="42" spans="1:15" ht="12.75">
      <c r="A42" s="3"/>
      <c r="B42" s="14"/>
      <c r="C42" s="14"/>
      <c r="D42" s="14"/>
      <c r="E42" s="14"/>
      <c r="F42" s="14"/>
      <c r="G42" s="14"/>
      <c r="M42" s="11"/>
      <c r="N42" s="11"/>
      <c r="O42" s="14"/>
    </row>
    <row r="43" spans="13:14" ht="12.75">
      <c r="M43" s="14"/>
      <c r="N43" s="14"/>
    </row>
    <row r="44" spans="13:14" ht="12.75">
      <c r="M44" s="14"/>
      <c r="N44" s="14"/>
    </row>
    <row r="45" spans="9:14" ht="15.75">
      <c r="I45" s="67"/>
      <c r="J45" s="67"/>
      <c r="K45" s="67"/>
      <c r="L45" s="67"/>
      <c r="M45" s="14"/>
      <c r="N45" s="14"/>
    </row>
    <row r="46" spans="9:14" ht="15.75">
      <c r="I46" s="67"/>
      <c r="J46" s="67"/>
      <c r="K46" s="67"/>
      <c r="L46" s="67"/>
      <c r="M46" s="14"/>
      <c r="N46" s="14"/>
    </row>
    <row r="47" spans="9:14" ht="15.75">
      <c r="I47" s="67"/>
      <c r="J47" s="67"/>
      <c r="K47" s="67"/>
      <c r="L47" s="67"/>
      <c r="M47" s="14"/>
      <c r="N47" s="14"/>
    </row>
    <row r="48" spans="9:14" ht="15.75">
      <c r="I48" s="67"/>
      <c r="J48" s="67"/>
      <c r="K48" s="67"/>
      <c r="L48" s="67"/>
      <c r="M48" s="14"/>
      <c r="N48" s="14"/>
    </row>
    <row r="49" spans="9:14" ht="15.75">
      <c r="I49" s="67"/>
      <c r="J49" s="67"/>
      <c r="K49" s="67"/>
      <c r="L49" s="67"/>
      <c r="M49" s="14"/>
      <c r="N49" s="14"/>
    </row>
    <row r="50" spans="9:14" ht="15.75">
      <c r="I50" s="67"/>
      <c r="J50" s="67"/>
      <c r="K50" s="67"/>
      <c r="L50" s="67"/>
      <c r="M50" s="14"/>
      <c r="N50" s="14"/>
    </row>
    <row r="51" spans="9:14" ht="15.75">
      <c r="I51" s="67"/>
      <c r="J51" s="67"/>
      <c r="K51" s="67"/>
      <c r="L51" s="67"/>
      <c r="M51" s="14"/>
      <c r="N51" s="14"/>
    </row>
    <row r="52" spans="9:14" ht="15.75">
      <c r="I52" s="67"/>
      <c r="J52" s="67"/>
      <c r="K52" s="67"/>
      <c r="L52" s="67"/>
      <c r="M52" s="14"/>
      <c r="N52" s="14"/>
    </row>
    <row r="53" spans="9:14" ht="15.75">
      <c r="I53" s="67"/>
      <c r="J53" s="67"/>
      <c r="K53" s="67"/>
      <c r="L53" s="67"/>
      <c r="M53" s="14"/>
      <c r="N53" s="14"/>
    </row>
    <row r="54" spans="9:14" ht="15.75">
      <c r="I54" s="67"/>
      <c r="J54" s="67"/>
      <c r="K54" s="67"/>
      <c r="L54" s="67"/>
      <c r="M54" s="14"/>
      <c r="N54" s="14"/>
    </row>
    <row r="55" spans="9:14" ht="15.75">
      <c r="I55" s="67"/>
      <c r="J55" s="67"/>
      <c r="K55" s="67"/>
      <c r="L55" s="67"/>
      <c r="M55" s="14"/>
      <c r="N55" s="14"/>
    </row>
    <row r="56" spans="9:14" ht="15.75">
      <c r="I56" s="67"/>
      <c r="J56" s="67"/>
      <c r="K56" s="67"/>
      <c r="L56" s="67"/>
      <c r="M56" s="14"/>
      <c r="N56" s="14"/>
    </row>
    <row r="57" spans="9:14" ht="15.75">
      <c r="I57" s="67"/>
      <c r="J57" s="67"/>
      <c r="K57" s="67"/>
      <c r="L57" s="67"/>
      <c r="M57" s="14"/>
      <c r="N57" s="14"/>
    </row>
    <row r="58" spans="9:14" ht="15.75">
      <c r="I58" s="67"/>
      <c r="J58" s="67"/>
      <c r="K58" s="67"/>
      <c r="L58" s="67"/>
      <c r="M58" s="14"/>
      <c r="N58" s="14"/>
    </row>
    <row r="59" spans="9:14" ht="15.75">
      <c r="I59" s="67"/>
      <c r="J59" s="67"/>
      <c r="K59" s="67"/>
      <c r="L59" s="67"/>
      <c r="M59" s="14"/>
      <c r="N59" s="14"/>
    </row>
    <row r="60" spans="9:14" ht="15.75">
      <c r="I60" s="67"/>
      <c r="J60" s="67"/>
      <c r="K60" s="67"/>
      <c r="L60" s="67"/>
      <c r="M60" s="14"/>
      <c r="N60" s="14"/>
    </row>
    <row r="61" spans="9:14" ht="15.75">
      <c r="I61" s="67"/>
      <c r="J61" s="67"/>
      <c r="K61" s="67"/>
      <c r="L61" s="67"/>
      <c r="M61" s="14"/>
      <c r="N61" s="14"/>
    </row>
    <row r="62" spans="9:14" ht="15.75">
      <c r="I62" s="67"/>
      <c r="J62" s="67"/>
      <c r="K62" s="67"/>
      <c r="L62" s="67"/>
      <c r="M62" s="14"/>
      <c r="N62" s="14"/>
    </row>
    <row r="63" spans="9:14" ht="15.75">
      <c r="I63" s="67"/>
      <c r="J63" s="67"/>
      <c r="K63" s="67"/>
      <c r="L63" s="67"/>
      <c r="M63" s="14"/>
      <c r="N63" s="14"/>
    </row>
    <row r="64" spans="9:14" ht="15.75">
      <c r="I64" s="67"/>
      <c r="J64" s="67"/>
      <c r="K64" s="67"/>
      <c r="L64" s="67"/>
      <c r="M64" s="14"/>
      <c r="N64" s="14"/>
    </row>
    <row r="65" spans="9:14" ht="15.75">
      <c r="I65" s="67"/>
      <c r="J65" s="67"/>
      <c r="K65" s="67"/>
      <c r="L65" s="67"/>
      <c r="M65" s="14"/>
      <c r="N65" s="14"/>
    </row>
    <row r="66" spans="9:14" ht="15.75">
      <c r="I66" s="67"/>
      <c r="J66" s="67"/>
      <c r="K66" s="67"/>
      <c r="L66" s="67"/>
      <c r="M66" s="14"/>
      <c r="N66" s="14"/>
    </row>
    <row r="67" spans="9:14" ht="15.75">
      <c r="I67" s="67"/>
      <c r="J67" s="67"/>
      <c r="K67" s="67"/>
      <c r="L67" s="67"/>
      <c r="M67" s="14"/>
      <c r="N67" s="14"/>
    </row>
    <row r="68" spans="9:14" ht="15.75">
      <c r="I68" s="67"/>
      <c r="J68" s="67"/>
      <c r="K68" s="67"/>
      <c r="L68" s="67"/>
      <c r="M68" s="14"/>
      <c r="N68" s="14"/>
    </row>
    <row r="69" spans="9:14" ht="15.75">
      <c r="I69" s="67"/>
      <c r="J69" s="67"/>
      <c r="K69" s="67"/>
      <c r="L69" s="67"/>
      <c r="M69" s="14"/>
      <c r="N69" s="14"/>
    </row>
    <row r="70" spans="9:14" ht="15.75">
      <c r="I70" s="67"/>
      <c r="J70" s="67"/>
      <c r="K70" s="67"/>
      <c r="L70" s="67"/>
      <c r="M70" s="14"/>
      <c r="N70" s="14"/>
    </row>
    <row r="71" spans="9:14" ht="15.75">
      <c r="I71" s="67"/>
      <c r="J71" s="67"/>
      <c r="K71" s="67"/>
      <c r="L71" s="67"/>
      <c r="M71" s="14"/>
      <c r="N71" s="14"/>
    </row>
    <row r="72" spans="9:14" ht="15.75">
      <c r="I72" s="68"/>
      <c r="J72" s="67"/>
      <c r="K72" s="67"/>
      <c r="L72" s="67"/>
      <c r="M72" s="67"/>
      <c r="N72" s="67"/>
    </row>
  </sheetData>
  <mergeCells count="6">
    <mergeCell ref="A1:M1"/>
    <mergeCell ref="L7:M7"/>
    <mergeCell ref="T7:U7"/>
    <mergeCell ref="T6:U6"/>
    <mergeCell ref="A3:M3"/>
    <mergeCell ref="A4:M4"/>
  </mergeCells>
  <printOptions/>
  <pageMargins left="0.54" right="0.45" top="1" bottom="1" header="0.5" footer="0.5"/>
  <pageSetup fitToHeight="1" fitToWidth="1" orientation="landscape" scale="77" r:id="rId1"/>
  <headerFooter alignWithMargins="0">
    <oddFooter>&amp;L&amp;"Lucida Sans,Italic"&amp;10MSDE-DBS  1 / 2006
&amp;C- 7 -&amp;R&amp;"Lucida Sans,Italic"&amp;10Selected Financial Data - Part 4</oddFooter>
  </headerFooter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workbookViewId="0" topLeftCell="A4">
      <selection activeCell="A4" sqref="A4:M4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3" width="6.625" style="1" customWidth="1"/>
    <col min="14" max="14" width="6.625" style="7" customWidth="1"/>
    <col min="15" max="15" width="12.50390625" style="3" bestFit="1" customWidth="1"/>
    <col min="16" max="16" width="12.50390625" style="3" customWidth="1"/>
    <col min="17" max="17" width="12.50390625" style="3" bestFit="1" customWidth="1"/>
    <col min="18" max="18" width="10.125" style="3" customWidth="1"/>
    <col min="19" max="19" width="11.625" style="3" customWidth="1"/>
    <col min="20" max="21" width="12.50390625" style="3" bestFit="1" customWidth="1"/>
    <col min="22" max="43" width="10.125" style="3" customWidth="1"/>
    <col min="44" max="16384" width="10.00390625" style="3" customWidth="1"/>
  </cols>
  <sheetData>
    <row r="1" spans="1:14" ht="15.75" customHeight="1">
      <c r="A1" s="228" t="s">
        <v>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5"/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10"/>
      <c r="O2" s="219" t="s">
        <v>181</v>
      </c>
    </row>
    <row r="3" spans="1:14" ht="12.75">
      <c r="A3" s="226" t="s">
        <v>38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5"/>
    </row>
    <row r="4" spans="1:14" ht="12.75">
      <c r="A4" s="226" t="s">
        <v>168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5"/>
    </row>
    <row r="5" spans="17:22" ht="13.5" thickBot="1">
      <c r="Q5" s="230" t="s">
        <v>171</v>
      </c>
      <c r="R5" s="230"/>
      <c r="S5" s="230"/>
      <c r="T5" s="230"/>
      <c r="U5" s="230"/>
      <c r="V5" s="230"/>
    </row>
    <row r="6" spans="1:22" ht="13.5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5"/>
      <c r="P6" s="7"/>
      <c r="Q6" s="3" t="s">
        <v>150</v>
      </c>
      <c r="R6" s="3" t="s">
        <v>150</v>
      </c>
      <c r="S6" s="3" t="s">
        <v>153</v>
      </c>
      <c r="T6" s="3" t="s">
        <v>153</v>
      </c>
      <c r="U6" s="231" t="s">
        <v>90</v>
      </c>
      <c r="V6" s="231" t="s">
        <v>156</v>
      </c>
    </row>
    <row r="7" spans="1:22" ht="13.5" thickBot="1">
      <c r="A7" s="7"/>
      <c r="B7" s="7"/>
      <c r="C7" s="7"/>
      <c r="D7" s="7"/>
      <c r="L7" s="227" t="s">
        <v>28</v>
      </c>
      <c r="M7" s="227"/>
      <c r="N7" s="210"/>
      <c r="O7" s="7"/>
      <c r="P7" s="7"/>
      <c r="Q7" s="3" t="s">
        <v>151</v>
      </c>
      <c r="R7" s="3" t="s">
        <v>152</v>
      </c>
      <c r="S7" s="3" t="s">
        <v>154</v>
      </c>
      <c r="T7" s="3" t="s">
        <v>155</v>
      </c>
      <c r="U7" s="232"/>
      <c r="V7" s="233"/>
    </row>
    <row r="8" spans="1:22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10" t="s">
        <v>59</v>
      </c>
      <c r="M8" s="10" t="s">
        <v>60</v>
      </c>
      <c r="N8" s="25"/>
      <c r="O8" s="7"/>
      <c r="P8" s="7"/>
      <c r="Q8" s="3" t="s">
        <v>86</v>
      </c>
      <c r="R8" s="3" t="s">
        <v>89</v>
      </c>
      <c r="S8" s="3" t="s">
        <v>87</v>
      </c>
      <c r="T8" s="3" t="s">
        <v>87</v>
      </c>
      <c r="U8" s="105" t="s">
        <v>91</v>
      </c>
      <c r="V8" s="105" t="s">
        <v>91</v>
      </c>
    </row>
    <row r="9" spans="1:22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25"/>
      <c r="O9" s="33" t="s">
        <v>158</v>
      </c>
      <c r="P9" s="32"/>
      <c r="Q9" s="3" t="s">
        <v>90</v>
      </c>
      <c r="R9" s="3" t="s">
        <v>88</v>
      </c>
      <c r="S9" s="3" t="s">
        <v>90</v>
      </c>
      <c r="T9" s="3" t="s">
        <v>88</v>
      </c>
      <c r="U9" s="105" t="s">
        <v>89</v>
      </c>
      <c r="V9" s="105" t="s">
        <v>89</v>
      </c>
    </row>
    <row r="10" spans="1:22" ht="12.75">
      <c r="A10" s="7" t="s">
        <v>2</v>
      </c>
      <c r="B10" s="11">
        <f aca="true" t="shared" si="0" ref="B10:K10">SUM(B12:B43)</f>
        <v>2350590.7229999998</v>
      </c>
      <c r="C10" s="11">
        <f t="shared" si="0"/>
        <v>2438368.5749999993</v>
      </c>
      <c r="D10" s="11">
        <f t="shared" si="0"/>
        <v>2517398</v>
      </c>
      <c r="E10" s="11">
        <f t="shared" si="0"/>
        <v>2381073</v>
      </c>
      <c r="F10" s="11">
        <f t="shared" si="0"/>
        <v>2534562</v>
      </c>
      <c r="G10" s="11">
        <f t="shared" si="0"/>
        <v>2690895</v>
      </c>
      <c r="H10" s="11">
        <f t="shared" si="0"/>
        <v>2983563</v>
      </c>
      <c r="I10" s="11">
        <f t="shared" si="0"/>
        <v>3220407</v>
      </c>
      <c r="J10" s="11">
        <f t="shared" si="0"/>
        <v>3348155</v>
      </c>
      <c r="K10" s="11">
        <f t="shared" si="0"/>
        <v>3406903.3087700005</v>
      </c>
      <c r="L10" s="12">
        <f>(K10-J10)/J10</f>
        <v>0.017546472242175308</v>
      </c>
      <c r="M10" s="12">
        <f>(K10-O10)/O10</f>
        <v>0.5554576374680981</v>
      </c>
      <c r="N10" s="12"/>
      <c r="O10" s="11">
        <f>SUM(O12:O43)</f>
        <v>2190290</v>
      </c>
      <c r="P10" s="11"/>
      <c r="Q10" s="11">
        <f>SUM(Q12:Q43)</f>
        <v>3423683764.6799994</v>
      </c>
      <c r="R10" s="11">
        <f>SUM(R12:R43)</f>
        <v>30515368.11</v>
      </c>
      <c r="S10" s="11">
        <f>SUM(S12:S43)</f>
        <v>8408047.139999999</v>
      </c>
      <c r="T10" s="11">
        <f>SUM(T11:T39)</f>
        <v>35638.37</v>
      </c>
      <c r="U10" s="11">
        <f>SUM(U11:U39)</f>
        <v>3406903308.77</v>
      </c>
      <c r="V10" s="11">
        <f>SUM(V11:V39)</f>
        <v>3406903.3087700005</v>
      </c>
    </row>
    <row r="11" spans="2:16" ht="12.75">
      <c r="B11" s="14" t="s">
        <v>27</v>
      </c>
      <c r="C11" s="14"/>
      <c r="D11" s="14"/>
      <c r="E11" s="14"/>
      <c r="F11" s="14"/>
      <c r="G11" s="14"/>
      <c r="H11" s="14"/>
      <c r="I11" s="14"/>
      <c r="J11" s="14"/>
      <c r="K11" s="14"/>
      <c r="M11" s="14"/>
      <c r="N11" s="223"/>
      <c r="O11" s="1"/>
      <c r="P11" s="1"/>
    </row>
    <row r="12" spans="1:22" ht="12.75">
      <c r="A12" s="1" t="s">
        <v>3</v>
      </c>
      <c r="B12" s="14">
        <f>30730.313-584.698</f>
        <v>30145.614999999998</v>
      </c>
      <c r="C12" s="14">
        <f>31948.15-687.06</f>
        <v>31261.09</v>
      </c>
      <c r="D12" s="14">
        <v>31479</v>
      </c>
      <c r="E12" s="14">
        <v>30834</v>
      </c>
      <c r="F12" s="14">
        <v>31322</v>
      </c>
      <c r="G12" s="14">
        <v>32028</v>
      </c>
      <c r="H12" s="14">
        <v>32727</v>
      </c>
      <c r="I12" s="14">
        <v>35665</v>
      </c>
      <c r="J12" s="14">
        <v>36325</v>
      </c>
      <c r="K12" s="14">
        <v>38278.67409999998</v>
      </c>
      <c r="L12" s="85">
        <f>(K12-J12)*100/J12</f>
        <v>5.378318238127961</v>
      </c>
      <c r="M12" s="16">
        <f>(K12-O12)*100/O12</f>
        <v>32.81521841712634</v>
      </c>
      <c r="N12" s="220"/>
      <c r="O12" s="27">
        <v>28821</v>
      </c>
      <c r="P12" s="27"/>
      <c r="Q12" s="3">
        <v>38604909.459999986</v>
      </c>
      <c r="R12" s="86">
        <v>588479.93</v>
      </c>
      <c r="S12" s="39">
        <v>169183.38</v>
      </c>
      <c r="T12" s="39">
        <v>12131.4</v>
      </c>
      <c r="U12" s="3">
        <f>Q12-S12-S12+T12</f>
        <v>38278674.09999998</v>
      </c>
      <c r="V12" s="3">
        <f>U12/1000</f>
        <v>38278.67409999998</v>
      </c>
    </row>
    <row r="13" spans="1:22" ht="12.75">
      <c r="A13" s="1" t="s">
        <v>4</v>
      </c>
      <c r="B13" s="14">
        <f>212278.998-1642.945</f>
        <v>210636.05299999999</v>
      </c>
      <c r="C13" s="14">
        <f>217473.245-2672.887</f>
        <v>214800.358</v>
      </c>
      <c r="D13" s="14">
        <v>218287</v>
      </c>
      <c r="E13" s="14">
        <v>202244</v>
      </c>
      <c r="F13" s="14">
        <v>207206</v>
      </c>
      <c r="G13" s="14">
        <v>219371</v>
      </c>
      <c r="H13" s="14">
        <v>243336</v>
      </c>
      <c r="I13" s="14">
        <v>260931</v>
      </c>
      <c r="J13" s="14">
        <v>267276</v>
      </c>
      <c r="K13" s="14">
        <v>274887.87454</v>
      </c>
      <c r="L13" s="85">
        <f>(K13-J13)*100/J13</f>
        <v>2.8479453972672406</v>
      </c>
      <c r="M13" s="16">
        <f>(K13-O13)*100/O13</f>
        <v>39.174573086328486</v>
      </c>
      <c r="N13" s="220"/>
      <c r="O13" s="27">
        <v>197513</v>
      </c>
      <c r="P13" s="27"/>
      <c r="Q13" s="3">
        <v>274887874.53999996</v>
      </c>
      <c r="R13" s="86">
        <v>1581632.75</v>
      </c>
      <c r="S13" s="39">
        <v>0</v>
      </c>
      <c r="T13" s="39">
        <v>0</v>
      </c>
      <c r="U13" s="3">
        <f>Q13-S13-S13+T13</f>
        <v>274887874.53999996</v>
      </c>
      <c r="V13" s="3">
        <f>U13/1000</f>
        <v>274887.87454</v>
      </c>
    </row>
    <row r="14" spans="1:22" ht="12.75">
      <c r="A14" s="1" t="s">
        <v>5</v>
      </c>
      <c r="B14" s="14">
        <f>288733.843-7202.757</f>
        <v>281531.086</v>
      </c>
      <c r="C14" s="14">
        <f>297332.824-4415.441</f>
        <v>292917.38300000003</v>
      </c>
      <c r="D14" s="14">
        <v>284915</v>
      </c>
      <c r="E14" s="14">
        <v>275051</v>
      </c>
      <c r="F14" s="14">
        <v>295088</v>
      </c>
      <c r="G14" s="14">
        <v>307002</v>
      </c>
      <c r="H14" s="14">
        <v>337427</v>
      </c>
      <c r="I14" s="14">
        <v>371486</v>
      </c>
      <c r="J14" s="14">
        <v>377196</v>
      </c>
      <c r="K14" s="14">
        <v>348122.12945</v>
      </c>
      <c r="L14" s="85">
        <f>(K14-J14)*100/J14</f>
        <v>-7.707894715214369</v>
      </c>
      <c r="M14" s="16">
        <f>(K14-O14)*100/O14</f>
        <v>31.130311909084746</v>
      </c>
      <c r="N14" s="220"/>
      <c r="O14" s="27">
        <v>265478</v>
      </c>
      <c r="P14" s="27"/>
      <c r="Q14" s="3">
        <v>348122129.45</v>
      </c>
      <c r="R14" s="86">
        <v>1971021.12</v>
      </c>
      <c r="S14" s="39">
        <v>0</v>
      </c>
      <c r="T14" s="39">
        <v>0</v>
      </c>
      <c r="U14" s="3">
        <f>Q14-S14-S14+T14</f>
        <v>348122129.45</v>
      </c>
      <c r="V14" s="3">
        <f>U14/1000</f>
        <v>348122.12945</v>
      </c>
    </row>
    <row r="15" spans="1:22" ht="12.75">
      <c r="A15" s="1" t="s">
        <v>6</v>
      </c>
      <c r="B15" s="14">
        <f>318765.127-15349.669-345.811</f>
        <v>303069.647</v>
      </c>
      <c r="C15" s="14">
        <f>327801.556-13755.683-142.839</f>
        <v>313903.034</v>
      </c>
      <c r="D15" s="14">
        <v>327231</v>
      </c>
      <c r="E15" s="14">
        <v>304029</v>
      </c>
      <c r="F15" s="14">
        <v>318266</v>
      </c>
      <c r="G15" s="14">
        <v>337310</v>
      </c>
      <c r="H15" s="14">
        <v>387731</v>
      </c>
      <c r="I15" s="14">
        <v>401465</v>
      </c>
      <c r="J15" s="14">
        <v>402186</v>
      </c>
      <c r="K15" s="14">
        <v>417176.28310000006</v>
      </c>
      <c r="L15" s="85">
        <f>(K15-J15)*100/J15</f>
        <v>3.727201618156788</v>
      </c>
      <c r="M15" s="16">
        <f>(K15-O15)*100/O15</f>
        <v>50.45904269860679</v>
      </c>
      <c r="N15" s="220"/>
      <c r="O15" s="27">
        <v>277269</v>
      </c>
      <c r="P15" s="27"/>
      <c r="Q15" s="3">
        <v>417545377.38000005</v>
      </c>
      <c r="R15" s="86">
        <v>8479289</v>
      </c>
      <c r="S15" s="39">
        <v>184547.14</v>
      </c>
      <c r="T15" s="39">
        <v>0</v>
      </c>
      <c r="U15" s="3">
        <f>Q15-S15-S15+T15</f>
        <v>417176283.1000001</v>
      </c>
      <c r="V15" s="3">
        <f>U15/1000</f>
        <v>417176.28310000006</v>
      </c>
    </row>
    <row r="16" spans="1:22" ht="12.75">
      <c r="A16" s="1" t="s">
        <v>7</v>
      </c>
      <c r="B16" s="14">
        <f>36750.293-608.007</f>
        <v>36142.286</v>
      </c>
      <c r="C16" s="14">
        <f>39707.376-618.056</f>
        <v>39089.32</v>
      </c>
      <c r="D16" s="14">
        <v>42068</v>
      </c>
      <c r="E16" s="14">
        <v>40417</v>
      </c>
      <c r="F16" s="14">
        <v>43224</v>
      </c>
      <c r="G16" s="14">
        <v>46865</v>
      </c>
      <c r="H16" s="14">
        <v>52284</v>
      </c>
      <c r="I16" s="14">
        <v>56805</v>
      </c>
      <c r="J16" s="14">
        <v>62586</v>
      </c>
      <c r="K16" s="14">
        <v>66902.26333</v>
      </c>
      <c r="L16" s="85">
        <f>(K16-J16)*100/J16</f>
        <v>6.8965317003802795</v>
      </c>
      <c r="M16" s="16">
        <f>(K16-O16)*100/O16</f>
        <v>97.84203729004022</v>
      </c>
      <c r="N16" s="220"/>
      <c r="O16" s="27">
        <v>33816</v>
      </c>
      <c r="P16" s="27"/>
      <c r="Q16" s="3">
        <v>67308631.07</v>
      </c>
      <c r="R16" s="86">
        <v>1155769.74</v>
      </c>
      <c r="S16" s="39">
        <v>203183.87</v>
      </c>
      <c r="T16" s="39">
        <v>0</v>
      </c>
      <c r="U16" s="3">
        <f>Q16-S16-S16+T16</f>
        <v>66902263.33</v>
      </c>
      <c r="V16" s="3">
        <f>U16/1000</f>
        <v>66902.26333</v>
      </c>
    </row>
    <row r="17" spans="2:20" ht="12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220"/>
      <c r="O17" s="27"/>
      <c r="P17" s="27"/>
      <c r="R17" s="86"/>
      <c r="S17" s="39"/>
      <c r="T17" s="39"/>
    </row>
    <row r="18" spans="1:22" ht="12.75">
      <c r="A18" s="1" t="s">
        <v>8</v>
      </c>
      <c r="B18" s="14">
        <f>14937.162-599.746-1.537</f>
        <v>14335.879</v>
      </c>
      <c r="C18" s="14">
        <f>15747.075-468.114-81.387</f>
        <v>15197.574</v>
      </c>
      <c r="D18" s="14">
        <v>16583</v>
      </c>
      <c r="E18" s="14">
        <v>15043</v>
      </c>
      <c r="F18" s="14">
        <v>16143</v>
      </c>
      <c r="G18" s="14">
        <v>16548</v>
      </c>
      <c r="H18" s="14">
        <v>17745</v>
      </c>
      <c r="I18" s="14">
        <v>19145</v>
      </c>
      <c r="J18" s="14">
        <v>20168</v>
      </c>
      <c r="K18" s="14">
        <v>20669.176549999996</v>
      </c>
      <c r="L18" s="85">
        <f>(K18-J18)*100/J18</f>
        <v>2.4850086771122397</v>
      </c>
      <c r="M18" s="16">
        <f>(K18-O18)*100/O18</f>
        <v>54.39737469186522</v>
      </c>
      <c r="N18" s="220"/>
      <c r="O18" s="27">
        <v>13387</v>
      </c>
      <c r="P18" s="27"/>
      <c r="Q18" s="3">
        <v>20669176.549999997</v>
      </c>
      <c r="R18" s="86">
        <v>320194.17</v>
      </c>
      <c r="S18" s="39">
        <v>0</v>
      </c>
      <c r="T18" s="39">
        <v>0</v>
      </c>
      <c r="U18" s="3">
        <f>Q18-S18-S18+T18</f>
        <v>20669176.549999997</v>
      </c>
      <c r="V18" s="3">
        <f>U18/1000</f>
        <v>20669.176549999996</v>
      </c>
    </row>
    <row r="19" spans="1:22" ht="12.75">
      <c r="A19" s="1" t="s">
        <v>9</v>
      </c>
      <c r="B19" s="14">
        <f>71141.464-2057.375</f>
        <v>69084.089</v>
      </c>
      <c r="C19" s="14">
        <f>72094.399-1505.892</f>
        <v>70588.507</v>
      </c>
      <c r="D19" s="14">
        <v>73093</v>
      </c>
      <c r="E19" s="14">
        <v>68675</v>
      </c>
      <c r="F19" s="14">
        <v>73468</v>
      </c>
      <c r="G19" s="14">
        <v>77431</v>
      </c>
      <c r="H19" s="14">
        <v>84984</v>
      </c>
      <c r="I19" s="14">
        <v>91467</v>
      </c>
      <c r="J19" s="14">
        <v>99210</v>
      </c>
      <c r="K19" s="14">
        <v>103991.23438000002</v>
      </c>
      <c r="L19" s="85">
        <f>(K19-J19)*100/J19</f>
        <v>4.819306904545936</v>
      </c>
      <c r="M19" s="16">
        <f>(K19-O19)*100/O19</f>
        <v>63.956791189732954</v>
      </c>
      <c r="N19" s="220"/>
      <c r="O19" s="27">
        <v>63426</v>
      </c>
      <c r="P19" s="27"/>
      <c r="Q19" s="3">
        <v>104868714.62000003</v>
      </c>
      <c r="R19" s="86">
        <v>1514553.54</v>
      </c>
      <c r="S19" s="39">
        <v>442401.12</v>
      </c>
      <c r="T19" s="39">
        <v>7322</v>
      </c>
      <c r="U19" s="3">
        <f>Q19-S19-S19+T19</f>
        <v>103991234.38000003</v>
      </c>
      <c r="V19" s="3">
        <f>U19/1000</f>
        <v>103991.23438000002</v>
      </c>
    </row>
    <row r="20" spans="1:22" ht="12.75">
      <c r="A20" s="1" t="s">
        <v>10</v>
      </c>
      <c r="B20" s="14">
        <f>39098.097-710.151</f>
        <v>38387.946</v>
      </c>
      <c r="C20" s="14">
        <f>40308.709-635.255</f>
        <v>39673.454000000005</v>
      </c>
      <c r="D20" s="14">
        <v>41709</v>
      </c>
      <c r="E20" s="14">
        <v>38973</v>
      </c>
      <c r="F20" s="14">
        <v>41833</v>
      </c>
      <c r="G20" s="14">
        <v>43844</v>
      </c>
      <c r="H20" s="14">
        <v>47999</v>
      </c>
      <c r="I20" s="14">
        <v>50693</v>
      </c>
      <c r="J20" s="14">
        <v>53336</v>
      </c>
      <c r="K20" s="14">
        <v>55891.09258000002</v>
      </c>
      <c r="L20" s="85">
        <f>(K20-J20)*100/J20</f>
        <v>4.790559059547058</v>
      </c>
      <c r="M20" s="16">
        <f>(K20-O20)*100/O20</f>
        <v>58.56528761915575</v>
      </c>
      <c r="N20" s="220"/>
      <c r="O20" s="27">
        <v>35248</v>
      </c>
      <c r="P20" s="27"/>
      <c r="Q20" s="3">
        <v>55891092.58000002</v>
      </c>
      <c r="R20" s="86">
        <v>1011234.98</v>
      </c>
      <c r="S20" s="39">
        <v>0</v>
      </c>
      <c r="T20" s="39"/>
      <c r="U20" s="3">
        <f>Q20-S20-S20+T20</f>
        <v>55891092.58000002</v>
      </c>
      <c r="V20" s="3">
        <f>U20/1000</f>
        <v>55891.09258000002</v>
      </c>
    </row>
    <row r="21" spans="1:22" ht="12.75">
      <c r="A21" s="1" t="s">
        <v>11</v>
      </c>
      <c r="B21" s="14">
        <f>57151.192-118.053-23.321</f>
        <v>57009.818</v>
      </c>
      <c r="C21" s="14">
        <f>57953.789-238.733</f>
        <v>57715.056</v>
      </c>
      <c r="D21" s="14">
        <v>60078</v>
      </c>
      <c r="E21" s="14">
        <v>56612</v>
      </c>
      <c r="F21" s="14">
        <v>60747</v>
      </c>
      <c r="G21" s="14">
        <v>66034</v>
      </c>
      <c r="H21" s="14">
        <v>72793</v>
      </c>
      <c r="I21" s="14">
        <v>79692</v>
      </c>
      <c r="J21" s="14">
        <v>85339</v>
      </c>
      <c r="K21" s="14">
        <v>90364.85311999991</v>
      </c>
      <c r="L21" s="85">
        <f>(K21-J21)*100/J21</f>
        <v>5.88928053996404</v>
      </c>
      <c r="M21" s="16">
        <f>(K21-O21)*100/O21</f>
        <v>66.56808744539255</v>
      </c>
      <c r="N21" s="220"/>
      <c r="O21" s="27">
        <v>54251</v>
      </c>
      <c r="P21" s="27"/>
      <c r="Q21" s="3">
        <v>91630733.04999992</v>
      </c>
      <c r="R21" s="86">
        <v>812318.79</v>
      </c>
      <c r="S21" s="39">
        <v>632771.39</v>
      </c>
      <c r="T21" s="39">
        <v>-337.15</v>
      </c>
      <c r="U21" s="3">
        <f>Q21-S21-S21+T21</f>
        <v>90364853.11999992</v>
      </c>
      <c r="V21" s="3">
        <f>U21/1000</f>
        <v>90364.85311999991</v>
      </c>
    </row>
    <row r="22" spans="1:22" ht="12.75">
      <c r="A22" s="1" t="s">
        <v>12</v>
      </c>
      <c r="B22" s="14">
        <f>14952.289-196.886</f>
        <v>14755.403</v>
      </c>
      <c r="C22" s="14">
        <f>15052.188-205.78-3.762</f>
        <v>14842.645999999999</v>
      </c>
      <c r="D22" s="14">
        <v>15911</v>
      </c>
      <c r="E22" s="14">
        <v>15280</v>
      </c>
      <c r="F22" s="14">
        <v>15616</v>
      </c>
      <c r="G22" s="14">
        <v>16967</v>
      </c>
      <c r="H22" s="14">
        <v>17696</v>
      </c>
      <c r="I22" s="14">
        <v>17196</v>
      </c>
      <c r="J22" s="14">
        <v>17909</v>
      </c>
      <c r="K22" s="14">
        <v>18567.31446</v>
      </c>
      <c r="L22" s="85">
        <f>(K22-J22)*100/J22</f>
        <v>3.6758862024680408</v>
      </c>
      <c r="M22" s="16">
        <f>(K22-O22)*100/O22</f>
        <v>36.15395218889786</v>
      </c>
      <c r="N22" s="220"/>
      <c r="O22" s="27">
        <v>13637</v>
      </c>
      <c r="P22" s="27"/>
      <c r="Q22" s="3">
        <v>19124644.08</v>
      </c>
      <c r="R22" s="86">
        <v>49278.81</v>
      </c>
      <c r="S22" s="39">
        <v>278664.81</v>
      </c>
      <c r="T22" s="76">
        <v>0</v>
      </c>
      <c r="U22" s="3">
        <f>Q22-S22-S22+T22</f>
        <v>18567314.46</v>
      </c>
      <c r="V22" s="3">
        <f>U22/1000</f>
        <v>18567.31446</v>
      </c>
    </row>
    <row r="23" spans="2:20" ht="12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220"/>
      <c r="O23" s="27"/>
      <c r="P23" s="27"/>
      <c r="R23" s="86"/>
      <c r="S23" s="39"/>
      <c r="T23" s="39"/>
    </row>
    <row r="24" spans="1:22" ht="12.75">
      <c r="A24" s="1" t="s">
        <v>13</v>
      </c>
      <c r="B24" s="14">
        <f>93077.869-1239.561</f>
        <v>91838.308</v>
      </c>
      <c r="C24" s="14">
        <f>95993.313-1735.168</f>
        <v>94258.14499999999</v>
      </c>
      <c r="D24" s="14">
        <v>97520</v>
      </c>
      <c r="E24" s="14">
        <v>94705</v>
      </c>
      <c r="F24" s="14">
        <v>102448</v>
      </c>
      <c r="G24" s="14">
        <v>108256</v>
      </c>
      <c r="H24" s="14">
        <v>119479</v>
      </c>
      <c r="I24" s="14">
        <v>131871</v>
      </c>
      <c r="J24" s="14">
        <v>137804</v>
      </c>
      <c r="K24" s="14">
        <v>145701.80550999998</v>
      </c>
      <c r="L24" s="85">
        <f>(K24-J24)*100/J24</f>
        <v>5.731187418362294</v>
      </c>
      <c r="M24" s="16">
        <f>(K24-O24)*100/O24</f>
        <v>74.1074332437115</v>
      </c>
      <c r="N24" s="220"/>
      <c r="O24" s="27">
        <v>83685</v>
      </c>
      <c r="P24" s="27"/>
      <c r="Q24" s="3">
        <v>146985676.51</v>
      </c>
      <c r="R24" s="86">
        <v>654078.3</v>
      </c>
      <c r="S24" s="39">
        <v>641935.5</v>
      </c>
      <c r="T24" s="39">
        <v>0</v>
      </c>
      <c r="U24" s="3">
        <f>Q24-S24-S24+T24</f>
        <v>145701805.51</v>
      </c>
      <c r="V24" s="3">
        <f>U24/1000</f>
        <v>145701.80550999998</v>
      </c>
    </row>
    <row r="25" spans="1:22" ht="12.75">
      <c r="A25" s="1" t="s">
        <v>14</v>
      </c>
      <c r="B25" s="14">
        <f>14523.025-222.993</f>
        <v>14300.032</v>
      </c>
      <c r="C25" s="14">
        <f>15208.979-221.691-0.384</f>
        <v>14986.903999999999</v>
      </c>
      <c r="D25" s="14">
        <v>16150</v>
      </c>
      <c r="E25" s="14">
        <v>14901</v>
      </c>
      <c r="F25" s="14">
        <v>15703</v>
      </c>
      <c r="G25" s="14">
        <v>16729</v>
      </c>
      <c r="H25" s="14">
        <v>17901</v>
      </c>
      <c r="I25" s="14">
        <v>18791</v>
      </c>
      <c r="J25" s="14">
        <v>18688</v>
      </c>
      <c r="K25" s="14">
        <v>19317.12079</v>
      </c>
      <c r="L25" s="85">
        <f>(K25-J25)*100/J25</f>
        <v>3.366442583476032</v>
      </c>
      <c r="M25" s="16">
        <f>(K25-O25)*100/O25</f>
        <v>42.582822483023335</v>
      </c>
      <c r="N25" s="220"/>
      <c r="O25" s="27">
        <v>13548</v>
      </c>
      <c r="P25" s="27"/>
      <c r="Q25" s="3">
        <v>19317120.79</v>
      </c>
      <c r="R25" s="86">
        <v>205872.94</v>
      </c>
      <c r="S25" s="39">
        <v>0</v>
      </c>
      <c r="T25" s="39">
        <v>0</v>
      </c>
      <c r="U25" s="3">
        <f>Q25-S25-S25+T25</f>
        <v>19317120.79</v>
      </c>
      <c r="V25" s="3">
        <f>U25/1000</f>
        <v>19317.12079</v>
      </c>
    </row>
    <row r="26" spans="1:22" ht="12.75">
      <c r="A26" s="1" t="s">
        <v>15</v>
      </c>
      <c r="B26" s="14">
        <f>101340.503-897.475</f>
        <v>100443.02799999999</v>
      </c>
      <c r="C26" s="14">
        <f>105355.516-1904.602</f>
        <v>103450.914</v>
      </c>
      <c r="D26" s="14">
        <v>108332</v>
      </c>
      <c r="E26" s="14">
        <v>103838</v>
      </c>
      <c r="F26" s="14">
        <v>109117</v>
      </c>
      <c r="G26" s="14">
        <v>113775</v>
      </c>
      <c r="H26" s="14">
        <v>121499</v>
      </c>
      <c r="I26" s="14">
        <v>132637</v>
      </c>
      <c r="J26" s="14">
        <v>138521</v>
      </c>
      <c r="K26" s="14">
        <v>139046.60913</v>
      </c>
      <c r="L26" s="85">
        <f>(K26-J26)*100/J26</f>
        <v>0.37944364392402385</v>
      </c>
      <c r="M26" s="16">
        <f>(K26-O26)*100/O26</f>
        <v>49.72660808468024</v>
      </c>
      <c r="N26" s="220"/>
      <c r="O26" s="27">
        <v>92867</v>
      </c>
      <c r="P26" s="27"/>
      <c r="Q26" s="3">
        <v>139046609.13</v>
      </c>
      <c r="R26" s="86">
        <v>1245668.07</v>
      </c>
      <c r="S26" s="39">
        <v>0</v>
      </c>
      <c r="T26" s="39">
        <v>0</v>
      </c>
      <c r="U26" s="3">
        <f>Q26-S26-S26+T26</f>
        <v>139046609.13</v>
      </c>
      <c r="V26" s="3">
        <f>U26/1000</f>
        <v>139046.60913</v>
      </c>
    </row>
    <row r="27" spans="1:22" ht="12.75">
      <c r="A27" s="1" t="s">
        <v>16</v>
      </c>
      <c r="B27" s="14">
        <f>117927.044-1706.667</f>
        <v>116220.377</v>
      </c>
      <c r="C27" s="14">
        <f>127564.16-3089.249</f>
        <v>124474.91100000001</v>
      </c>
      <c r="D27" s="14">
        <v>128879</v>
      </c>
      <c r="E27" s="14">
        <v>121531</v>
      </c>
      <c r="F27" s="14">
        <v>131497</v>
      </c>
      <c r="G27" s="14">
        <v>145694</v>
      </c>
      <c r="H27" s="14">
        <v>165835</v>
      </c>
      <c r="I27" s="14">
        <v>181299</v>
      </c>
      <c r="J27" s="14">
        <v>188363</v>
      </c>
      <c r="K27" s="14">
        <v>205907.26844999997</v>
      </c>
      <c r="L27" s="85">
        <f>(K27-J27)*100/J27</f>
        <v>9.314073597256348</v>
      </c>
      <c r="M27" s="16">
        <f>(K27-O27)*100/O27</f>
        <v>95.66424521309447</v>
      </c>
      <c r="N27" s="220"/>
      <c r="O27" s="27">
        <v>105235</v>
      </c>
      <c r="P27" s="27"/>
      <c r="Q27" s="3">
        <v>205907268.45</v>
      </c>
      <c r="R27" s="86">
        <v>163328.54</v>
      </c>
      <c r="S27" s="39">
        <v>0</v>
      </c>
      <c r="T27" s="39">
        <v>0</v>
      </c>
      <c r="U27" s="3">
        <f>Q27-S27-S27+T27</f>
        <v>205907268.45</v>
      </c>
      <c r="V27" s="3">
        <f>U27/1000</f>
        <v>205907.26844999997</v>
      </c>
    </row>
    <row r="28" spans="1:22" ht="12.75">
      <c r="A28" s="1" t="s">
        <v>17</v>
      </c>
      <c r="B28" s="14">
        <f>9079.919-170.37</f>
        <v>8909.548999999999</v>
      </c>
      <c r="C28" s="14">
        <f>9415.054-182.256</f>
        <v>9232.798</v>
      </c>
      <c r="D28" s="14">
        <v>9652</v>
      </c>
      <c r="E28" s="14">
        <v>9923</v>
      </c>
      <c r="F28" s="14">
        <v>9519</v>
      </c>
      <c r="G28" s="14">
        <v>9892</v>
      </c>
      <c r="H28" s="14">
        <v>11011</v>
      </c>
      <c r="I28" s="14">
        <v>11889</v>
      </c>
      <c r="J28" s="14">
        <v>11759</v>
      </c>
      <c r="K28" s="14">
        <v>10867.93536</v>
      </c>
      <c r="L28" s="85">
        <f>(K28-J28)*100/J28</f>
        <v>-7.577724636448682</v>
      </c>
      <c r="M28" s="16">
        <f>(K28-O28)*100/O28</f>
        <v>32.64903405346027</v>
      </c>
      <c r="N28" s="220"/>
      <c r="O28" s="27">
        <v>8193</v>
      </c>
      <c r="P28" s="27"/>
      <c r="Q28" s="3">
        <v>11149402.71</v>
      </c>
      <c r="R28" s="86">
        <v>290219.18</v>
      </c>
      <c r="S28" s="39">
        <v>141718.23</v>
      </c>
      <c r="T28" s="39">
        <v>1969.11</v>
      </c>
      <c r="U28" s="3">
        <f>Q28-S28-S28+T28</f>
        <v>10867935.36</v>
      </c>
      <c r="V28" s="3">
        <f>U28/1000</f>
        <v>10867.93536</v>
      </c>
    </row>
    <row r="29" spans="2:20" ht="12.7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220"/>
      <c r="O29" s="27"/>
      <c r="P29" s="27"/>
      <c r="R29" s="86"/>
      <c r="S29" s="39"/>
      <c r="T29" s="39"/>
    </row>
    <row r="30" spans="1:22" ht="12.75">
      <c r="A30" s="1" t="s">
        <v>18</v>
      </c>
      <c r="B30" s="14">
        <f>440555.096-3146.236</f>
        <v>437408.86000000004</v>
      </c>
      <c r="C30" s="14">
        <f>462300.773-3459.559</f>
        <v>458841.214</v>
      </c>
      <c r="D30" s="14">
        <v>476703</v>
      </c>
      <c r="E30" s="14">
        <v>447377</v>
      </c>
      <c r="F30" s="14">
        <v>479671</v>
      </c>
      <c r="G30" s="14">
        <v>517344</v>
      </c>
      <c r="H30" s="14">
        <v>578108</v>
      </c>
      <c r="I30" s="14">
        <v>634767</v>
      </c>
      <c r="J30" s="14">
        <v>670790</v>
      </c>
      <c r="K30" s="14">
        <v>688986.54234</v>
      </c>
      <c r="L30" s="85">
        <f>(K30-J30)*100/J30</f>
        <v>2.7127032812057488</v>
      </c>
      <c r="M30" s="16">
        <f>(K30-O30)*100/O30</f>
        <v>66.1738135681519</v>
      </c>
      <c r="N30" s="220"/>
      <c r="O30" s="27">
        <v>414618</v>
      </c>
      <c r="P30" s="27"/>
      <c r="Q30" s="3">
        <v>696341946.77</v>
      </c>
      <c r="R30" s="86">
        <v>2746310.46</v>
      </c>
      <c r="S30" s="39">
        <v>3682486.75</v>
      </c>
      <c r="T30" s="39">
        <v>9569.07</v>
      </c>
      <c r="U30" s="3">
        <f>Q30-S30-S30+T30</f>
        <v>688986542.34</v>
      </c>
      <c r="V30" s="3">
        <f aca="true" t="shared" si="1" ref="V30:V39">U30/1000</f>
        <v>688986.54234</v>
      </c>
    </row>
    <row r="31" spans="1:22" ht="12.75">
      <c r="A31" s="1" t="s">
        <v>19</v>
      </c>
      <c r="B31" s="14">
        <f>337049.241-2637.63-237.5</f>
        <v>334174.111</v>
      </c>
      <c r="C31" s="14">
        <f>351094.006-2920.229-252.133</f>
        <v>347921.64400000003</v>
      </c>
      <c r="D31" s="14">
        <v>363060</v>
      </c>
      <c r="E31" s="14">
        <v>346677</v>
      </c>
      <c r="F31" s="14">
        <v>374400</v>
      </c>
      <c r="G31" s="14">
        <v>393581</v>
      </c>
      <c r="H31" s="14">
        <v>435595</v>
      </c>
      <c r="I31" s="14">
        <v>467174</v>
      </c>
      <c r="J31" s="14">
        <v>493026</v>
      </c>
      <c r="K31" s="14">
        <v>478908.35729000013</v>
      </c>
      <c r="L31" s="85">
        <f>(K31-J31)*100/J31</f>
        <v>-2.8634681964034088</v>
      </c>
      <c r="M31" s="16">
        <f>(K31-O31)*100/O31</f>
        <v>54.556366517136816</v>
      </c>
      <c r="N31" s="220"/>
      <c r="O31" s="27">
        <v>309860</v>
      </c>
      <c r="P31" s="27"/>
      <c r="Q31" s="3">
        <v>480963056.55000013</v>
      </c>
      <c r="R31" s="76">
        <v>5467311</v>
      </c>
      <c r="S31" s="39">
        <v>1027349.63</v>
      </c>
      <c r="T31" s="76">
        <v>0</v>
      </c>
      <c r="U31" s="3">
        <f>Q31-S31-S31+T31</f>
        <v>478908357.29000014</v>
      </c>
      <c r="V31" s="3">
        <f t="shared" si="1"/>
        <v>478908.35729000013</v>
      </c>
    </row>
    <row r="32" spans="1:22" ht="12.75">
      <c r="A32" s="1" t="s">
        <v>20</v>
      </c>
      <c r="B32" s="14">
        <f>17874.109-791.87</f>
        <v>17082.239</v>
      </c>
      <c r="C32" s="14">
        <f>18340.788-637.663-0.5</f>
        <v>17702.625</v>
      </c>
      <c r="D32" s="14">
        <v>18965</v>
      </c>
      <c r="E32" s="14">
        <v>18279</v>
      </c>
      <c r="F32" s="14">
        <v>20277</v>
      </c>
      <c r="G32" s="14">
        <v>21900</v>
      </c>
      <c r="H32" s="14">
        <v>24153</v>
      </c>
      <c r="I32" s="14">
        <v>26826</v>
      </c>
      <c r="J32" s="14">
        <v>28022</v>
      </c>
      <c r="K32" s="14">
        <v>28589.272459999993</v>
      </c>
      <c r="L32" s="85">
        <f>(K32-J32)*100/J32</f>
        <v>2.0243824851901824</v>
      </c>
      <c r="M32" s="16">
        <f>(K32-O32)*100/O32</f>
        <v>74.76173641420621</v>
      </c>
      <c r="N32" s="220"/>
      <c r="O32" s="27">
        <v>16359</v>
      </c>
      <c r="P32" s="27"/>
      <c r="Q32" s="3">
        <v>28801814.57999999</v>
      </c>
      <c r="R32" s="86">
        <v>542873.65</v>
      </c>
      <c r="S32" s="39">
        <v>106271.06</v>
      </c>
      <c r="T32" s="39">
        <v>0</v>
      </c>
      <c r="U32" s="3">
        <f>Q32-S32-S32+T32</f>
        <v>28589272.459999993</v>
      </c>
      <c r="V32" s="3">
        <f t="shared" si="1"/>
        <v>28589.272459999993</v>
      </c>
    </row>
    <row r="33" spans="1:22" ht="12.75">
      <c r="A33" s="1" t="s">
        <v>21</v>
      </c>
      <c r="B33" s="14">
        <f>38193.171-672.643-14.583</f>
        <v>37505.94500000001</v>
      </c>
      <c r="C33" s="14">
        <f>38112.081-698.879-1.7</f>
        <v>37411.502</v>
      </c>
      <c r="D33" s="14">
        <v>40558</v>
      </c>
      <c r="E33" s="14">
        <v>38429</v>
      </c>
      <c r="F33" s="14">
        <v>40771</v>
      </c>
      <c r="G33" s="14">
        <v>42558</v>
      </c>
      <c r="H33" s="14">
        <v>46421</v>
      </c>
      <c r="I33" s="14">
        <v>51211</v>
      </c>
      <c r="J33" s="14">
        <v>52692</v>
      </c>
      <c r="K33" s="14">
        <v>55879.66285999999</v>
      </c>
      <c r="L33" s="85">
        <f>(K33-J33)*100/J33</f>
        <v>6.049614476580865</v>
      </c>
      <c r="M33" s="16">
        <f>(K33-O33)*100/O33</f>
        <v>63.033297913931406</v>
      </c>
      <c r="N33" s="220"/>
      <c r="O33" s="27">
        <v>34275</v>
      </c>
      <c r="P33" s="27"/>
      <c r="Q33" s="3">
        <v>56312705.98</v>
      </c>
      <c r="R33" s="86">
        <v>38394.51</v>
      </c>
      <c r="S33" s="39">
        <v>216521.56</v>
      </c>
      <c r="T33" s="39">
        <v>0</v>
      </c>
      <c r="U33" s="3">
        <f>Q33-S33-S33+T33</f>
        <v>55879662.85999999</v>
      </c>
      <c r="V33" s="3">
        <f t="shared" si="1"/>
        <v>55879.66285999999</v>
      </c>
    </row>
    <row r="34" spans="1:22" ht="12.75">
      <c r="A34" s="1" t="s">
        <v>22</v>
      </c>
      <c r="B34" s="14">
        <f>10182.902-232.867</f>
        <v>9950.035</v>
      </c>
      <c r="C34" s="14">
        <f>10173.765-153.01</f>
        <v>10020.755</v>
      </c>
      <c r="D34" s="14">
        <v>10187</v>
      </c>
      <c r="E34" s="14">
        <v>9650</v>
      </c>
      <c r="F34" s="14">
        <v>10005</v>
      </c>
      <c r="G34" s="14">
        <v>10857</v>
      </c>
      <c r="H34" s="14">
        <v>11565</v>
      </c>
      <c r="I34" s="14">
        <v>12115</v>
      </c>
      <c r="J34" s="14">
        <v>12377</v>
      </c>
      <c r="K34" s="14">
        <v>12735.312619999997</v>
      </c>
      <c r="L34" s="85">
        <f>(K34-J34)*100/J34</f>
        <v>2.8949876383614526</v>
      </c>
      <c r="M34" s="16">
        <f>(K34-O34)*100/O34</f>
        <v>36.235693410355125</v>
      </c>
      <c r="N34" s="220"/>
      <c r="O34" s="27">
        <v>9348</v>
      </c>
      <c r="P34" s="27"/>
      <c r="Q34" s="3">
        <v>13008599.019999998</v>
      </c>
      <c r="R34" s="86">
        <v>366958.91</v>
      </c>
      <c r="S34" s="39">
        <v>138269.17</v>
      </c>
      <c r="T34" s="39">
        <v>3251.94</v>
      </c>
      <c r="U34" s="3">
        <f>Q34-S34-S34+T34</f>
        <v>12735312.619999997</v>
      </c>
      <c r="V34" s="3">
        <f t="shared" si="1"/>
        <v>12735.312619999997</v>
      </c>
    </row>
    <row r="35" spans="2:20" ht="12.7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/>
      <c r="M35" s="16"/>
      <c r="N35" s="220"/>
      <c r="O35" s="27"/>
      <c r="P35" s="27"/>
      <c r="R35" s="86"/>
      <c r="S35" s="39"/>
      <c r="T35" s="39"/>
    </row>
    <row r="36" spans="1:22" ht="12.75">
      <c r="A36" s="1" t="s">
        <v>23</v>
      </c>
      <c r="B36" s="14">
        <f>13530.677-586.212</f>
        <v>12944.465</v>
      </c>
      <c r="C36" s="14">
        <f>13629.7-208.811</f>
        <v>13420.889000000001</v>
      </c>
      <c r="D36" s="14">
        <v>14231</v>
      </c>
      <c r="E36" s="14">
        <v>12863</v>
      </c>
      <c r="F36" s="14">
        <v>13517</v>
      </c>
      <c r="G36" s="14">
        <v>14380</v>
      </c>
      <c r="H36" s="14">
        <v>15813</v>
      </c>
      <c r="I36" s="14">
        <v>17348</v>
      </c>
      <c r="J36" s="14">
        <v>17835</v>
      </c>
      <c r="K36" s="14">
        <v>18727.855189999995</v>
      </c>
      <c r="L36" s="85">
        <f>(K36-J36)*100/J36</f>
        <v>5.006196747967451</v>
      </c>
      <c r="M36" s="16">
        <f>(K36-O36)*100/O36</f>
        <v>55.04474865468992</v>
      </c>
      <c r="N36" s="220"/>
      <c r="O36" s="27">
        <v>12079</v>
      </c>
      <c r="P36" s="27"/>
      <c r="Q36" s="3">
        <v>18727855.189999994</v>
      </c>
      <c r="R36" s="86">
        <v>225853.46</v>
      </c>
      <c r="S36" s="39">
        <v>0</v>
      </c>
      <c r="T36" s="39">
        <v>0</v>
      </c>
      <c r="U36" s="3">
        <f>Q36-S36-S36+T36</f>
        <v>18727855.189999994</v>
      </c>
      <c r="V36" s="3">
        <f t="shared" si="1"/>
        <v>18727.855189999995</v>
      </c>
    </row>
    <row r="37" spans="1:22" ht="12.75">
      <c r="A37" s="1" t="s">
        <v>24</v>
      </c>
      <c r="B37" s="14">
        <f>56245.003-600.422</f>
        <v>55644.581</v>
      </c>
      <c r="C37" s="14">
        <f>57735.204-791.031</f>
        <v>56944.172999999995</v>
      </c>
      <c r="D37" s="14">
        <v>57972</v>
      </c>
      <c r="E37" s="14">
        <v>54976</v>
      </c>
      <c r="F37" s="14">
        <v>58669</v>
      </c>
      <c r="G37" s="14">
        <v>62171</v>
      </c>
      <c r="H37" s="14">
        <v>65369</v>
      </c>
      <c r="I37" s="14">
        <v>69692</v>
      </c>
      <c r="J37" s="14">
        <v>71961</v>
      </c>
      <c r="K37" s="14">
        <v>77788.76067999996</v>
      </c>
      <c r="L37" s="85">
        <f>(K37-J37)*100/J37</f>
        <v>8.09849874237429</v>
      </c>
      <c r="M37" s="16">
        <f>(K37-O37)*100/O37</f>
        <v>50.09022281392291</v>
      </c>
      <c r="N37" s="220"/>
      <c r="O37" s="27">
        <v>51828</v>
      </c>
      <c r="P37" s="27"/>
      <c r="Q37" s="3">
        <v>77886766.07999997</v>
      </c>
      <c r="R37" s="86">
        <v>630207.08</v>
      </c>
      <c r="S37" s="39">
        <v>49002.7</v>
      </c>
      <c r="T37" s="39">
        <v>0</v>
      </c>
      <c r="U37" s="3">
        <f>Q37-S37-S37+T37</f>
        <v>77788760.67999996</v>
      </c>
      <c r="V37" s="3">
        <f t="shared" si="1"/>
        <v>77788.76067999996</v>
      </c>
    </row>
    <row r="38" spans="1:22" ht="12.75">
      <c r="A38" s="1" t="s">
        <v>25</v>
      </c>
      <c r="B38" s="14">
        <f>38591.121-481.061</f>
        <v>38110.06</v>
      </c>
      <c r="C38" s="14">
        <f>38983.971-542.07-4.499</f>
        <v>38437.401999999995</v>
      </c>
      <c r="D38" s="14">
        <v>40952</v>
      </c>
      <c r="E38" s="14">
        <v>38959</v>
      </c>
      <c r="F38" s="14">
        <v>42444</v>
      </c>
      <c r="G38" s="14">
        <v>45605</v>
      </c>
      <c r="H38" s="14">
        <v>48837</v>
      </c>
      <c r="I38" s="14">
        <v>50780</v>
      </c>
      <c r="J38" s="14">
        <v>53006</v>
      </c>
      <c r="K38" s="14">
        <v>56216.086930000005</v>
      </c>
      <c r="L38" s="85">
        <f>(K38-J38)*100/J38</f>
        <v>6.056082198241718</v>
      </c>
      <c r="M38" s="16">
        <f>(K38-O38)*100/O38</f>
        <v>58.025768623151755</v>
      </c>
      <c r="N38" s="220"/>
      <c r="O38" s="27">
        <v>35574</v>
      </c>
      <c r="P38" s="27"/>
      <c r="Q38" s="3">
        <v>56809494.29000001</v>
      </c>
      <c r="R38" s="86">
        <v>258946.27</v>
      </c>
      <c r="S38" s="39">
        <v>297569.68</v>
      </c>
      <c r="T38" s="39">
        <v>1732</v>
      </c>
      <c r="U38" s="3">
        <f>Q38-S38-S38+T38</f>
        <v>56216086.93000001</v>
      </c>
      <c r="V38" s="3">
        <f t="shared" si="1"/>
        <v>56216.086930000005</v>
      </c>
    </row>
    <row r="39" spans="1:22" ht="12.75">
      <c r="A39" s="17" t="s">
        <v>26</v>
      </c>
      <c r="B39" s="14">
        <f>21423.706-462.395</f>
        <v>20961.310999999998</v>
      </c>
      <c r="C39" s="14">
        <f>21837.427-561.15</f>
        <v>21276.277</v>
      </c>
      <c r="D39" s="14">
        <v>22883</v>
      </c>
      <c r="E39" s="14">
        <v>21807</v>
      </c>
      <c r="F39" s="14">
        <v>23611</v>
      </c>
      <c r="G39" s="14">
        <v>24753</v>
      </c>
      <c r="H39" s="14">
        <v>27255</v>
      </c>
      <c r="I39" s="14">
        <v>29462</v>
      </c>
      <c r="J39" s="14">
        <v>31780</v>
      </c>
      <c r="K39" s="14">
        <v>33379.82354999999</v>
      </c>
      <c r="L39" s="85">
        <f>(K39-J39)*100/J39</f>
        <v>5.034057740717389</v>
      </c>
      <c r="M39" s="16">
        <f>(K39-O39)*100/O39</f>
        <v>67.10800275344174</v>
      </c>
      <c r="N39" s="220"/>
      <c r="O39" s="27">
        <v>19975</v>
      </c>
      <c r="P39" s="27"/>
      <c r="Q39" s="3">
        <v>33772165.84999999</v>
      </c>
      <c r="R39" s="87">
        <v>195572.91</v>
      </c>
      <c r="S39" s="87">
        <v>196171.15</v>
      </c>
      <c r="T39" s="87">
        <v>0</v>
      </c>
      <c r="U39" s="3">
        <f>Q39-S39-S39+T39</f>
        <v>33379823.54999999</v>
      </c>
      <c r="V39" s="3">
        <f t="shared" si="1"/>
        <v>33379.82354999999</v>
      </c>
    </row>
    <row r="40" spans="1:13" ht="12.75">
      <c r="A40" s="1" t="s">
        <v>39</v>
      </c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</row>
    <row r="41" ht="12.75">
      <c r="B41" s="14"/>
    </row>
    <row r="42" spans="1:2" ht="12.75">
      <c r="A42" s="29" t="s">
        <v>78</v>
      </c>
      <c r="B42" s="14"/>
    </row>
    <row r="43" spans="1:2" ht="12.75">
      <c r="A43" s="1" t="s">
        <v>79</v>
      </c>
      <c r="B43" s="14"/>
    </row>
    <row r="44" ht="12.75">
      <c r="B44" s="14"/>
    </row>
    <row r="45" ht="12.75">
      <c r="B45" s="14"/>
    </row>
    <row r="46" ht="12.75">
      <c r="B46" s="14"/>
    </row>
    <row r="47" ht="12.75">
      <c r="B47" s="14"/>
    </row>
    <row r="48" ht="12.75">
      <c r="B48" s="14"/>
    </row>
    <row r="49" ht="12.75">
      <c r="B49" s="14"/>
    </row>
    <row r="50" ht="12.75">
      <c r="B50" s="14"/>
    </row>
    <row r="51" ht="12.75">
      <c r="B51" s="14"/>
    </row>
    <row r="52" ht="12.75">
      <c r="B52" s="14"/>
    </row>
    <row r="53" ht="12.75">
      <c r="B53" s="14"/>
    </row>
  </sheetData>
  <mergeCells count="7">
    <mergeCell ref="A1:M1"/>
    <mergeCell ref="Q5:V5"/>
    <mergeCell ref="U6:U7"/>
    <mergeCell ref="V6:V7"/>
    <mergeCell ref="A4:M4"/>
    <mergeCell ref="A3:M3"/>
    <mergeCell ref="L7:M7"/>
  </mergeCells>
  <printOptions/>
  <pageMargins left="0.54" right="0.49" top="1" bottom="1" header="0.5" footer="0.5"/>
  <pageSetup fitToHeight="1" fitToWidth="1" orientation="landscape" scale="78" r:id="rId1"/>
  <headerFooter alignWithMargins="0">
    <oddHeader xml:space="preserve">&amp;R&amp;10 </oddHeader>
    <oddFooter>&amp;L&amp;"Lucida Sans,Italic"&amp;10MSDE-DBS  1 / 2006&amp;C- 8 -&amp;R&amp;"Lucida Sans,Italic"&amp;10Selected Financial Data - Part 4</oddFooter>
  </headerFooter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workbookViewId="0" topLeftCell="A3">
      <selection activeCell="G3" sqref="G3"/>
    </sheetView>
  </sheetViews>
  <sheetFormatPr defaultColWidth="9.00390625" defaultRowHeight="15.75"/>
  <cols>
    <col min="1" max="1" width="12.875" style="1" customWidth="1"/>
    <col min="2" max="11" width="12.625" style="1" customWidth="1"/>
    <col min="12" max="12" width="7.875" style="1" customWidth="1"/>
    <col min="13" max="14" width="6.625" style="1" customWidth="1"/>
    <col min="15" max="15" width="10.125" style="1" customWidth="1"/>
    <col min="16" max="16" width="6.00390625" style="3" customWidth="1"/>
    <col min="17" max="17" width="12.25390625" style="3" customWidth="1"/>
    <col min="18" max="18" width="11.25390625" style="3" bestFit="1" customWidth="1"/>
    <col min="19" max="19" width="12.00390625" style="3" bestFit="1" customWidth="1"/>
    <col min="20" max="20" width="11.125" style="3" customWidth="1"/>
    <col min="21" max="46" width="10.125" style="3" customWidth="1"/>
    <col min="47" max="16384" width="10.00390625" style="3" customWidth="1"/>
  </cols>
  <sheetData>
    <row r="1" spans="1:14" ht="15.75" customHeight="1">
      <c r="A1" s="226" t="s">
        <v>67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10"/>
    </row>
    <row r="2" spans="8:15" ht="12.75">
      <c r="H2" s="2"/>
      <c r="I2" s="2"/>
      <c r="J2" s="2"/>
      <c r="K2" s="2"/>
      <c r="L2" s="2"/>
      <c r="M2" s="2"/>
      <c r="N2" s="2"/>
      <c r="O2" s="219" t="s">
        <v>181</v>
      </c>
    </row>
    <row r="3" spans="1:14" ht="12.75">
      <c r="A3" s="108" t="s">
        <v>40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>
      <c r="A4" s="108" t="s">
        <v>168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ht="13.5" thickBot="1"/>
    <row r="6" spans="1:21" ht="14.25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  <c r="Q6" s="234" t="s">
        <v>172</v>
      </c>
      <c r="R6" s="235"/>
      <c r="S6" s="235"/>
      <c r="T6" s="235"/>
      <c r="U6" s="236"/>
    </row>
    <row r="7" spans="1:21" ht="12.75">
      <c r="A7" s="7"/>
      <c r="B7" s="7"/>
      <c r="C7" s="7"/>
      <c r="D7" s="7"/>
      <c r="E7" s="7"/>
      <c r="L7" s="227" t="s">
        <v>28</v>
      </c>
      <c r="M7" s="227"/>
      <c r="N7" s="210"/>
      <c r="O7" s="7"/>
      <c r="P7" s="1"/>
      <c r="Q7" s="188" t="s">
        <v>95</v>
      </c>
      <c r="R7" s="106" t="s">
        <v>95</v>
      </c>
      <c r="S7" s="106" t="s">
        <v>95</v>
      </c>
      <c r="T7" s="106" t="s">
        <v>94</v>
      </c>
      <c r="U7" s="189"/>
    </row>
    <row r="8" spans="1:20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25" t="s">
        <v>59</v>
      </c>
      <c r="M8" s="25" t="s">
        <v>60</v>
      </c>
      <c r="N8" s="25"/>
      <c r="O8" s="7"/>
      <c r="P8" s="1"/>
      <c r="Q8" s="188" t="s">
        <v>92</v>
      </c>
      <c r="R8" s="106" t="s">
        <v>92</v>
      </c>
      <c r="S8" s="106" t="s">
        <v>92</v>
      </c>
      <c r="T8" s="106" t="s">
        <v>92</v>
      </c>
    </row>
    <row r="9" spans="1:21" ht="13.5" thickBot="1">
      <c r="A9" s="8" t="s">
        <v>1</v>
      </c>
      <c r="B9" s="33" t="s">
        <v>159</v>
      </c>
      <c r="C9" s="33" t="s">
        <v>160</v>
      </c>
      <c r="D9" s="33" t="s">
        <v>161</v>
      </c>
      <c r="E9" s="33" t="s">
        <v>162</v>
      </c>
      <c r="F9" s="38" t="s">
        <v>163</v>
      </c>
      <c r="G9" s="38" t="s">
        <v>82</v>
      </c>
      <c r="H9" s="38" t="s">
        <v>83</v>
      </c>
      <c r="I9" s="38" t="s">
        <v>140</v>
      </c>
      <c r="J9" s="38" t="s">
        <v>149</v>
      </c>
      <c r="K9" s="38" t="s">
        <v>165</v>
      </c>
      <c r="L9" s="9" t="s">
        <v>58</v>
      </c>
      <c r="M9" s="9" t="s">
        <v>58</v>
      </c>
      <c r="N9" s="25"/>
      <c r="O9" s="33" t="s">
        <v>158</v>
      </c>
      <c r="P9" s="1"/>
      <c r="Q9" s="190" t="s">
        <v>90</v>
      </c>
      <c r="R9" s="191" t="s">
        <v>88</v>
      </c>
      <c r="S9" s="191" t="s">
        <v>93</v>
      </c>
      <c r="T9" s="191"/>
      <c r="U9" s="189" t="s">
        <v>173</v>
      </c>
    </row>
    <row r="10" spans="1:21" ht="12.75">
      <c r="A10" s="7" t="s">
        <v>2</v>
      </c>
      <c r="B10" s="11">
        <v>429711</v>
      </c>
      <c r="C10" s="11">
        <f aca="true" t="shared" si="0" ref="C10:I10">SUM(C12:C43)</f>
        <v>455042</v>
      </c>
      <c r="D10" s="11">
        <f t="shared" si="0"/>
        <v>497836</v>
      </c>
      <c r="E10" s="11">
        <f t="shared" si="0"/>
        <v>526342</v>
      </c>
      <c r="F10" s="11">
        <f t="shared" si="0"/>
        <v>567346</v>
      </c>
      <c r="G10" s="11">
        <f t="shared" si="0"/>
        <v>600655</v>
      </c>
      <c r="H10" s="11">
        <f t="shared" si="0"/>
        <v>671779</v>
      </c>
      <c r="I10" s="11">
        <f t="shared" si="0"/>
        <v>719684</v>
      </c>
      <c r="J10" s="11">
        <f>SUM(J12:J393)</f>
        <v>771606</v>
      </c>
      <c r="K10" s="11">
        <f>SUM(K12:K43)</f>
        <v>781597.2926000002</v>
      </c>
      <c r="L10" s="77">
        <f>(K10-J10)/J10</f>
        <v>0.012948697392192596</v>
      </c>
      <c r="M10" s="12">
        <f>(J10-O10)/O10</f>
        <v>0.9641737093982283</v>
      </c>
      <c r="N10" s="12"/>
      <c r="O10" s="11">
        <v>392840</v>
      </c>
      <c r="P10" s="1"/>
      <c r="Q10" s="11">
        <f>SUM(Q12:Q43)</f>
        <v>997381237.85</v>
      </c>
      <c r="R10" s="11">
        <f>SUM(R12:R43)</f>
        <v>2783147.85</v>
      </c>
      <c r="S10" s="11">
        <f>SUM(S12:S43)</f>
        <v>213000797.39999998</v>
      </c>
      <c r="T10" s="11">
        <f>SUM(T12:T39)</f>
        <v>781597292.6</v>
      </c>
      <c r="U10" s="11">
        <f>SUM(U12:U39)</f>
        <v>781597.2926000002</v>
      </c>
    </row>
    <row r="11" spans="3:16" ht="12.75">
      <c r="C11" s="14"/>
      <c r="D11" s="14"/>
      <c r="E11" s="14"/>
      <c r="F11" s="14"/>
      <c r="L11" s="15"/>
      <c r="M11" s="14"/>
      <c r="N11" s="14"/>
      <c r="P11" s="1"/>
    </row>
    <row r="12" spans="1:21" ht="12.75">
      <c r="A12" s="1" t="s">
        <v>3</v>
      </c>
      <c r="B12" s="14">
        <v>4517</v>
      </c>
      <c r="C12" s="14">
        <v>5087</v>
      </c>
      <c r="D12" s="14">
        <v>5261</v>
      </c>
      <c r="E12" s="14">
        <v>5960</v>
      </c>
      <c r="F12" s="14">
        <v>7004</v>
      </c>
      <c r="G12" s="1">
        <v>7480</v>
      </c>
      <c r="H12" s="1">
        <v>7928</v>
      </c>
      <c r="I12" s="1">
        <v>8639</v>
      </c>
      <c r="J12" s="1">
        <v>8538</v>
      </c>
      <c r="K12" s="1">
        <v>9066.78055</v>
      </c>
      <c r="L12" s="88">
        <f>(K12-J12)*100/J12</f>
        <v>6.193260131178256</v>
      </c>
      <c r="M12" s="16">
        <f>(J12-O12)*100/O12</f>
        <v>107.08222168324036</v>
      </c>
      <c r="N12" s="16"/>
      <c r="O12" s="14">
        <v>4123</v>
      </c>
      <c r="P12" s="1"/>
      <c r="Q12" s="3">
        <v>10918174.53</v>
      </c>
      <c r="R12" s="3">
        <v>79529.93</v>
      </c>
      <c r="S12" s="150">
        <v>1771864.05</v>
      </c>
      <c r="T12" s="3">
        <f>Q12-R12-S12</f>
        <v>9066780.549999999</v>
      </c>
      <c r="U12" s="3">
        <f>T12/1000</f>
        <v>9066.78055</v>
      </c>
    </row>
    <row r="13" spans="1:21" ht="12.75">
      <c r="A13" s="1" t="s">
        <v>4</v>
      </c>
      <c r="B13" s="14">
        <v>34353</v>
      </c>
      <c r="C13" s="14">
        <v>35084</v>
      </c>
      <c r="D13" s="14">
        <v>37363</v>
      </c>
      <c r="E13" s="14">
        <v>37754</v>
      </c>
      <c r="F13" s="14">
        <v>43597</v>
      </c>
      <c r="G13" s="1">
        <v>50243</v>
      </c>
      <c r="H13" s="1">
        <v>56132</v>
      </c>
      <c r="I13" s="1">
        <v>56169</v>
      </c>
      <c r="J13" s="1">
        <v>59347</v>
      </c>
      <c r="K13" s="1">
        <v>59432.12718000001</v>
      </c>
      <c r="L13" s="88">
        <f>(K13-J13)*100/J13</f>
        <v>0.14343973579121172</v>
      </c>
      <c r="M13" s="16">
        <f>(J13-O13)*100/O13</f>
        <v>87.20860540676951</v>
      </c>
      <c r="N13" s="16"/>
      <c r="O13" s="14">
        <v>31701</v>
      </c>
      <c r="P13" s="1"/>
      <c r="Q13" s="3">
        <v>76501217.48</v>
      </c>
      <c r="R13" s="3">
        <v>430093.88</v>
      </c>
      <c r="S13" s="86">
        <v>16638996.42</v>
      </c>
      <c r="T13" s="3">
        <f>Q13-R13-S13</f>
        <v>59432127.18000001</v>
      </c>
      <c r="U13" s="3">
        <f>T13/1000</f>
        <v>59432.12718000001</v>
      </c>
    </row>
    <row r="14" spans="1:21" ht="12.75">
      <c r="A14" s="1" t="s">
        <v>5</v>
      </c>
      <c r="B14" s="14">
        <v>84522</v>
      </c>
      <c r="C14" s="14">
        <v>92733</v>
      </c>
      <c r="D14" s="14">
        <v>108011</v>
      </c>
      <c r="E14" s="14">
        <v>109129</v>
      </c>
      <c r="F14" s="14">
        <v>117956</v>
      </c>
      <c r="G14" s="1">
        <v>102569</v>
      </c>
      <c r="H14" s="1">
        <v>130572</v>
      </c>
      <c r="I14" s="1">
        <v>130794</v>
      </c>
      <c r="J14" s="1">
        <v>140272</v>
      </c>
      <c r="K14" s="1">
        <v>123243.03278999998</v>
      </c>
      <c r="L14" s="88">
        <f>(K14-J14)*100/J14</f>
        <v>-12.13996179565417</v>
      </c>
      <c r="M14" s="16">
        <f>(J14-O14)*100/O14</f>
        <v>90.00094816259634</v>
      </c>
      <c r="N14" s="16"/>
      <c r="O14" s="14">
        <v>73827</v>
      </c>
      <c r="P14" s="1"/>
      <c r="Q14" s="3">
        <v>174468565.95999998</v>
      </c>
      <c r="R14" s="3">
        <v>336812.84</v>
      </c>
      <c r="S14" s="86">
        <v>50888720.33</v>
      </c>
      <c r="T14" s="3">
        <f>Q14-R14-S14</f>
        <v>123243032.78999998</v>
      </c>
      <c r="U14" s="3">
        <f>T14/1000</f>
        <v>123243.03278999998</v>
      </c>
    </row>
    <row r="15" spans="1:21" ht="12.75">
      <c r="A15" s="1" t="s">
        <v>6</v>
      </c>
      <c r="B15" s="14">
        <v>48417</v>
      </c>
      <c r="C15" s="14">
        <v>51920</v>
      </c>
      <c r="D15" s="14">
        <v>63197</v>
      </c>
      <c r="E15" s="14">
        <v>65269</v>
      </c>
      <c r="F15" s="14">
        <v>60798</v>
      </c>
      <c r="G15" s="1">
        <v>73547</v>
      </c>
      <c r="H15" s="1">
        <v>78520</v>
      </c>
      <c r="I15" s="1">
        <v>86267</v>
      </c>
      <c r="J15" s="1">
        <v>91097</v>
      </c>
      <c r="K15" s="1">
        <v>94276.64593999999</v>
      </c>
      <c r="L15" s="88">
        <f>(K15-J15)*100/J15</f>
        <v>3.4903958857042356</v>
      </c>
      <c r="M15" s="16">
        <f>(J15-O15)*100/O15</f>
        <v>98.55925368905163</v>
      </c>
      <c r="N15" s="16"/>
      <c r="O15" s="14">
        <v>45879</v>
      </c>
      <c r="P15" s="1"/>
      <c r="Q15" s="3">
        <v>122499790.08999999</v>
      </c>
      <c r="R15" s="3">
        <v>365666.03</v>
      </c>
      <c r="S15" s="86">
        <v>27857478.12</v>
      </c>
      <c r="T15" s="3">
        <f>Q15-R15-S15</f>
        <v>94276645.93999998</v>
      </c>
      <c r="U15" s="3">
        <f>T15/1000</f>
        <v>94276.64593999999</v>
      </c>
    </row>
    <row r="16" spans="1:21" ht="12.75">
      <c r="A16" s="1" t="s">
        <v>7</v>
      </c>
      <c r="B16" s="14">
        <v>5757</v>
      </c>
      <c r="C16" s="14">
        <v>6328</v>
      </c>
      <c r="D16" s="14">
        <v>6759</v>
      </c>
      <c r="E16" s="14">
        <v>7456</v>
      </c>
      <c r="F16" s="14">
        <v>8460</v>
      </c>
      <c r="G16" s="1">
        <v>9506</v>
      </c>
      <c r="H16" s="1">
        <v>10131</v>
      </c>
      <c r="I16" s="1">
        <v>11601</v>
      </c>
      <c r="J16" s="1">
        <v>13034</v>
      </c>
      <c r="K16" s="1">
        <v>14336.83646</v>
      </c>
      <c r="L16" s="88">
        <f>(K16-J16)*100/J16</f>
        <v>9.995676384839653</v>
      </c>
      <c r="M16" s="16">
        <f>(J16-O16)*100/O16</f>
        <v>145.18434913468772</v>
      </c>
      <c r="N16" s="16"/>
      <c r="O16" s="14">
        <v>5316</v>
      </c>
      <c r="P16" s="1"/>
      <c r="Q16" s="3">
        <v>16649814.42</v>
      </c>
      <c r="R16" s="3">
        <v>114754.43</v>
      </c>
      <c r="S16" s="86">
        <v>2198223.53</v>
      </c>
      <c r="T16" s="3">
        <f>Q16-R16-S16</f>
        <v>14336836.46</v>
      </c>
      <c r="U16" s="3">
        <f>T16/1000</f>
        <v>14336.83646</v>
      </c>
    </row>
    <row r="17" spans="2:19" ht="12.75">
      <c r="B17" s="14"/>
      <c r="C17" s="14"/>
      <c r="D17" s="14"/>
      <c r="E17" s="14"/>
      <c r="F17" s="14"/>
      <c r="L17" s="15"/>
      <c r="M17" s="16"/>
      <c r="N17" s="16"/>
      <c r="O17" s="14"/>
      <c r="P17" s="1"/>
      <c r="S17" s="86"/>
    </row>
    <row r="18" spans="1:21" ht="12.75">
      <c r="A18" s="1" t="s">
        <v>8</v>
      </c>
      <c r="B18" s="14">
        <v>1923</v>
      </c>
      <c r="C18" s="14">
        <v>2103</v>
      </c>
      <c r="D18" s="14">
        <v>2182</v>
      </c>
      <c r="E18" s="14">
        <v>2351</v>
      </c>
      <c r="F18" s="14">
        <v>2573</v>
      </c>
      <c r="G18" s="1">
        <v>2851</v>
      </c>
      <c r="H18" s="1">
        <v>2920</v>
      </c>
      <c r="I18" s="1">
        <v>3124</v>
      </c>
      <c r="J18" s="1">
        <v>3492</v>
      </c>
      <c r="K18" s="1">
        <v>3869.8158399999998</v>
      </c>
      <c r="L18" s="88">
        <f>(K18-J18)*100/J18</f>
        <v>10.819468499427254</v>
      </c>
      <c r="M18" s="16">
        <f>(J18-O18)*100/O18</f>
        <v>101.84971098265896</v>
      </c>
      <c r="N18" s="16"/>
      <c r="O18" s="14">
        <v>1730</v>
      </c>
      <c r="P18" s="1"/>
      <c r="Q18" s="3">
        <v>4423746.35</v>
      </c>
      <c r="R18" s="3">
        <v>19781.51</v>
      </c>
      <c r="S18" s="86">
        <v>534149</v>
      </c>
      <c r="T18" s="3">
        <f>Q18-R18-S18</f>
        <v>3869815.84</v>
      </c>
      <c r="U18" s="3">
        <f>T18/1000</f>
        <v>3869.8158399999998</v>
      </c>
    </row>
    <row r="19" spans="1:21" ht="12.75">
      <c r="A19" s="1" t="s">
        <v>9</v>
      </c>
      <c r="B19" s="14">
        <v>9821</v>
      </c>
      <c r="C19" s="14">
        <v>10719</v>
      </c>
      <c r="D19" s="14">
        <v>11035</v>
      </c>
      <c r="E19" s="14">
        <v>12135</v>
      </c>
      <c r="F19" s="14">
        <v>13744</v>
      </c>
      <c r="G19" s="1">
        <v>14818</v>
      </c>
      <c r="H19" s="1">
        <v>16127</v>
      </c>
      <c r="I19" s="1">
        <v>17485</v>
      </c>
      <c r="J19" s="1">
        <v>18674</v>
      </c>
      <c r="K19" s="1">
        <v>19976.03875000001</v>
      </c>
      <c r="L19" s="88">
        <f>(K19-J19)*100/J19</f>
        <v>6.9724684052694155</v>
      </c>
      <c r="M19" s="16">
        <f>(J19-O19)*100/O19</f>
        <v>112.13222764966488</v>
      </c>
      <c r="N19" s="16"/>
      <c r="O19" s="14">
        <v>8803</v>
      </c>
      <c r="P19" s="1"/>
      <c r="Q19" s="3">
        <v>25452669.00000001</v>
      </c>
      <c r="R19" s="3">
        <v>123912.28</v>
      </c>
      <c r="S19" s="86">
        <v>5352717.97</v>
      </c>
      <c r="T19" s="3">
        <f>Q19-R19-S19</f>
        <v>19976038.75000001</v>
      </c>
      <c r="U19" s="3">
        <f>T19/1000</f>
        <v>19976.03875000001</v>
      </c>
    </row>
    <row r="20" spans="1:21" ht="12.75">
      <c r="A20" s="1" t="s">
        <v>10</v>
      </c>
      <c r="B20" s="14">
        <v>6622</v>
      </c>
      <c r="C20" s="14">
        <v>7154</v>
      </c>
      <c r="D20" s="14">
        <v>7518</v>
      </c>
      <c r="E20" s="14">
        <v>8046</v>
      </c>
      <c r="F20" s="14">
        <v>9143</v>
      </c>
      <c r="G20" s="1">
        <v>9914</v>
      </c>
      <c r="H20" s="1">
        <v>10894</v>
      </c>
      <c r="I20" s="1">
        <v>12051</v>
      </c>
      <c r="J20" s="1">
        <v>12932</v>
      </c>
      <c r="K20" s="1">
        <v>13730.18292</v>
      </c>
      <c r="L20" s="88">
        <f>(K20-J20)*100/J20</f>
        <v>6.172153727188364</v>
      </c>
      <c r="M20" s="16">
        <f>(J20-O20)*100/O20</f>
        <v>113.29374896915718</v>
      </c>
      <c r="N20" s="16"/>
      <c r="O20" s="14">
        <v>6063</v>
      </c>
      <c r="P20" s="1"/>
      <c r="Q20" s="3">
        <v>16240489.709999999</v>
      </c>
      <c r="R20" s="3">
        <v>138294.1</v>
      </c>
      <c r="S20" s="86">
        <v>2372012.69</v>
      </c>
      <c r="T20" s="3">
        <f>Q20-R20-S20</f>
        <v>13730182.92</v>
      </c>
      <c r="U20" s="3">
        <f>T20/1000</f>
        <v>13730.18292</v>
      </c>
    </row>
    <row r="21" spans="1:21" ht="12.75">
      <c r="A21" s="1" t="s">
        <v>11</v>
      </c>
      <c r="B21" s="14">
        <v>10183</v>
      </c>
      <c r="C21" s="14">
        <v>9847</v>
      </c>
      <c r="D21" s="14">
        <v>10035</v>
      </c>
      <c r="E21" s="14">
        <v>10903</v>
      </c>
      <c r="F21" s="14">
        <v>11852</v>
      </c>
      <c r="G21" s="1">
        <v>13117</v>
      </c>
      <c r="H21" s="1">
        <v>13986</v>
      </c>
      <c r="I21" s="1">
        <v>15176</v>
      </c>
      <c r="J21" s="1">
        <v>16613</v>
      </c>
      <c r="K21" s="1">
        <v>17681.41241</v>
      </c>
      <c r="L21" s="88">
        <f>(K21-J21)*100/J21</f>
        <v>6.431182868837662</v>
      </c>
      <c r="M21" s="16">
        <f>(J21-O21)*100/O21</f>
        <v>71.71059431524547</v>
      </c>
      <c r="N21" s="16"/>
      <c r="O21" s="14">
        <v>9675</v>
      </c>
      <c r="P21" s="1"/>
      <c r="Q21" s="3">
        <v>20767941.82</v>
      </c>
      <c r="R21" s="3">
        <v>48501.84</v>
      </c>
      <c r="S21" s="86">
        <v>3038027.57</v>
      </c>
      <c r="T21" s="3">
        <f>Q21-R21-S21</f>
        <v>17681412.41</v>
      </c>
      <c r="U21" s="3">
        <f>T21/1000</f>
        <v>17681.41241</v>
      </c>
    </row>
    <row r="22" spans="1:21" ht="12.75">
      <c r="A22" s="1" t="s">
        <v>12</v>
      </c>
      <c r="B22" s="14">
        <v>2275</v>
      </c>
      <c r="C22" s="14">
        <v>2453</v>
      </c>
      <c r="D22" s="14">
        <v>2656</v>
      </c>
      <c r="E22" s="14">
        <v>2630</v>
      </c>
      <c r="F22" s="14">
        <v>2660</v>
      </c>
      <c r="G22" s="1">
        <v>2655</v>
      </c>
      <c r="H22" s="1">
        <v>3063</v>
      </c>
      <c r="I22" s="1">
        <v>2944</v>
      </c>
      <c r="J22" s="1">
        <v>3383</v>
      </c>
      <c r="K22" s="1">
        <v>3648.13475</v>
      </c>
      <c r="L22" s="88">
        <f>(K22-J22)*100/J22</f>
        <v>7.837267218445172</v>
      </c>
      <c r="M22" s="16">
        <f>(J22-O22)*100/O22</f>
        <v>56.91094619666048</v>
      </c>
      <c r="N22" s="16"/>
      <c r="O22" s="14">
        <v>2156</v>
      </c>
      <c r="P22" s="1"/>
      <c r="Q22" s="3">
        <v>3735448.84</v>
      </c>
      <c r="R22" s="3">
        <v>87314.09</v>
      </c>
      <c r="S22" s="86">
        <v>0</v>
      </c>
      <c r="T22" s="3">
        <f>Q22-R22-S22</f>
        <v>3648134.75</v>
      </c>
      <c r="U22" s="3">
        <f>T22/1000</f>
        <v>3648.13475</v>
      </c>
    </row>
    <row r="23" spans="2:19" ht="12.75">
      <c r="B23" s="14"/>
      <c r="C23" s="14"/>
      <c r="D23" s="14"/>
      <c r="E23" s="14"/>
      <c r="F23" s="14"/>
      <c r="L23" s="15"/>
      <c r="M23" s="16"/>
      <c r="N23" s="16"/>
      <c r="O23" s="14"/>
      <c r="P23" s="1"/>
      <c r="S23" s="86"/>
    </row>
    <row r="24" spans="1:21" ht="12.75">
      <c r="A24" s="1" t="s">
        <v>13</v>
      </c>
      <c r="B24" s="14">
        <v>12814</v>
      </c>
      <c r="C24" s="14">
        <v>13466</v>
      </c>
      <c r="D24" s="14">
        <v>14021</v>
      </c>
      <c r="E24" s="14">
        <v>14858</v>
      </c>
      <c r="F24" s="14">
        <v>16115</v>
      </c>
      <c r="G24" s="1">
        <v>17517</v>
      </c>
      <c r="H24" s="1">
        <v>18572</v>
      </c>
      <c r="I24" s="1">
        <v>21129</v>
      </c>
      <c r="J24" s="1">
        <v>22231</v>
      </c>
      <c r="K24" s="1">
        <v>25271.57895999999</v>
      </c>
      <c r="L24" s="88">
        <f>(K24-J24)*100/J24</f>
        <v>13.677202824884132</v>
      </c>
      <c r="M24" s="16">
        <f>(J24-O24)*100/O24</f>
        <v>94.51395572666026</v>
      </c>
      <c r="N24" s="16"/>
      <c r="O24" s="14">
        <v>11429</v>
      </c>
      <c r="P24" s="1"/>
      <c r="Q24" s="3">
        <v>28521444.39999999</v>
      </c>
      <c r="R24" s="3">
        <v>50926.45</v>
      </c>
      <c r="S24" s="86">
        <v>3198938.99</v>
      </c>
      <c r="T24" s="3">
        <f>Q24-R24-S24</f>
        <v>25271578.959999993</v>
      </c>
      <c r="U24" s="3">
        <f>T24/1000</f>
        <v>25271.57895999999</v>
      </c>
    </row>
    <row r="25" spans="1:21" ht="12.75">
      <c r="A25" s="1" t="s">
        <v>14</v>
      </c>
      <c r="B25" s="14">
        <v>2162</v>
      </c>
      <c r="C25" s="14">
        <v>2167</v>
      </c>
      <c r="D25" s="14">
        <v>2289</v>
      </c>
      <c r="E25" s="14">
        <v>2460</v>
      </c>
      <c r="F25" s="14">
        <v>2579</v>
      </c>
      <c r="G25" s="1">
        <v>2563</v>
      </c>
      <c r="H25" s="1">
        <v>2677</v>
      </c>
      <c r="I25" s="1">
        <v>2862</v>
      </c>
      <c r="J25" s="1">
        <v>2931</v>
      </c>
      <c r="K25" s="1">
        <v>3100.14373</v>
      </c>
      <c r="L25" s="88">
        <f>(K25-J25)*100/J25</f>
        <v>5.770853974752637</v>
      </c>
      <c r="M25" s="16">
        <f>(J25-O25)*100/O25</f>
        <v>43.74693477194703</v>
      </c>
      <c r="N25" s="16"/>
      <c r="O25" s="14">
        <v>2039</v>
      </c>
      <c r="P25" s="1"/>
      <c r="Q25" s="3">
        <v>3289015.75</v>
      </c>
      <c r="R25" s="3">
        <v>12019.89</v>
      </c>
      <c r="S25" s="86">
        <v>176852.13</v>
      </c>
      <c r="T25" s="3">
        <f>Q25-R25-S25</f>
        <v>3100143.73</v>
      </c>
      <c r="U25" s="3">
        <f>T25/1000</f>
        <v>3100.14373</v>
      </c>
    </row>
    <row r="26" spans="1:21" ht="12.75">
      <c r="A26" s="1" t="s">
        <v>15</v>
      </c>
      <c r="B26" s="14">
        <v>13951</v>
      </c>
      <c r="C26" s="14">
        <v>14821</v>
      </c>
      <c r="D26" s="14">
        <v>15918</v>
      </c>
      <c r="E26" s="14">
        <v>17303</v>
      </c>
      <c r="F26" s="14">
        <v>17898</v>
      </c>
      <c r="G26" s="1">
        <v>19645</v>
      </c>
      <c r="H26" s="1">
        <v>21363</v>
      </c>
      <c r="I26" s="1">
        <v>23806</v>
      </c>
      <c r="J26" s="1">
        <v>24120</v>
      </c>
      <c r="K26" s="1">
        <v>25598.21432999999</v>
      </c>
      <c r="L26" s="88">
        <f>(K26-J26)*100/J26</f>
        <v>6.128583457711407</v>
      </c>
      <c r="M26" s="16">
        <f>(J26-O26)*100/O26</f>
        <v>100.49875311720699</v>
      </c>
      <c r="N26" s="16"/>
      <c r="O26" s="14">
        <v>12030</v>
      </c>
      <c r="P26" s="1"/>
      <c r="Q26" s="3">
        <v>32371030.32999999</v>
      </c>
      <c r="R26" s="3">
        <v>99371.71</v>
      </c>
      <c r="S26" s="86">
        <v>6673444.289999999</v>
      </c>
      <c r="T26" s="3">
        <f>Q26-R26-S26</f>
        <v>25598214.32999999</v>
      </c>
      <c r="U26" s="3">
        <f>T26/1000</f>
        <v>25598.21432999999</v>
      </c>
    </row>
    <row r="27" spans="1:21" ht="12.75">
      <c r="A27" s="1" t="s">
        <v>16</v>
      </c>
      <c r="B27" s="14">
        <v>20517</v>
      </c>
      <c r="C27" s="14">
        <v>22237</v>
      </c>
      <c r="D27" s="14">
        <v>23576</v>
      </c>
      <c r="E27" s="14">
        <v>25977</v>
      </c>
      <c r="F27" s="14">
        <v>28449</v>
      </c>
      <c r="G27" s="1">
        <v>35578</v>
      </c>
      <c r="H27" s="1">
        <v>39298</v>
      </c>
      <c r="I27" s="1">
        <v>44978</v>
      </c>
      <c r="J27" s="1">
        <v>51812</v>
      </c>
      <c r="K27" s="1">
        <v>57042.60547000002</v>
      </c>
      <c r="L27" s="88">
        <f>(K27-J27)*100/J27</f>
        <v>10.095355265189562</v>
      </c>
      <c r="M27" s="16">
        <f>(J27-O27)*100/O27</f>
        <v>177.33647361096243</v>
      </c>
      <c r="N27" s="16"/>
      <c r="O27" s="14">
        <v>18682</v>
      </c>
      <c r="P27" s="1"/>
      <c r="Q27" s="3">
        <v>65372846.30000001</v>
      </c>
      <c r="R27" s="3">
        <v>99208.87</v>
      </c>
      <c r="S27" s="86">
        <v>8231031.959999999</v>
      </c>
      <c r="T27" s="3">
        <f>Q27-R27-S27</f>
        <v>57042605.47000001</v>
      </c>
      <c r="U27" s="3">
        <f>T27/1000</f>
        <v>57042.60547000002</v>
      </c>
    </row>
    <row r="28" spans="1:21" ht="12.75">
      <c r="A28" s="1" t="s">
        <v>17</v>
      </c>
      <c r="B28" s="14">
        <v>1289</v>
      </c>
      <c r="C28" s="14">
        <v>1337</v>
      </c>
      <c r="D28" s="14">
        <v>1386</v>
      </c>
      <c r="E28" s="14">
        <v>1653</v>
      </c>
      <c r="F28" s="14">
        <v>1505</v>
      </c>
      <c r="G28" s="1">
        <v>1643</v>
      </c>
      <c r="H28" s="1">
        <v>1850</v>
      </c>
      <c r="I28" s="1">
        <v>1981</v>
      </c>
      <c r="J28" s="1">
        <v>2206</v>
      </c>
      <c r="K28" s="1">
        <v>2117.4076500000006</v>
      </c>
      <c r="L28" s="88">
        <f>(K28-J28)*100/J28</f>
        <v>-4.015972348141407</v>
      </c>
      <c r="M28" s="16">
        <f>(J28-O28)*100/O28</f>
        <v>89.84509466437177</v>
      </c>
      <c r="N28" s="16"/>
      <c r="O28" s="14">
        <v>1162</v>
      </c>
      <c r="P28" s="1"/>
      <c r="Q28" s="3">
        <v>2196101.49</v>
      </c>
      <c r="R28" s="3">
        <v>15514.84</v>
      </c>
      <c r="S28" s="86">
        <v>63179</v>
      </c>
      <c r="T28" s="3">
        <f>Q28-R28-S28</f>
        <v>2117407.6500000004</v>
      </c>
      <c r="U28" s="3">
        <f>T28/1000</f>
        <v>2117.4076500000006</v>
      </c>
    </row>
    <row r="29" spans="2:19" ht="12.75">
      <c r="B29" s="14"/>
      <c r="C29" s="14"/>
      <c r="D29" s="14"/>
      <c r="E29" s="14"/>
      <c r="F29" s="14"/>
      <c r="L29" s="15"/>
      <c r="M29" s="16"/>
      <c r="N29" s="16"/>
      <c r="O29" s="14"/>
      <c r="P29" s="1"/>
      <c r="S29" s="86"/>
    </row>
    <row r="30" spans="1:21" ht="12.75">
      <c r="A30" s="1" t="s">
        <v>18</v>
      </c>
      <c r="B30" s="14">
        <v>76286</v>
      </c>
      <c r="C30" s="14">
        <v>79832</v>
      </c>
      <c r="D30" s="14">
        <v>84710</v>
      </c>
      <c r="E30" s="14">
        <v>93711</v>
      </c>
      <c r="F30" s="14">
        <v>103122</v>
      </c>
      <c r="G30" s="1">
        <v>109753</v>
      </c>
      <c r="H30" s="1">
        <v>120506</v>
      </c>
      <c r="I30" s="1">
        <v>130693</v>
      </c>
      <c r="J30" s="1">
        <v>140568</v>
      </c>
      <c r="K30" s="1">
        <v>149381.39983</v>
      </c>
      <c r="L30" s="88">
        <f>(K30-J30)*100/J30</f>
        <v>6.269847924136368</v>
      </c>
      <c r="M30" s="16">
        <f>(J30-O30)*100/O30</f>
        <v>98.52835251747759</v>
      </c>
      <c r="N30" s="16"/>
      <c r="O30" s="14">
        <v>70805</v>
      </c>
      <c r="P30" s="1"/>
      <c r="Q30" s="3">
        <v>178954323.87</v>
      </c>
      <c r="R30" s="3">
        <v>191584.28</v>
      </c>
      <c r="S30" s="86">
        <v>29381339.76</v>
      </c>
      <c r="T30" s="3">
        <f>Q30-R30-S30</f>
        <v>149381399.83</v>
      </c>
      <c r="U30" s="3">
        <f>T30/1000</f>
        <v>149381.39983</v>
      </c>
    </row>
    <row r="31" spans="1:21" ht="12.75">
      <c r="A31" s="1" t="s">
        <v>19</v>
      </c>
      <c r="B31" s="14">
        <v>65650</v>
      </c>
      <c r="C31" s="14">
        <v>67823</v>
      </c>
      <c r="D31" s="14">
        <v>70093</v>
      </c>
      <c r="E31" s="14">
        <v>75130</v>
      </c>
      <c r="F31" s="14">
        <v>81906</v>
      </c>
      <c r="G31" s="1">
        <v>86529</v>
      </c>
      <c r="H31" s="1">
        <v>93259</v>
      </c>
      <c r="I31" s="1">
        <v>101191</v>
      </c>
      <c r="J31" s="1">
        <v>108284</v>
      </c>
      <c r="K31" s="1">
        <v>105111.61393</v>
      </c>
      <c r="L31" s="88">
        <f>(K31-J31)*100/J31</f>
        <v>-2.929690508293001</v>
      </c>
      <c r="M31" s="16">
        <f>(J31-O31)*100/O31</f>
        <v>79.07949790794979</v>
      </c>
      <c r="N31" s="16"/>
      <c r="O31" s="14">
        <v>60467</v>
      </c>
      <c r="P31" s="1"/>
      <c r="Q31" s="3">
        <v>153202949.43</v>
      </c>
      <c r="R31" s="3">
        <v>262903.38</v>
      </c>
      <c r="S31" s="86">
        <v>47828432.12</v>
      </c>
      <c r="T31" s="3">
        <f>Q31-R31-S31</f>
        <v>105111613.93</v>
      </c>
      <c r="U31" s="3">
        <f>T31/1000</f>
        <v>105111.61393</v>
      </c>
    </row>
    <row r="32" spans="1:21" ht="12.75">
      <c r="A32" s="1" t="s">
        <v>20</v>
      </c>
      <c r="B32" s="14">
        <v>2492</v>
      </c>
      <c r="C32" s="14">
        <v>2685</v>
      </c>
      <c r="D32" s="14">
        <v>2921</v>
      </c>
      <c r="E32" s="14">
        <v>3093</v>
      </c>
      <c r="F32" s="14">
        <v>3590</v>
      </c>
      <c r="G32" s="1">
        <v>3791</v>
      </c>
      <c r="H32" s="1">
        <v>4206</v>
      </c>
      <c r="I32" s="1">
        <v>4774</v>
      </c>
      <c r="J32" s="1">
        <v>5165</v>
      </c>
      <c r="K32" s="1">
        <v>5553.75738</v>
      </c>
      <c r="L32" s="88">
        <f>(K32-J32)*100/J32</f>
        <v>7.526764375605033</v>
      </c>
      <c r="M32" s="16">
        <f>(J32-O32)*100/O32</f>
        <v>109.70361347949655</v>
      </c>
      <c r="N32" s="16"/>
      <c r="O32" s="14">
        <v>2463</v>
      </c>
      <c r="P32" s="1"/>
      <c r="Q32" s="3">
        <v>6329760</v>
      </c>
      <c r="R32" s="3">
        <v>27216.53</v>
      </c>
      <c r="S32" s="86">
        <v>748786.09</v>
      </c>
      <c r="T32" s="3">
        <f>Q32-R32-S32</f>
        <v>5553757.38</v>
      </c>
      <c r="U32" s="3">
        <f>T32/1000</f>
        <v>5553.75738</v>
      </c>
    </row>
    <row r="33" spans="1:21" ht="12.75">
      <c r="A33" s="1" t="s">
        <v>21</v>
      </c>
      <c r="B33" s="14">
        <v>6568</v>
      </c>
      <c r="C33" s="14">
        <v>6891</v>
      </c>
      <c r="D33" s="14">
        <v>7410</v>
      </c>
      <c r="E33" s="14">
        <v>8050</v>
      </c>
      <c r="F33" s="14">
        <v>9129</v>
      </c>
      <c r="G33" s="1">
        <v>9729</v>
      </c>
      <c r="H33" s="1">
        <v>10405</v>
      </c>
      <c r="I33" s="1">
        <v>11463</v>
      </c>
      <c r="J33" s="1">
        <v>12344</v>
      </c>
      <c r="K33" s="1">
        <v>12819.15348</v>
      </c>
      <c r="L33" s="88">
        <f>(K33-J33)*100/J33</f>
        <v>3.8492666882696116</v>
      </c>
      <c r="M33" s="16">
        <f>(J33-O33)*100/O33</f>
        <v>98.39279974284796</v>
      </c>
      <c r="N33" s="16"/>
      <c r="O33" s="14">
        <v>6222</v>
      </c>
      <c r="P33" s="1"/>
      <c r="Q33" s="3">
        <v>14268196.22</v>
      </c>
      <c r="R33" s="3">
        <v>75165</v>
      </c>
      <c r="S33" s="86">
        <v>1373877.74</v>
      </c>
      <c r="T33" s="3">
        <f>Q33-R33-S33</f>
        <v>12819153.48</v>
      </c>
      <c r="U33" s="3">
        <f>T33/1000</f>
        <v>12819.15348</v>
      </c>
    </row>
    <row r="34" spans="1:21" ht="12.75">
      <c r="A34" s="1" t="s">
        <v>22</v>
      </c>
      <c r="B34" s="14">
        <v>1523</v>
      </c>
      <c r="C34" s="14">
        <v>1572</v>
      </c>
      <c r="D34" s="14">
        <v>1532</v>
      </c>
      <c r="E34" s="14">
        <v>1505</v>
      </c>
      <c r="F34" s="14">
        <v>1684</v>
      </c>
      <c r="G34" s="1">
        <v>1761</v>
      </c>
      <c r="H34" s="1">
        <v>1844</v>
      </c>
      <c r="I34" s="1">
        <v>2036</v>
      </c>
      <c r="J34" s="1">
        <v>2234</v>
      </c>
      <c r="K34" s="1">
        <v>2313.73301</v>
      </c>
      <c r="L34" s="88">
        <f>(K34-J34)*100/J34</f>
        <v>3.5690693822739448</v>
      </c>
      <c r="M34" s="16">
        <f>(J34-O34)*100/O34</f>
        <v>44.97079818299805</v>
      </c>
      <c r="N34" s="16"/>
      <c r="O34" s="14">
        <v>1541</v>
      </c>
      <c r="P34" s="1"/>
      <c r="Q34" s="3">
        <v>2526433.88</v>
      </c>
      <c r="R34" s="3">
        <v>103289.67</v>
      </c>
      <c r="S34" s="86">
        <v>109411.2</v>
      </c>
      <c r="T34" s="3">
        <f>Q34-R34-S34</f>
        <v>2313733.01</v>
      </c>
      <c r="U34" s="3">
        <f>T34/1000</f>
        <v>2313.73301</v>
      </c>
    </row>
    <row r="35" spans="2:19" ht="12.75">
      <c r="B35" s="14"/>
      <c r="C35" s="14"/>
      <c r="D35" s="14"/>
      <c r="E35" s="14"/>
      <c r="F35" s="14"/>
      <c r="L35" s="15"/>
      <c r="M35" s="16"/>
      <c r="N35" s="16"/>
      <c r="O35" s="14"/>
      <c r="P35" s="1"/>
      <c r="S35" s="86"/>
    </row>
    <row r="36" spans="1:21" ht="12.75">
      <c r="A36" s="1" t="s">
        <v>23</v>
      </c>
      <c r="B36" s="14">
        <v>1765</v>
      </c>
      <c r="C36" s="14">
        <v>1903</v>
      </c>
      <c r="D36" s="14">
        <v>2076</v>
      </c>
      <c r="E36" s="14">
        <v>2328</v>
      </c>
      <c r="F36" s="14">
        <v>2660</v>
      </c>
      <c r="G36" s="1">
        <v>2521</v>
      </c>
      <c r="H36" s="1">
        <v>2587</v>
      </c>
      <c r="I36" s="1">
        <v>2905</v>
      </c>
      <c r="J36" s="1">
        <v>2903</v>
      </c>
      <c r="K36" s="1">
        <v>3138.46241</v>
      </c>
      <c r="L36" s="88">
        <f>(K36-J36)*100/J36</f>
        <v>8.111002755769896</v>
      </c>
      <c r="M36" s="16">
        <f>(J36-O36)*100/O36</f>
        <v>61.09877913429523</v>
      </c>
      <c r="N36" s="16"/>
      <c r="O36" s="14">
        <v>1802</v>
      </c>
      <c r="P36" s="1"/>
      <c r="Q36" s="3">
        <v>3187150.24</v>
      </c>
      <c r="R36" s="3">
        <v>48687.83</v>
      </c>
      <c r="S36" s="86">
        <v>0</v>
      </c>
      <c r="T36" s="3">
        <f>Q36-R36-S36</f>
        <v>3138462.41</v>
      </c>
      <c r="U36" s="3">
        <f>T36/1000</f>
        <v>3138.46241</v>
      </c>
    </row>
    <row r="37" spans="1:21" ht="12.75">
      <c r="A37" s="1" t="s">
        <v>24</v>
      </c>
      <c r="B37" s="14">
        <v>8329</v>
      </c>
      <c r="C37" s="14">
        <v>8521</v>
      </c>
      <c r="D37" s="14">
        <v>8663</v>
      </c>
      <c r="E37" s="14">
        <v>8643</v>
      </c>
      <c r="F37" s="14">
        <v>9784</v>
      </c>
      <c r="G37" s="1">
        <v>10600</v>
      </c>
      <c r="H37" s="1">
        <v>11293</v>
      </c>
      <c r="I37" s="1">
        <v>12418</v>
      </c>
      <c r="J37" s="1">
        <v>13270</v>
      </c>
      <c r="K37" s="1">
        <v>13667.587759999995</v>
      </c>
      <c r="L37" s="88">
        <f>(K37-J37)*100/J37</f>
        <v>2.996139864355651</v>
      </c>
      <c r="M37" s="16">
        <f>(J37-O37)*100/O37</f>
        <v>79.98101179981012</v>
      </c>
      <c r="N37" s="16"/>
      <c r="O37" s="14">
        <v>7373</v>
      </c>
      <c r="P37" s="1"/>
      <c r="Q37" s="3">
        <v>17729194.109999996</v>
      </c>
      <c r="R37" s="3">
        <v>12912.35</v>
      </c>
      <c r="S37" s="86">
        <v>4048694</v>
      </c>
      <c r="T37" s="3">
        <f>Q37-R37-S37</f>
        <v>13667587.759999994</v>
      </c>
      <c r="U37" s="3">
        <f>T37/1000</f>
        <v>13667.587759999995</v>
      </c>
    </row>
    <row r="38" spans="1:21" ht="12.75">
      <c r="A38" s="1" t="s">
        <v>25</v>
      </c>
      <c r="B38" s="14">
        <v>5368</v>
      </c>
      <c r="C38" s="14">
        <v>5553</v>
      </c>
      <c r="D38" s="14">
        <v>6102</v>
      </c>
      <c r="E38" s="14">
        <v>6712</v>
      </c>
      <c r="F38" s="14">
        <v>7664</v>
      </c>
      <c r="G38" s="1">
        <v>8416</v>
      </c>
      <c r="H38" s="1">
        <v>9151</v>
      </c>
      <c r="I38" s="1">
        <v>10026</v>
      </c>
      <c r="J38" s="1">
        <v>10580</v>
      </c>
      <c r="K38" s="1">
        <v>11208.88049</v>
      </c>
      <c r="L38" s="88">
        <f>(K38-J38)*100/J38</f>
        <v>5.944049999999995</v>
      </c>
      <c r="M38" s="16">
        <f>(J38-O38)*100/O38</f>
        <v>102.56557533984301</v>
      </c>
      <c r="N38" s="16"/>
      <c r="O38" s="14">
        <v>5223</v>
      </c>
      <c r="P38" s="1"/>
      <c r="Q38" s="3">
        <v>11684240.200000001</v>
      </c>
      <c r="R38" s="3">
        <v>25144.25</v>
      </c>
      <c r="S38" s="86">
        <v>450215.46</v>
      </c>
      <c r="T38" s="3">
        <f>Q38-R38-S38</f>
        <v>11208880.49</v>
      </c>
      <c r="U38" s="3">
        <f>T38/1000</f>
        <v>11208.88049</v>
      </c>
    </row>
    <row r="39" spans="1:21" ht="12.75">
      <c r="A39" s="17" t="s">
        <v>26</v>
      </c>
      <c r="B39" s="14">
        <v>2607</v>
      </c>
      <c r="C39" s="14">
        <v>2806</v>
      </c>
      <c r="D39" s="14">
        <v>3122</v>
      </c>
      <c r="E39" s="14">
        <v>3286</v>
      </c>
      <c r="F39" s="14">
        <v>3474</v>
      </c>
      <c r="G39" s="1">
        <v>3909</v>
      </c>
      <c r="H39" s="1">
        <v>4495</v>
      </c>
      <c r="I39" s="1">
        <v>5172</v>
      </c>
      <c r="J39" s="1">
        <v>5576</v>
      </c>
      <c r="K39" s="1">
        <v>6011.746579999999</v>
      </c>
      <c r="L39" s="88">
        <f>(K39-J39)*100/J39</f>
        <v>7.8146804160688506</v>
      </c>
      <c r="M39" s="16">
        <f>(J39-O39)*100/O39</f>
        <v>139.4160583941606</v>
      </c>
      <c r="N39" s="16"/>
      <c r="O39" s="14">
        <v>2329</v>
      </c>
      <c r="P39" s="1"/>
      <c r="Q39" s="3">
        <v>6090693.43</v>
      </c>
      <c r="R39" s="3">
        <v>14541.87</v>
      </c>
      <c r="S39" s="102">
        <v>64404.98</v>
      </c>
      <c r="T39" s="3">
        <f>Q39-R39-S39</f>
        <v>6011746.579999999</v>
      </c>
      <c r="U39" s="3">
        <f>T39/1000</f>
        <v>6011.746579999999</v>
      </c>
    </row>
    <row r="40" spans="1:15" ht="12.75">
      <c r="A40" s="1" t="s">
        <v>41</v>
      </c>
      <c r="B40" s="18"/>
      <c r="C40" s="19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2.75">
      <c r="A41" s="1" t="s">
        <v>81</v>
      </c>
      <c r="C41" s="14"/>
    </row>
    <row r="42" spans="1:3" ht="12.75">
      <c r="A42" s="3"/>
      <c r="B42" s="14"/>
      <c r="C42" s="14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  <row r="47" spans="2:3" ht="12.75">
      <c r="B47" s="14"/>
      <c r="C47" s="14"/>
    </row>
    <row r="48" spans="2:3" ht="12.75">
      <c r="B48" s="14"/>
      <c r="C48" s="14"/>
    </row>
    <row r="49" spans="2:3" ht="12.75">
      <c r="B49" s="14"/>
      <c r="C49" s="14"/>
    </row>
    <row r="50" spans="2:3" ht="12.75">
      <c r="B50" s="14"/>
      <c r="C50" s="14"/>
    </row>
    <row r="51" spans="2:3" ht="12.75">
      <c r="B51" s="14"/>
      <c r="C51" s="14"/>
    </row>
    <row r="52" ht="12.75">
      <c r="C52" s="14"/>
    </row>
    <row r="53" ht="12.75">
      <c r="C53" s="14"/>
    </row>
  </sheetData>
  <mergeCells count="3">
    <mergeCell ref="Q6:U6"/>
    <mergeCell ref="A1:M1"/>
    <mergeCell ref="L7:M7"/>
  </mergeCells>
  <printOptions/>
  <pageMargins left="0.48" right="0.54" top="1" bottom="1" header="0.5" footer="0.5"/>
  <pageSetup fitToHeight="1" fitToWidth="1" orientation="landscape" scale="77" r:id="rId1"/>
  <headerFooter alignWithMargins="0">
    <oddFooter>&amp;L&amp;"Lucida Sans,Italic"&amp;10MSDE-DBS  1 / 2006&amp;C- 9 -&amp;R&amp;"Lucida Sans,Italic"&amp;10Selected Financial Data - Part 4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SFD2003 PART 4 FY 2003 Released 11-30-2004</dc:title>
  <dc:subject/>
  <dc:creator>Hiatt/Finn/Ieng</dc:creator>
  <cp:keywords/>
  <dc:description/>
  <cp:lastModifiedBy>dnaparstek</cp:lastModifiedBy>
  <cp:lastPrinted>2006-02-02T15:46:37Z</cp:lastPrinted>
  <dcterms:created xsi:type="dcterms:W3CDTF">1997-05-28T15:16:37Z</dcterms:created>
  <dcterms:modified xsi:type="dcterms:W3CDTF">2006-02-02T18:37:56Z</dcterms:modified>
  <cp:category/>
  <cp:version/>
  <cp:contentType/>
  <cp:contentStatus/>
</cp:coreProperties>
</file>