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225" windowWidth="12120" windowHeight="9090" tabRatio="813"/>
  </bookViews>
  <sheets>
    <sheet name="table 1" sheetId="15" r:id="rId1"/>
    <sheet name="table 2a" sheetId="36" r:id="rId2"/>
    <sheet name="table3" sheetId="17" r:id="rId3"/>
    <sheet name="table4" sheetId="18" r:id="rId4"/>
    <sheet name="table5" sheetId="19" r:id="rId5"/>
    <sheet name="table 6" sheetId="20" r:id="rId6"/>
    <sheet name="state1" sheetId="3" r:id="rId7"/>
    <sheet name="state2" sheetId="6" r:id="rId8"/>
    <sheet name="state3" sheetId="34" r:id="rId9"/>
    <sheet name="state4" sheetId="7" r:id="rId10"/>
    <sheet name="state5" sheetId="35" r:id="rId11"/>
    <sheet name="fed1" sheetId="2" r:id="rId12"/>
    <sheet name="fed2" sheetId="28" r:id="rId13"/>
    <sheet name="fed3" sheetId="29" r:id="rId14"/>
    <sheet name="fed4" sheetId="30" r:id="rId15"/>
    <sheet name="fed5" sheetId="31" r:id="rId16"/>
    <sheet name="table9" sheetId="21" r:id="rId17"/>
    <sheet name="table 10" sheetId="22" r:id="rId18"/>
    <sheet name="table11" sheetId="23" r:id="rId19"/>
    <sheet name="table12" sheetId="24" r:id="rId20"/>
    <sheet name="Table 12 Continued" sheetId="37" r:id="rId21"/>
    <sheet name="Sheet1" sheetId="38" r:id="rId22"/>
  </sheets>
  <definedNames>
    <definedName name="_xlnm.Print_Area" localSheetId="6">state1!$A$1:$I$40</definedName>
    <definedName name="_xlnm.Print_Area" localSheetId="5">'table 6'!$A$1:$P$43</definedName>
    <definedName name="_xlnm.Print_Area" localSheetId="18">table11!$A$1:$F$47</definedName>
    <definedName name="_xlnm.Print_Area" localSheetId="2">table3!$A$1:$L$42</definedName>
    <definedName name="_xlnm.Print_Area" localSheetId="3">table4!$A$1:$K$39</definedName>
  </definedNames>
  <calcPr calcId="125725"/>
</workbook>
</file>

<file path=xl/calcChain.xml><?xml version="1.0" encoding="utf-8"?>
<calcChain xmlns="http://schemas.openxmlformats.org/spreadsheetml/2006/main">
  <c r="C13" i="36"/>
  <c r="F9" i="18"/>
  <c r="H10" i="22" l="1"/>
  <c r="M38" i="31" l="1"/>
  <c r="M13" l="1"/>
  <c r="F34" i="7" l="1"/>
  <c r="F29"/>
  <c r="F28"/>
  <c r="F27"/>
  <c r="H39" i="22"/>
  <c r="H36"/>
  <c r="H27"/>
  <c r="H38"/>
  <c r="H37"/>
  <c r="H34"/>
  <c r="H33"/>
  <c r="H32"/>
  <c r="H31"/>
  <c r="H30"/>
  <c r="H28"/>
  <c r="H26"/>
  <c r="H25"/>
  <c r="H24"/>
  <c r="H22"/>
  <c r="H21"/>
  <c r="H20"/>
  <c r="H19"/>
  <c r="H18"/>
  <c r="H16"/>
  <c r="H15"/>
  <c r="H14"/>
  <c r="H13"/>
  <c r="F39"/>
  <c r="F38"/>
  <c r="F37"/>
  <c r="F36"/>
  <c r="F34"/>
  <c r="F33"/>
  <c r="F32"/>
  <c r="F31"/>
  <c r="F30"/>
  <c r="F28"/>
  <c r="F27"/>
  <c r="F26"/>
  <c r="F25"/>
  <c r="F24"/>
  <c r="F22"/>
  <c r="F21"/>
  <c r="F20"/>
  <c r="F19"/>
  <c r="F18"/>
  <c r="F16"/>
  <c r="F15"/>
  <c r="F14"/>
  <c r="F13"/>
  <c r="F12"/>
  <c r="K10" i="21"/>
  <c r="I10"/>
  <c r="G10"/>
  <c r="F10"/>
  <c r="E10"/>
  <c r="H10"/>
  <c r="I21"/>
  <c r="F39"/>
  <c r="F38"/>
  <c r="F37"/>
  <c r="F36"/>
  <c r="F34"/>
  <c r="F33"/>
  <c r="F32"/>
  <c r="F31"/>
  <c r="F30"/>
  <c r="F28"/>
  <c r="F27"/>
  <c r="F26"/>
  <c r="F25"/>
  <c r="F24"/>
  <c r="F22"/>
  <c r="F21"/>
  <c r="F20"/>
  <c r="F19"/>
  <c r="F18"/>
  <c r="F16"/>
  <c r="F15"/>
  <c r="F14"/>
  <c r="F13"/>
  <c r="F12"/>
  <c r="D37" i="15"/>
  <c r="D36"/>
  <c r="D35"/>
  <c r="D34"/>
  <c r="D32"/>
  <c r="D31"/>
  <c r="D30"/>
  <c r="D29"/>
  <c r="D28"/>
  <c r="D26"/>
  <c r="D25"/>
  <c r="D24"/>
  <c r="D23"/>
  <c r="D22"/>
  <c r="D20"/>
  <c r="D19"/>
  <c r="D18"/>
  <c r="D17"/>
  <c r="D16"/>
  <c r="D14"/>
  <c r="D13"/>
  <c r="D12"/>
  <c r="D11"/>
  <c r="D10"/>
  <c r="G12"/>
  <c r="C10" l="1"/>
  <c r="G10"/>
  <c r="C11"/>
  <c r="G11"/>
  <c r="C12"/>
  <c r="C13"/>
  <c r="G13"/>
  <c r="C14"/>
  <c r="G14"/>
  <c r="C16"/>
  <c r="G16"/>
  <c r="C17"/>
  <c r="G17"/>
  <c r="C18"/>
  <c r="G18"/>
  <c r="C19"/>
  <c r="G19"/>
  <c r="C20"/>
  <c r="G20"/>
  <c r="C22"/>
  <c r="G22"/>
  <c r="C23"/>
  <c r="G23"/>
  <c r="C24"/>
  <c r="G24"/>
  <c r="C25"/>
  <c r="G25"/>
  <c r="C26"/>
  <c r="G26"/>
  <c r="C28"/>
  <c r="G28"/>
  <c r="C29"/>
  <c r="G29"/>
  <c r="C30"/>
  <c r="G30"/>
  <c r="C31"/>
  <c r="G31"/>
  <c r="C32"/>
  <c r="G32"/>
  <c r="C34"/>
  <c r="G34"/>
  <c r="C35"/>
  <c r="G35"/>
  <c r="C36"/>
  <c r="G36"/>
  <c r="C37"/>
  <c r="G37"/>
  <c r="G8" l="1"/>
  <c r="C8"/>
  <c r="D8"/>
  <c r="H14" i="20"/>
  <c r="F10" i="22"/>
  <c r="E15" i="21"/>
  <c r="D15"/>
  <c r="E16"/>
  <c r="D16"/>
  <c r="D10" i="30"/>
  <c r="I10" i="31"/>
  <c r="H10"/>
  <c r="C39" i="3" l="1"/>
  <c r="E38" i="36" s="1"/>
  <c r="E37" i="15" s="1"/>
  <c r="C38" i="3"/>
  <c r="E37" i="17" s="1"/>
  <c r="C37" i="3"/>
  <c r="E36" i="17" s="1"/>
  <c r="C36" i="3"/>
  <c r="E35" i="17" s="1"/>
  <c r="C34" i="3"/>
  <c r="E33" i="17" s="1"/>
  <c r="C33" i="3"/>
  <c r="E32" i="17" s="1"/>
  <c r="C32" i="3"/>
  <c r="E31" i="17" s="1"/>
  <c r="C31" i="3"/>
  <c r="E30" i="17" s="1"/>
  <c r="C30" i="3"/>
  <c r="E29" i="17" s="1"/>
  <c r="C28" i="3"/>
  <c r="C27"/>
  <c r="E26" i="17" s="1"/>
  <c r="C26" i="3"/>
  <c r="E25" i="17" s="1"/>
  <c r="C25" i="3"/>
  <c r="E24" i="17" s="1"/>
  <c r="C24" i="3"/>
  <c r="E23" i="17" s="1"/>
  <c r="C22" i="3"/>
  <c r="E21" i="17" s="1"/>
  <c r="C21" i="3"/>
  <c r="E20" i="17" s="1"/>
  <c r="C20" i="3"/>
  <c r="E19" i="17" s="1"/>
  <c r="C19" i="3"/>
  <c r="E18" i="17" s="1"/>
  <c r="C18" i="3"/>
  <c r="E17" i="36" s="1"/>
  <c r="E16" i="15" s="1"/>
  <c r="C16" i="3"/>
  <c r="E15" i="36" s="1"/>
  <c r="E14" i="15" s="1"/>
  <c r="C15" i="3"/>
  <c r="B15" s="1"/>
  <c r="C14"/>
  <c r="B14" s="1"/>
  <c r="C13"/>
  <c r="B13" s="1"/>
  <c r="C12"/>
  <c r="E11" i="17" s="1"/>
  <c r="I11" i="34"/>
  <c r="H11"/>
  <c r="F31" i="23"/>
  <c r="E39" i="21"/>
  <c r="H39" s="1"/>
  <c r="E38"/>
  <c r="H38" s="1"/>
  <c r="E37"/>
  <c r="H37" s="1"/>
  <c r="E36"/>
  <c r="H36" s="1"/>
  <c r="E34"/>
  <c r="H34" s="1"/>
  <c r="E33"/>
  <c r="H33" s="1"/>
  <c r="E32"/>
  <c r="H32" s="1"/>
  <c r="E31"/>
  <c r="G31" s="1"/>
  <c r="E30"/>
  <c r="H30" s="1"/>
  <c r="E28"/>
  <c r="H28" s="1"/>
  <c r="E27"/>
  <c r="G27" s="1"/>
  <c r="E26"/>
  <c r="E25"/>
  <c r="E24"/>
  <c r="E22"/>
  <c r="H22" s="1"/>
  <c r="E21"/>
  <c r="G21" s="1"/>
  <c r="E20"/>
  <c r="H20" s="1"/>
  <c r="E19"/>
  <c r="H19" s="1"/>
  <c r="E18"/>
  <c r="H18" s="1"/>
  <c r="H16"/>
  <c r="H15"/>
  <c r="E14"/>
  <c r="H14" s="1"/>
  <c r="E13"/>
  <c r="H13" s="1"/>
  <c r="E12"/>
  <c r="H39" i="20"/>
  <c r="B39" s="1"/>
  <c r="H38"/>
  <c r="H37"/>
  <c r="B37" s="1"/>
  <c r="H36"/>
  <c r="H34"/>
  <c r="B34" s="1"/>
  <c r="H33"/>
  <c r="H32"/>
  <c r="B32" s="1"/>
  <c r="H31"/>
  <c r="B31" s="1"/>
  <c r="H30"/>
  <c r="B30" s="1"/>
  <c r="M30" s="1"/>
  <c r="H28"/>
  <c r="H27"/>
  <c r="B27" s="1"/>
  <c r="M27" s="1"/>
  <c r="H26"/>
  <c r="B26" s="1"/>
  <c r="H25"/>
  <c r="B25" s="1"/>
  <c r="H24"/>
  <c r="H22"/>
  <c r="B22" s="1"/>
  <c r="H21"/>
  <c r="H20"/>
  <c r="B20" s="1"/>
  <c r="H19"/>
  <c r="H18"/>
  <c r="B18" s="1"/>
  <c r="H16"/>
  <c r="H15"/>
  <c r="B15" s="1"/>
  <c r="M15" s="1"/>
  <c r="H13"/>
  <c r="B13" s="1"/>
  <c r="M13" s="1"/>
  <c r="H12"/>
  <c r="B12" s="1"/>
  <c r="B39" i="2"/>
  <c r="F38" i="17" s="1"/>
  <c r="B38" i="2"/>
  <c r="F37" i="17" s="1"/>
  <c r="B36" i="2"/>
  <c r="F35" i="17" s="1"/>
  <c r="B33" i="2"/>
  <c r="F32" i="36" s="1"/>
  <c r="F31" i="15" s="1"/>
  <c r="B32" i="2"/>
  <c r="F31" i="36" s="1"/>
  <c r="F30" i="15" s="1"/>
  <c r="B31" i="2"/>
  <c r="F30" i="36" s="1"/>
  <c r="F29" i="15" s="1"/>
  <c r="B28" i="2"/>
  <c r="F27" i="17" s="1"/>
  <c r="B27" i="2"/>
  <c r="F26" i="17" s="1"/>
  <c r="B26" i="2"/>
  <c r="F25" i="17" s="1"/>
  <c r="B25" i="2"/>
  <c r="F24" i="17" s="1"/>
  <c r="B22" i="2"/>
  <c r="F21" i="36" s="1"/>
  <c r="F20" i="15" s="1"/>
  <c r="B21" i="2"/>
  <c r="F20" i="17" s="1"/>
  <c r="B20" i="2"/>
  <c r="F19" i="17" s="1"/>
  <c r="B19" i="2"/>
  <c r="F18" i="36" s="1"/>
  <c r="F17" i="15" s="1"/>
  <c r="B18" i="2"/>
  <c r="F17" i="17" s="1"/>
  <c r="B16" i="2"/>
  <c r="F15" i="17" s="1"/>
  <c r="B15" i="2"/>
  <c r="F14" i="17" s="1"/>
  <c r="B14" i="2"/>
  <c r="F13" i="36" s="1"/>
  <c r="F12" i="15" s="1"/>
  <c r="B13" i="2"/>
  <c r="F12" i="36" s="1"/>
  <c r="F11" i="15" s="1"/>
  <c r="B12" i="2"/>
  <c r="F11" i="36" s="1"/>
  <c r="F10" i="15" s="1"/>
  <c r="B24" i="2"/>
  <c r="F23" i="36" s="1"/>
  <c r="F22" i="15" s="1"/>
  <c r="C10" i="31"/>
  <c r="B10"/>
  <c r="K10"/>
  <c r="B30" i="2"/>
  <c r="F29" i="17" s="1"/>
  <c r="I10" i="28"/>
  <c r="E10" i="29"/>
  <c r="D10"/>
  <c r="C10"/>
  <c r="B10"/>
  <c r="I10"/>
  <c r="H10"/>
  <c r="G10"/>
  <c r="F10"/>
  <c r="G10" i="31"/>
  <c r="H10" i="30"/>
  <c r="G10"/>
  <c r="F10"/>
  <c r="E10"/>
  <c r="C10"/>
  <c r="B10"/>
  <c r="C10" i="2"/>
  <c r="D10"/>
  <c r="E10"/>
  <c r="F10"/>
  <c r="G10"/>
  <c r="H10"/>
  <c r="I10"/>
  <c r="J10"/>
  <c r="K10"/>
  <c r="G10" i="28"/>
  <c r="F10"/>
  <c r="D10"/>
  <c r="C10"/>
  <c r="B10"/>
  <c r="B34" i="2"/>
  <c r="F33" i="17" s="1"/>
  <c r="B37" i="2"/>
  <c r="F36" i="17" s="1"/>
  <c r="E10" i="28"/>
  <c r="C12" i="37"/>
  <c r="H12" s="1"/>
  <c r="D12"/>
  <c r="I12" s="1"/>
  <c r="E12"/>
  <c r="J12" s="1"/>
  <c r="C13"/>
  <c r="H13" s="1"/>
  <c r="D13"/>
  <c r="E13"/>
  <c r="J13" s="1"/>
  <c r="I13"/>
  <c r="C14"/>
  <c r="H14" s="1"/>
  <c r="D14"/>
  <c r="E14"/>
  <c r="I14"/>
  <c r="C15"/>
  <c r="H15" s="1"/>
  <c r="D15"/>
  <c r="E15"/>
  <c r="J15" s="1"/>
  <c r="I15"/>
  <c r="C16"/>
  <c r="H16" s="1"/>
  <c r="D16"/>
  <c r="I16" s="1"/>
  <c r="E16"/>
  <c r="C18"/>
  <c r="H18" s="1"/>
  <c r="D18"/>
  <c r="E18"/>
  <c r="I18"/>
  <c r="C19"/>
  <c r="H19" s="1"/>
  <c r="D19"/>
  <c r="I19" s="1"/>
  <c r="E19"/>
  <c r="C20"/>
  <c r="H20" s="1"/>
  <c r="D20"/>
  <c r="E20"/>
  <c r="J20" s="1"/>
  <c r="C21"/>
  <c r="D21"/>
  <c r="E21"/>
  <c r="J21" s="1"/>
  <c r="I21"/>
  <c r="C22"/>
  <c r="D22"/>
  <c r="E22"/>
  <c r="J22" s="1"/>
  <c r="C24"/>
  <c r="D24"/>
  <c r="E24"/>
  <c r="J24" s="1"/>
  <c r="I24"/>
  <c r="C25"/>
  <c r="H25" s="1"/>
  <c r="D25"/>
  <c r="E25"/>
  <c r="J25" s="1"/>
  <c r="C26"/>
  <c r="D26"/>
  <c r="E26"/>
  <c r="J26" s="1"/>
  <c r="I26"/>
  <c r="C27"/>
  <c r="D27"/>
  <c r="E27"/>
  <c r="J27" s="1"/>
  <c r="C28"/>
  <c r="D28"/>
  <c r="E28"/>
  <c r="J28" s="1"/>
  <c r="I28"/>
  <c r="C30"/>
  <c r="H30" s="1"/>
  <c r="D30"/>
  <c r="E30"/>
  <c r="J30" s="1"/>
  <c r="C31"/>
  <c r="D31"/>
  <c r="E31"/>
  <c r="J31" s="1"/>
  <c r="C32"/>
  <c r="D32"/>
  <c r="E32"/>
  <c r="J32" s="1"/>
  <c r="I32"/>
  <c r="C33"/>
  <c r="H33" s="1"/>
  <c r="D33"/>
  <c r="E33"/>
  <c r="J33" s="1"/>
  <c r="C34"/>
  <c r="D34"/>
  <c r="E34"/>
  <c r="J34" s="1"/>
  <c r="I34"/>
  <c r="C36"/>
  <c r="D36"/>
  <c r="E36"/>
  <c r="J36" s="1"/>
  <c r="C37"/>
  <c r="H37" s="1"/>
  <c r="D37"/>
  <c r="E37"/>
  <c r="J37" s="1"/>
  <c r="I37"/>
  <c r="C38"/>
  <c r="D38"/>
  <c r="E38"/>
  <c r="J38" s="1"/>
  <c r="C39"/>
  <c r="D39"/>
  <c r="E39"/>
  <c r="J39" s="1"/>
  <c r="I39"/>
  <c r="C12" i="24"/>
  <c r="H12" s="1"/>
  <c r="D12"/>
  <c r="E12"/>
  <c r="J12" s="1"/>
  <c r="I12"/>
  <c r="C13"/>
  <c r="D13"/>
  <c r="E13"/>
  <c r="I13"/>
  <c r="C14"/>
  <c r="D14"/>
  <c r="I14" s="1"/>
  <c r="E14"/>
  <c r="C15"/>
  <c r="H15" s="1"/>
  <c r="D15"/>
  <c r="E15"/>
  <c r="I15"/>
  <c r="C16"/>
  <c r="H16" s="1"/>
  <c r="D16"/>
  <c r="E16"/>
  <c r="J16" s="1"/>
  <c r="C18"/>
  <c r="D18"/>
  <c r="E18"/>
  <c r="I18"/>
  <c r="C19"/>
  <c r="D19"/>
  <c r="E19"/>
  <c r="J19" s="1"/>
  <c r="C20"/>
  <c r="D20"/>
  <c r="E20"/>
  <c r="J20" s="1"/>
  <c r="I20"/>
  <c r="C21"/>
  <c r="H21" s="1"/>
  <c r="D21"/>
  <c r="E21"/>
  <c r="J21" s="1"/>
  <c r="C22"/>
  <c r="D22"/>
  <c r="E22"/>
  <c r="J22" s="1"/>
  <c r="I22"/>
  <c r="C24"/>
  <c r="D24"/>
  <c r="E24"/>
  <c r="J24" s="1"/>
  <c r="C25"/>
  <c r="D25"/>
  <c r="E25"/>
  <c r="J25" s="1"/>
  <c r="I25"/>
  <c r="C26"/>
  <c r="H26" s="1"/>
  <c r="D26"/>
  <c r="E26"/>
  <c r="J26" s="1"/>
  <c r="C27"/>
  <c r="D27"/>
  <c r="E27"/>
  <c r="J27" s="1"/>
  <c r="I27"/>
  <c r="C28"/>
  <c r="D28"/>
  <c r="E28"/>
  <c r="J28" s="1"/>
  <c r="C30"/>
  <c r="H30" s="1"/>
  <c r="D30"/>
  <c r="E30"/>
  <c r="J30" s="1"/>
  <c r="C31"/>
  <c r="D31"/>
  <c r="I31" s="1"/>
  <c r="E31"/>
  <c r="J31" s="1"/>
  <c r="C32"/>
  <c r="D32"/>
  <c r="E32"/>
  <c r="J32" s="1"/>
  <c r="C33"/>
  <c r="D33"/>
  <c r="E33"/>
  <c r="J33" s="1"/>
  <c r="I33"/>
  <c r="C34"/>
  <c r="H34" s="1"/>
  <c r="D34"/>
  <c r="E34"/>
  <c r="J34" s="1"/>
  <c r="C36"/>
  <c r="D36"/>
  <c r="E36"/>
  <c r="J36" s="1"/>
  <c r="I36"/>
  <c r="C37"/>
  <c r="H37" s="1"/>
  <c r="D37"/>
  <c r="E37"/>
  <c r="J37" s="1"/>
  <c r="C38"/>
  <c r="H38" s="1"/>
  <c r="D38"/>
  <c r="E38"/>
  <c r="J38" s="1"/>
  <c r="I38"/>
  <c r="C39"/>
  <c r="D39"/>
  <c r="E39"/>
  <c r="J39" s="1"/>
  <c r="B9" i="23"/>
  <c r="C9"/>
  <c r="E9"/>
  <c r="D11"/>
  <c r="F11"/>
  <c r="D12"/>
  <c r="F12"/>
  <c r="D13"/>
  <c r="F13"/>
  <c r="D14"/>
  <c r="F14"/>
  <c r="D15"/>
  <c r="F15"/>
  <c r="D17"/>
  <c r="F17"/>
  <c r="D18"/>
  <c r="F18"/>
  <c r="D19"/>
  <c r="F19"/>
  <c r="D20"/>
  <c r="F20"/>
  <c r="D21"/>
  <c r="F21"/>
  <c r="D23"/>
  <c r="F23"/>
  <c r="D24"/>
  <c r="F24"/>
  <c r="D25"/>
  <c r="F25"/>
  <c r="D26"/>
  <c r="F26"/>
  <c r="D27"/>
  <c r="F27"/>
  <c r="D29"/>
  <c r="F29"/>
  <c r="D30"/>
  <c r="F30"/>
  <c r="D31"/>
  <c r="D32"/>
  <c r="F32"/>
  <c r="D33"/>
  <c r="F33"/>
  <c r="D35"/>
  <c r="F35"/>
  <c r="D36"/>
  <c r="F36"/>
  <c r="D37"/>
  <c r="F37"/>
  <c r="D38"/>
  <c r="F38"/>
  <c r="B10" i="22"/>
  <c r="E10"/>
  <c r="C12"/>
  <c r="G12" s="1"/>
  <c r="C13"/>
  <c r="G13"/>
  <c r="C14"/>
  <c r="G14" s="1"/>
  <c r="C15"/>
  <c r="G15" s="1"/>
  <c r="C16"/>
  <c r="G16" s="1"/>
  <c r="C18"/>
  <c r="G18"/>
  <c r="I18" s="1"/>
  <c r="C19"/>
  <c r="G19" s="1"/>
  <c r="C20"/>
  <c r="G20"/>
  <c r="I20" s="1"/>
  <c r="C21"/>
  <c r="G21"/>
  <c r="I21" s="1"/>
  <c r="C22"/>
  <c r="G22"/>
  <c r="I22" s="1"/>
  <c r="C24"/>
  <c r="G24"/>
  <c r="I24" s="1"/>
  <c r="C25"/>
  <c r="G25"/>
  <c r="I25" s="1"/>
  <c r="C26"/>
  <c r="G26"/>
  <c r="I26" s="1"/>
  <c r="C27"/>
  <c r="G27"/>
  <c r="I27" s="1"/>
  <c r="C28"/>
  <c r="G28"/>
  <c r="I28" s="1"/>
  <c r="C30"/>
  <c r="G30"/>
  <c r="C31"/>
  <c r="G31"/>
  <c r="C32"/>
  <c r="G32" s="1"/>
  <c r="C33"/>
  <c r="G33" s="1"/>
  <c r="C34"/>
  <c r="G34" s="1"/>
  <c r="C36"/>
  <c r="G36" s="1"/>
  <c r="I36" s="1"/>
  <c r="C37"/>
  <c r="G37" s="1"/>
  <c r="C38"/>
  <c r="G38" s="1"/>
  <c r="C39"/>
  <c r="G39" s="1"/>
  <c r="B10" i="21"/>
  <c r="C10"/>
  <c r="J10"/>
  <c r="D12"/>
  <c r="D13"/>
  <c r="G13"/>
  <c r="D14"/>
  <c r="G14"/>
  <c r="G15"/>
  <c r="G16"/>
  <c r="I16" s="1"/>
  <c r="D18"/>
  <c r="G18"/>
  <c r="D19"/>
  <c r="G19"/>
  <c r="D20"/>
  <c r="G20"/>
  <c r="D21"/>
  <c r="D22"/>
  <c r="G22"/>
  <c r="D24"/>
  <c r="D25"/>
  <c r="D26"/>
  <c r="D27"/>
  <c r="D28"/>
  <c r="G28"/>
  <c r="D30"/>
  <c r="G30"/>
  <c r="D31"/>
  <c r="D32"/>
  <c r="G32"/>
  <c r="I32" s="1"/>
  <c r="D33"/>
  <c r="G33"/>
  <c r="I33" s="1"/>
  <c r="D34"/>
  <c r="G34"/>
  <c r="I34" s="1"/>
  <c r="D36"/>
  <c r="G36"/>
  <c r="I36" s="1"/>
  <c r="D37"/>
  <c r="D38"/>
  <c r="G38"/>
  <c r="D39"/>
  <c r="D10" i="31"/>
  <c r="E10"/>
  <c r="F10"/>
  <c r="J10"/>
  <c r="L10"/>
  <c r="I10" i="30"/>
  <c r="K10"/>
  <c r="L10"/>
  <c r="J10"/>
  <c r="J10" i="29"/>
  <c r="H10" i="28"/>
  <c r="J10"/>
  <c r="J9" i="35"/>
  <c r="B9"/>
  <c r="F9"/>
  <c r="B11" i="7"/>
  <c r="C11"/>
  <c r="D11"/>
  <c r="E11"/>
  <c r="F11"/>
  <c r="B11" i="34"/>
  <c r="D11"/>
  <c r="E11"/>
  <c r="F11"/>
  <c r="C11"/>
  <c r="B10" i="6"/>
  <c r="C10"/>
  <c r="D10"/>
  <c r="E10"/>
  <c r="G10"/>
  <c r="H10"/>
  <c r="I10"/>
  <c r="E10" i="3"/>
  <c r="G10"/>
  <c r="H10"/>
  <c r="I10"/>
  <c r="F10"/>
  <c r="B16"/>
  <c r="B18"/>
  <c r="B19"/>
  <c r="B20"/>
  <c r="B22"/>
  <c r="B24"/>
  <c r="B27"/>
  <c r="B28"/>
  <c r="B30"/>
  <c r="B31"/>
  <c r="B32"/>
  <c r="B33"/>
  <c r="B37"/>
  <c r="B38"/>
  <c r="B39"/>
  <c r="C10" i="20"/>
  <c r="D10"/>
  <c r="E10"/>
  <c r="F10"/>
  <c r="G10"/>
  <c r="I10"/>
  <c r="K10"/>
  <c r="B14"/>
  <c r="M14" s="1"/>
  <c r="B16"/>
  <c r="M16" s="1"/>
  <c r="B19"/>
  <c r="M19" s="1"/>
  <c r="B21"/>
  <c r="M21" s="1"/>
  <c r="B24"/>
  <c r="M24" s="1"/>
  <c r="B28"/>
  <c r="M28" s="1"/>
  <c r="B33"/>
  <c r="N33" s="1"/>
  <c r="B36"/>
  <c r="M36" s="1"/>
  <c r="B38"/>
  <c r="M38" s="1"/>
  <c r="C9" i="19"/>
  <c r="D9"/>
  <c r="E9"/>
  <c r="F9"/>
  <c r="G9"/>
  <c r="B11"/>
  <c r="I11" s="1"/>
  <c r="B12"/>
  <c r="I12" s="1"/>
  <c r="J12"/>
  <c r="L12"/>
  <c r="B13"/>
  <c r="I13"/>
  <c r="J13"/>
  <c r="K13"/>
  <c r="L13"/>
  <c r="B14"/>
  <c r="I14" s="1"/>
  <c r="L14"/>
  <c r="B15"/>
  <c r="I15" s="1"/>
  <c r="J15"/>
  <c r="L15"/>
  <c r="B17"/>
  <c r="I17" s="1"/>
  <c r="L17"/>
  <c r="B18"/>
  <c r="I18" s="1"/>
  <c r="J18"/>
  <c r="L18"/>
  <c r="B19"/>
  <c r="I19"/>
  <c r="J19"/>
  <c r="K19"/>
  <c r="L19"/>
  <c r="B20"/>
  <c r="I20"/>
  <c r="J20"/>
  <c r="K20"/>
  <c r="L20"/>
  <c r="B21"/>
  <c r="I21" s="1"/>
  <c r="L21"/>
  <c r="B23"/>
  <c r="I23" s="1"/>
  <c r="J23"/>
  <c r="L23"/>
  <c r="B24"/>
  <c r="I24" s="1"/>
  <c r="L24"/>
  <c r="B25"/>
  <c r="I25"/>
  <c r="J25"/>
  <c r="K25"/>
  <c r="L25"/>
  <c r="B26"/>
  <c r="I26" s="1"/>
  <c r="L26"/>
  <c r="B27"/>
  <c r="I27"/>
  <c r="J27"/>
  <c r="K27"/>
  <c r="L27"/>
  <c r="B29"/>
  <c r="I29" s="1"/>
  <c r="B30"/>
  <c r="I30" s="1"/>
  <c r="J30"/>
  <c r="L30"/>
  <c r="B31"/>
  <c r="I31" s="1"/>
  <c r="L31"/>
  <c r="B32"/>
  <c r="I32" s="1"/>
  <c r="J32"/>
  <c r="K32"/>
  <c r="L32"/>
  <c r="B33"/>
  <c r="I33" s="1"/>
  <c r="J33"/>
  <c r="B35"/>
  <c r="I35" s="1"/>
  <c r="J35"/>
  <c r="L35"/>
  <c r="B36"/>
  <c r="I36" s="1"/>
  <c r="J36"/>
  <c r="L36"/>
  <c r="B37"/>
  <c r="I37" s="1"/>
  <c r="L37"/>
  <c r="B38"/>
  <c r="I38" s="1"/>
  <c r="J38"/>
  <c r="L38"/>
  <c r="C9" i="18"/>
  <c r="D9"/>
  <c r="E9"/>
  <c r="G9"/>
  <c r="B11"/>
  <c r="H11" s="1"/>
  <c r="K11"/>
  <c r="B12"/>
  <c r="H12" s="1"/>
  <c r="I12"/>
  <c r="B13"/>
  <c r="H13" s="1"/>
  <c r="B14"/>
  <c r="H14" s="1"/>
  <c r="B15"/>
  <c r="H15" s="1"/>
  <c r="B17"/>
  <c r="H17" s="1"/>
  <c r="B18"/>
  <c r="H18" s="1"/>
  <c r="K18"/>
  <c r="B19"/>
  <c r="H19" s="1"/>
  <c r="B20"/>
  <c r="H20" s="1"/>
  <c r="B21"/>
  <c r="H21" s="1"/>
  <c r="B23"/>
  <c r="H23" s="1"/>
  <c r="B24"/>
  <c r="H24" s="1"/>
  <c r="B25"/>
  <c r="H25" s="1"/>
  <c r="B26"/>
  <c r="H26" s="1"/>
  <c r="B27"/>
  <c r="H27"/>
  <c r="I27"/>
  <c r="J27"/>
  <c r="K27"/>
  <c r="B29"/>
  <c r="K29" s="1"/>
  <c r="B30"/>
  <c r="H30" s="1"/>
  <c r="B31"/>
  <c r="H31" s="1"/>
  <c r="K31"/>
  <c r="B32"/>
  <c r="H32" s="1"/>
  <c r="B33"/>
  <c r="H33" s="1"/>
  <c r="B35"/>
  <c r="H35" s="1"/>
  <c r="B36"/>
  <c r="H36" s="1"/>
  <c r="B37"/>
  <c r="H37" s="1"/>
  <c r="B38"/>
  <c r="H38" s="1"/>
  <c r="C11" i="17"/>
  <c r="D11"/>
  <c r="G11"/>
  <c r="C12"/>
  <c r="D12"/>
  <c r="G12"/>
  <c r="C13"/>
  <c r="D13"/>
  <c r="G13"/>
  <c r="C14"/>
  <c r="D14"/>
  <c r="G14"/>
  <c r="C15"/>
  <c r="D15"/>
  <c r="G15"/>
  <c r="C17"/>
  <c r="D17"/>
  <c r="E17"/>
  <c r="G17"/>
  <c r="C18"/>
  <c r="D18"/>
  <c r="G18"/>
  <c r="C19"/>
  <c r="D19"/>
  <c r="G19"/>
  <c r="C20"/>
  <c r="D20"/>
  <c r="G20"/>
  <c r="C21"/>
  <c r="D21"/>
  <c r="G21"/>
  <c r="C23"/>
  <c r="D23"/>
  <c r="G23"/>
  <c r="C24"/>
  <c r="D24"/>
  <c r="G24"/>
  <c r="C25"/>
  <c r="D25"/>
  <c r="G25"/>
  <c r="C26"/>
  <c r="D26"/>
  <c r="G26"/>
  <c r="C27"/>
  <c r="D27"/>
  <c r="E27"/>
  <c r="G27"/>
  <c r="C29"/>
  <c r="D29"/>
  <c r="G29"/>
  <c r="C30"/>
  <c r="D30"/>
  <c r="G30"/>
  <c r="C31"/>
  <c r="D31"/>
  <c r="G31"/>
  <c r="C32"/>
  <c r="D32"/>
  <c r="G32"/>
  <c r="C33"/>
  <c r="D33"/>
  <c r="G33"/>
  <c r="C35"/>
  <c r="D35"/>
  <c r="G35"/>
  <c r="C36"/>
  <c r="D36"/>
  <c r="G36"/>
  <c r="C37"/>
  <c r="D37"/>
  <c r="G37"/>
  <c r="C38"/>
  <c r="D38"/>
  <c r="G38"/>
  <c r="C9" i="36"/>
  <c r="D9"/>
  <c r="G9"/>
  <c r="E18"/>
  <c r="E17" i="15" s="1"/>
  <c r="E27" i="36"/>
  <c r="E26" i="15" s="1"/>
  <c r="B12" i="37"/>
  <c r="G12" s="1"/>
  <c r="F23" i="17"/>
  <c r="E38"/>
  <c r="J29" i="18"/>
  <c r="I30" i="24"/>
  <c r="I30" i="37"/>
  <c r="D10" i="21"/>
  <c r="O36" i="20"/>
  <c r="O21"/>
  <c r="H29" i="18"/>
  <c r="J37"/>
  <c r="J35"/>
  <c r="J30"/>
  <c r="J26"/>
  <c r="J19"/>
  <c r="J14"/>
  <c r="J12"/>
  <c r="E14" i="17"/>
  <c r="D10" i="3"/>
  <c r="E36" i="36"/>
  <c r="E35" i="15" s="1"/>
  <c r="E15" i="17"/>
  <c r="K33" i="19"/>
  <c r="B9"/>
  <c r="H14" i="24"/>
  <c r="J14"/>
  <c r="J14" i="37"/>
  <c r="M10" i="31"/>
  <c r="K10" i="28"/>
  <c r="F36" i="36"/>
  <c r="F35" i="15" s="1"/>
  <c r="E37" i="36"/>
  <c r="E36" i="15" s="1"/>
  <c r="F9" i="23"/>
  <c r="D9"/>
  <c r="I30" i="22"/>
  <c r="C10"/>
  <c r="P38" i="20"/>
  <c r="P16"/>
  <c r="H39" i="24"/>
  <c r="H36"/>
  <c r="H33"/>
  <c r="H32"/>
  <c r="H31"/>
  <c r="H28"/>
  <c r="H27"/>
  <c r="H25"/>
  <c r="H24"/>
  <c r="H22"/>
  <c r="H20"/>
  <c r="H19"/>
  <c r="H18"/>
  <c r="J15"/>
  <c r="H13"/>
  <c r="H39" i="37"/>
  <c r="H38"/>
  <c r="H36"/>
  <c r="H34"/>
  <c r="H32"/>
  <c r="H31"/>
  <c r="H28"/>
  <c r="H27"/>
  <c r="H26"/>
  <c r="H24"/>
  <c r="H22"/>
  <c r="H21"/>
  <c r="J19"/>
  <c r="J18"/>
  <c r="J16"/>
  <c r="B15"/>
  <c r="G15" s="1"/>
  <c r="B26" i="3" l="1"/>
  <c r="E23" i="36"/>
  <c r="E22" i="15" s="1"/>
  <c r="B22" s="1"/>
  <c r="K22" s="1"/>
  <c r="B21" i="3"/>
  <c r="F38" i="36"/>
  <c r="F37" i="15" s="1"/>
  <c r="B37" s="1"/>
  <c r="F35" i="36"/>
  <c r="F34" i="15" s="1"/>
  <c r="K38" i="19"/>
  <c r="K38" i="18"/>
  <c r="I38"/>
  <c r="J37" i="19"/>
  <c r="I37" i="18"/>
  <c r="K36" i="19"/>
  <c r="K36" i="18"/>
  <c r="K35" i="19"/>
  <c r="K33" i="18"/>
  <c r="I33"/>
  <c r="J33"/>
  <c r="J32"/>
  <c r="I32"/>
  <c r="K30" i="19"/>
  <c r="L29"/>
  <c r="J29"/>
  <c r="J26"/>
  <c r="I26" i="18"/>
  <c r="K25"/>
  <c r="J24" i="19"/>
  <c r="K23"/>
  <c r="K23" i="18"/>
  <c r="J21" i="19"/>
  <c r="K20" i="18"/>
  <c r="I20"/>
  <c r="I19"/>
  <c r="J17" i="19"/>
  <c r="K15"/>
  <c r="J14"/>
  <c r="K13" i="18"/>
  <c r="B17" i="15"/>
  <c r="K17" s="1"/>
  <c r="B25" i="3"/>
  <c r="L11" i="19"/>
  <c r="I38" i="22"/>
  <c r="I33"/>
  <c r="I31"/>
  <c r="I19"/>
  <c r="I15"/>
  <c r="I13"/>
  <c r="G10"/>
  <c r="K12" i="18"/>
  <c r="J11" i="19"/>
  <c r="F15" i="36"/>
  <c r="F14" i="15" s="1"/>
  <c r="B12" i="24"/>
  <c r="G12" s="1"/>
  <c r="B14" i="15"/>
  <c r="L14" s="1"/>
  <c r="G9" i="17"/>
  <c r="N12" i="20"/>
  <c r="P12"/>
  <c r="O12"/>
  <c r="E32" i="36"/>
  <c r="E31" i="15" s="1"/>
  <c r="B31" s="1"/>
  <c r="L31" s="1"/>
  <c r="F24" i="36"/>
  <c r="F23" i="15" s="1"/>
  <c r="B14" i="24"/>
  <c r="G14" s="1"/>
  <c r="B14" i="37"/>
  <c r="G14" s="1"/>
  <c r="O27" i="20"/>
  <c r="F13" i="17"/>
  <c r="E30" i="36"/>
  <c r="E29" i="15" s="1"/>
  <c r="B29" s="1"/>
  <c r="K29" s="1"/>
  <c r="E25" i="36"/>
  <c r="E24" i="15" s="1"/>
  <c r="E20" i="36"/>
  <c r="E19" i="15" s="1"/>
  <c r="F11" i="17"/>
  <c r="B13" i="24"/>
  <c r="L22" i="15"/>
  <c r="J22"/>
  <c r="I22"/>
  <c r="B35"/>
  <c r="K14"/>
  <c r="B34" i="3"/>
  <c r="E33" i="36"/>
  <c r="E32" i="15" s="1"/>
  <c r="E14" i="36"/>
  <c r="E13" i="15" s="1"/>
  <c r="E31" i="36"/>
  <c r="E30" i="15" s="1"/>
  <c r="B30" s="1"/>
  <c r="E29" i="36"/>
  <c r="E28" i="15" s="1"/>
  <c r="E26" i="36"/>
  <c r="E25" i="15" s="1"/>
  <c r="E24" i="36"/>
  <c r="E23" i="15" s="1"/>
  <c r="E21" i="36"/>
  <c r="E20" i="15" s="1"/>
  <c r="B20" s="1"/>
  <c r="E19" i="36"/>
  <c r="E18" i="15" s="1"/>
  <c r="E12" i="17"/>
  <c r="K21" i="19"/>
  <c r="B30" i="24"/>
  <c r="G30" s="1"/>
  <c r="B28"/>
  <c r="G28" s="1"/>
  <c r="C9" i="17"/>
  <c r="J31" i="19"/>
  <c r="N14" i="20"/>
  <c r="L33" i="19"/>
  <c r="I9"/>
  <c r="K17"/>
  <c r="K11"/>
  <c r="K37"/>
  <c r="K31"/>
  <c r="K29"/>
  <c r="K24"/>
  <c r="K26"/>
  <c r="B26" i="24"/>
  <c r="G26" s="1"/>
  <c r="B24"/>
  <c r="G24" s="1"/>
  <c r="B21"/>
  <c r="G21" s="1"/>
  <c r="B19"/>
  <c r="G19" s="1"/>
  <c r="K18" i="19"/>
  <c r="K9"/>
  <c r="K14"/>
  <c r="J9"/>
  <c r="L9"/>
  <c r="K12"/>
  <c r="J36" i="18"/>
  <c r="I35"/>
  <c r="I31"/>
  <c r="I30"/>
  <c r="K26"/>
  <c r="I23"/>
  <c r="J17"/>
  <c r="J21"/>
  <c r="I18"/>
  <c r="I17"/>
  <c r="K15"/>
  <c r="I14"/>
  <c r="I11"/>
  <c r="I13"/>
  <c r="I29"/>
  <c r="K37"/>
  <c r="I36"/>
  <c r="J13"/>
  <c r="J38"/>
  <c r="K35"/>
  <c r="K32"/>
  <c r="J24"/>
  <c r="I24"/>
  <c r="I25"/>
  <c r="I21"/>
  <c r="K21"/>
  <c r="J23"/>
  <c r="J18"/>
  <c r="K17"/>
  <c r="I15"/>
  <c r="B9"/>
  <c r="K9" s="1"/>
  <c r="J31"/>
  <c r="K30"/>
  <c r="J25"/>
  <c r="K24"/>
  <c r="J20"/>
  <c r="K19"/>
  <c r="D10" i="24"/>
  <c r="I10" s="1"/>
  <c r="D10" i="37"/>
  <c r="I10" s="1"/>
  <c r="J15" i="18"/>
  <c r="K14"/>
  <c r="J11"/>
  <c r="C10" i="24"/>
  <c r="H10" s="1"/>
  <c r="B16"/>
  <c r="G16" s="1"/>
  <c r="B18" i="36"/>
  <c r="J18" s="1"/>
  <c r="B29" i="17"/>
  <c r="J29" s="1"/>
  <c r="B27"/>
  <c r="J27" s="1"/>
  <c r="I39" i="22"/>
  <c r="I37"/>
  <c r="I34"/>
  <c r="I32"/>
  <c r="I16"/>
  <c r="I14"/>
  <c r="I12"/>
  <c r="H12"/>
  <c r="K36" i="21"/>
  <c r="L36" s="1"/>
  <c r="K34"/>
  <c r="L34" s="1"/>
  <c r="K33"/>
  <c r="L33" s="1"/>
  <c r="K32"/>
  <c r="L32" s="1"/>
  <c r="K16"/>
  <c r="L16" s="1"/>
  <c r="H25"/>
  <c r="G25"/>
  <c r="G12"/>
  <c r="H21"/>
  <c r="H24"/>
  <c r="G24"/>
  <c r="I24" s="1"/>
  <c r="H26"/>
  <c r="G26"/>
  <c r="I38"/>
  <c r="I30"/>
  <c r="I28"/>
  <c r="I25"/>
  <c r="I22"/>
  <c r="I20"/>
  <c r="I19"/>
  <c r="I18"/>
  <c r="I14"/>
  <c r="I13"/>
  <c r="G39"/>
  <c r="I39" s="1"/>
  <c r="G37"/>
  <c r="I37" s="1"/>
  <c r="H31"/>
  <c r="I31" s="1"/>
  <c r="H27"/>
  <c r="I27" s="1"/>
  <c r="I15"/>
  <c r="H12"/>
  <c r="F21" i="17"/>
  <c r="B21" s="1"/>
  <c r="I21" s="1"/>
  <c r="M18" i="20"/>
  <c r="N18"/>
  <c r="P18"/>
  <c r="M20"/>
  <c r="N20"/>
  <c r="O20"/>
  <c r="M22"/>
  <c r="N22"/>
  <c r="M25"/>
  <c r="P25"/>
  <c r="M32"/>
  <c r="N32"/>
  <c r="M34"/>
  <c r="N34"/>
  <c r="N37"/>
  <c r="M37"/>
  <c r="P37"/>
  <c r="M39"/>
  <c r="N39"/>
  <c r="P21"/>
  <c r="O33"/>
  <c r="F20" i="36"/>
  <c r="F19" i="15" s="1"/>
  <c r="M12" i="20"/>
  <c r="O14"/>
  <c r="O22"/>
  <c r="O34"/>
  <c r="O38"/>
  <c r="O19"/>
  <c r="O32"/>
  <c r="O39"/>
  <c r="N30"/>
  <c r="F32" i="17"/>
  <c r="B32" s="1"/>
  <c r="L32" s="1"/>
  <c r="P20" i="20"/>
  <c r="P19"/>
  <c r="O28"/>
  <c r="O30"/>
  <c r="P30"/>
  <c r="H10"/>
  <c r="N31"/>
  <c r="O31"/>
  <c r="P31"/>
  <c r="P33"/>
  <c r="F31" i="17"/>
  <c r="B31" s="1"/>
  <c r="I31" s="1"/>
  <c r="M26" i="20"/>
  <c r="N26"/>
  <c r="O26"/>
  <c r="F27" i="36"/>
  <c r="F26" i="15" s="1"/>
  <c r="O25" i="20"/>
  <c r="O24"/>
  <c r="N24"/>
  <c r="N28"/>
  <c r="P28"/>
  <c r="P27"/>
  <c r="P24"/>
  <c r="O16"/>
  <c r="N16"/>
  <c r="P13"/>
  <c r="B10"/>
  <c r="O13"/>
  <c r="B23" i="36"/>
  <c r="J23" s="1"/>
  <c r="F14"/>
  <c r="F13" i="15" s="1"/>
  <c r="F12" i="17"/>
  <c r="B12" s="1"/>
  <c r="K12" s="1"/>
  <c r="F18"/>
  <c r="B18" s="1"/>
  <c r="F29" i="36"/>
  <c r="F28" i="15" s="1"/>
  <c r="F30" i="17"/>
  <c r="B30" s="1"/>
  <c r="K30" s="1"/>
  <c r="F37" i="36"/>
  <c r="F25"/>
  <c r="B25" i="17"/>
  <c r="I25" s="1"/>
  <c r="F17" i="36"/>
  <c r="I27" i="17"/>
  <c r="K18" i="36"/>
  <c r="B15"/>
  <c r="J15" s="1"/>
  <c r="B31"/>
  <c r="L31" s="1"/>
  <c r="I18"/>
  <c r="F26"/>
  <c r="F25" i="15" s="1"/>
  <c r="B19" i="17"/>
  <c r="L19" s="1"/>
  <c r="F19" i="36"/>
  <c r="F18" i="15" s="1"/>
  <c r="B36" i="36"/>
  <c r="J36" s="1"/>
  <c r="I29" i="17"/>
  <c r="B30" i="36"/>
  <c r="F33"/>
  <c r="F32" i="15" s="1"/>
  <c r="B33" i="17"/>
  <c r="J33" s="1"/>
  <c r="B15" i="24"/>
  <c r="G15" s="1"/>
  <c r="B22" i="37"/>
  <c r="G22" s="1"/>
  <c r="B14" i="17"/>
  <c r="I14" s="1"/>
  <c r="B17"/>
  <c r="J17" s="1"/>
  <c r="N19" i="20"/>
  <c r="B20" i="17"/>
  <c r="L20" s="1"/>
  <c r="B24"/>
  <c r="I24" s="1"/>
  <c r="B26"/>
  <c r="I26" s="1"/>
  <c r="P32" i="20"/>
  <c r="P34"/>
  <c r="M31"/>
  <c r="P22"/>
  <c r="P15"/>
  <c r="B38" i="17"/>
  <c r="J38" s="1"/>
  <c r="P39" i="20"/>
  <c r="N38"/>
  <c r="B35" i="17"/>
  <c r="I35" s="1"/>
  <c r="M33" i="20"/>
  <c r="N27"/>
  <c r="P26"/>
  <c r="N25"/>
  <c r="N15"/>
  <c r="P14"/>
  <c r="B39" i="24"/>
  <c r="G39" s="1"/>
  <c r="B37"/>
  <c r="G37" s="1"/>
  <c r="B34"/>
  <c r="G34" s="1"/>
  <c r="B32"/>
  <c r="G32" s="1"/>
  <c r="B36" i="37"/>
  <c r="G36" s="1"/>
  <c r="B33"/>
  <c r="G33" s="1"/>
  <c r="B31"/>
  <c r="G31" s="1"/>
  <c r="B19"/>
  <c r="G19" s="1"/>
  <c r="B16"/>
  <c r="G16" s="1"/>
  <c r="B36" i="17"/>
  <c r="I36" s="1"/>
  <c r="B15"/>
  <c r="J15" s="1"/>
  <c r="E35" i="36"/>
  <c r="E34" i="15" s="1"/>
  <c r="B34" s="1"/>
  <c r="B36" i="3"/>
  <c r="O37" i="20"/>
  <c r="N36"/>
  <c r="O18"/>
  <c r="B38" i="24"/>
  <c r="G38" s="1"/>
  <c r="B36"/>
  <c r="G36" s="1"/>
  <c r="B33"/>
  <c r="G33" s="1"/>
  <c r="B31"/>
  <c r="G31" s="1"/>
  <c r="B27"/>
  <c r="G27" s="1"/>
  <c r="B25"/>
  <c r="G25" s="1"/>
  <c r="B22"/>
  <c r="G22" s="1"/>
  <c r="B20"/>
  <c r="G20" s="1"/>
  <c r="E10"/>
  <c r="J10" s="1"/>
  <c r="B18"/>
  <c r="G18" s="1"/>
  <c r="B39" i="37"/>
  <c r="G39" s="1"/>
  <c r="B37"/>
  <c r="G37" s="1"/>
  <c r="B34"/>
  <c r="G34" s="1"/>
  <c r="B32"/>
  <c r="G32" s="1"/>
  <c r="B30"/>
  <c r="G30" s="1"/>
  <c r="B27"/>
  <c r="G27" s="1"/>
  <c r="B25"/>
  <c r="G25" s="1"/>
  <c r="B20"/>
  <c r="G20" s="1"/>
  <c r="B18"/>
  <c r="G18" s="1"/>
  <c r="E10"/>
  <c r="J10" s="1"/>
  <c r="B13"/>
  <c r="G13" s="1"/>
  <c r="D9" i="17"/>
  <c r="N21" i="20"/>
  <c r="N13"/>
  <c r="B38" i="37"/>
  <c r="G38" s="1"/>
  <c r="B28"/>
  <c r="G28" s="1"/>
  <c r="B26"/>
  <c r="G26" s="1"/>
  <c r="B24"/>
  <c r="G24" s="1"/>
  <c r="B21"/>
  <c r="G21" s="1"/>
  <c r="C10"/>
  <c r="H10" s="1"/>
  <c r="B10" i="2"/>
  <c r="L21" i="17"/>
  <c r="J21"/>
  <c r="G13" i="24"/>
  <c r="P36" i="20"/>
  <c r="O15"/>
  <c r="I39" i="24"/>
  <c r="I37"/>
  <c r="I34"/>
  <c r="I32"/>
  <c r="I28"/>
  <c r="I26"/>
  <c r="I24"/>
  <c r="I21"/>
  <c r="I19"/>
  <c r="J18"/>
  <c r="I16"/>
  <c r="J13"/>
  <c r="I38" i="37"/>
  <c r="I36"/>
  <c r="I33"/>
  <c r="I31"/>
  <c r="I27"/>
  <c r="I25"/>
  <c r="I22"/>
  <c r="I20"/>
  <c r="B37" i="17"/>
  <c r="K37" s="1"/>
  <c r="B23"/>
  <c r="I23" s="1"/>
  <c r="E12" i="36"/>
  <c r="E11" i="15" s="1"/>
  <c r="B11" s="1"/>
  <c r="E13" i="36"/>
  <c r="E12" i="15" s="1"/>
  <c r="B12" s="1"/>
  <c r="E13" i="17"/>
  <c r="B13" s="1"/>
  <c r="B11"/>
  <c r="B12" i="3"/>
  <c r="C10"/>
  <c r="E11" i="36"/>
  <c r="E10" i="15" s="1"/>
  <c r="L17" l="1"/>
  <c r="B32" i="36"/>
  <c r="L32" s="1"/>
  <c r="J17" i="15"/>
  <c r="I17"/>
  <c r="B38" i="36"/>
  <c r="K38" s="1"/>
  <c r="K33" i="17"/>
  <c r="K29"/>
  <c r="B23" i="15"/>
  <c r="L23" s="1"/>
  <c r="I14"/>
  <c r="J14"/>
  <c r="J29"/>
  <c r="I29"/>
  <c r="L29"/>
  <c r="I10" i="22"/>
  <c r="I26" i="21"/>
  <c r="I31" i="15"/>
  <c r="J31"/>
  <c r="K31"/>
  <c r="K31" i="17"/>
  <c r="F16" i="15"/>
  <c r="B16" s="1"/>
  <c r="F24"/>
  <c r="B24" s="1"/>
  <c r="F36"/>
  <c r="B36" s="1"/>
  <c r="E8"/>
  <c r="B10"/>
  <c r="L12"/>
  <c r="K12"/>
  <c r="J12"/>
  <c r="I12"/>
  <c r="L11"/>
  <c r="K11"/>
  <c r="J11"/>
  <c r="I11"/>
  <c r="B14" i="36"/>
  <c r="I14" s="1"/>
  <c r="B27"/>
  <c r="B26" i="15"/>
  <c r="L37"/>
  <c r="K37"/>
  <c r="J37"/>
  <c r="I37"/>
  <c r="B18"/>
  <c r="B28"/>
  <c r="B13"/>
  <c r="L34"/>
  <c r="K34"/>
  <c r="J34"/>
  <c r="I34"/>
  <c r="B20" i="36"/>
  <c r="I20" s="1"/>
  <c r="B19" i="15"/>
  <c r="L20"/>
  <c r="K20"/>
  <c r="J20"/>
  <c r="I20"/>
  <c r="L30"/>
  <c r="K30"/>
  <c r="J30"/>
  <c r="I30"/>
  <c r="L35"/>
  <c r="K35"/>
  <c r="J35"/>
  <c r="I35"/>
  <c r="B25"/>
  <c r="B32"/>
  <c r="B24" i="36"/>
  <c r="B21"/>
  <c r="L31" i="17"/>
  <c r="L29"/>
  <c r="B10" i="3"/>
  <c r="E9" i="17"/>
  <c r="L25"/>
  <c r="I9" i="18"/>
  <c r="J9"/>
  <c r="H9"/>
  <c r="I15" i="17"/>
  <c r="I33"/>
  <c r="I27" i="36"/>
  <c r="K25" i="17"/>
  <c r="L27"/>
  <c r="K27"/>
  <c r="B10" i="24"/>
  <c r="G10" s="1"/>
  <c r="K21" i="17"/>
  <c r="B10" i="37"/>
  <c r="G10" s="1"/>
  <c r="L18" i="36"/>
  <c r="K15" i="21"/>
  <c r="L15" s="1"/>
  <c r="K27"/>
  <c r="L27" s="1"/>
  <c r="K37"/>
  <c r="L37" s="1"/>
  <c r="K13"/>
  <c r="L13" s="1"/>
  <c r="K18"/>
  <c r="L18" s="1"/>
  <c r="K20"/>
  <c r="L20" s="1"/>
  <c r="K22"/>
  <c r="L22" s="1"/>
  <c r="K28"/>
  <c r="L28" s="1"/>
  <c r="K38"/>
  <c r="L38" s="1"/>
  <c r="K26"/>
  <c r="L26" s="1"/>
  <c r="K31"/>
  <c r="L31" s="1"/>
  <c r="K39"/>
  <c r="L39" s="1"/>
  <c r="K14"/>
  <c r="L14" s="1"/>
  <c r="K19"/>
  <c r="L19" s="1"/>
  <c r="K21"/>
  <c r="L21" s="1"/>
  <c r="K24"/>
  <c r="L24" s="1"/>
  <c r="K25"/>
  <c r="L25" s="1"/>
  <c r="K30"/>
  <c r="L30" s="1"/>
  <c r="I12"/>
  <c r="I32" i="17"/>
  <c r="I31" i="36"/>
  <c r="L33" i="17"/>
  <c r="I32" i="36"/>
  <c r="L17" i="17"/>
  <c r="I17"/>
  <c r="I38"/>
  <c r="K27" i="36"/>
  <c r="L14" i="17"/>
  <c r="L14" i="36"/>
  <c r="J12" i="17"/>
  <c r="J20" i="36"/>
  <c r="L36"/>
  <c r="L38" i="17"/>
  <c r="K17"/>
  <c r="B37" i="36"/>
  <c r="L37" s="1"/>
  <c r="K23"/>
  <c r="L23"/>
  <c r="F9"/>
  <c r="B29"/>
  <c r="J32" i="17"/>
  <c r="J31"/>
  <c r="J25"/>
  <c r="I23" i="36"/>
  <c r="N10" i="20"/>
  <c r="M10"/>
  <c r="P10"/>
  <c r="O10"/>
  <c r="I19" i="17"/>
  <c r="J14"/>
  <c r="L12"/>
  <c r="K24"/>
  <c r="F9"/>
  <c r="I12"/>
  <c r="I18"/>
  <c r="J18"/>
  <c r="L18"/>
  <c r="K18"/>
  <c r="K14"/>
  <c r="I37" i="36"/>
  <c r="B25"/>
  <c r="I25" s="1"/>
  <c r="I37" i="17"/>
  <c r="J37"/>
  <c r="L30"/>
  <c r="J30"/>
  <c r="I30"/>
  <c r="L26"/>
  <c r="B17" i="36"/>
  <c r="J20" i="17"/>
  <c r="K15"/>
  <c r="L15"/>
  <c r="J19"/>
  <c r="I20"/>
  <c r="L24"/>
  <c r="J36"/>
  <c r="I15" i="36"/>
  <c r="L15"/>
  <c r="K15"/>
  <c r="K31"/>
  <c r="J31"/>
  <c r="B26"/>
  <c r="K26" i="17"/>
  <c r="B19" i="36"/>
  <c r="K19" i="17"/>
  <c r="L37"/>
  <c r="I36" i="36"/>
  <c r="K38" i="17"/>
  <c r="K36" i="36"/>
  <c r="B33"/>
  <c r="J32"/>
  <c r="K32"/>
  <c r="L30"/>
  <c r="I30"/>
  <c r="J30"/>
  <c r="K30"/>
  <c r="K32" i="17"/>
  <c r="L23"/>
  <c r="J24"/>
  <c r="K20"/>
  <c r="J26"/>
  <c r="J21" i="36"/>
  <c r="K21"/>
  <c r="I21"/>
  <c r="L21"/>
  <c r="J35" i="17"/>
  <c r="L35"/>
  <c r="L36"/>
  <c r="K36"/>
  <c r="K35"/>
  <c r="K23"/>
  <c r="B35" i="36"/>
  <c r="J23" i="17"/>
  <c r="B12" i="36"/>
  <c r="B13"/>
  <c r="J13" i="17"/>
  <c r="I13"/>
  <c r="L13"/>
  <c r="K13"/>
  <c r="E9" i="36"/>
  <c r="B11"/>
  <c r="J11" i="17"/>
  <c r="I11"/>
  <c r="K11"/>
  <c r="B9"/>
  <c r="L11"/>
  <c r="K14" i="36" l="1"/>
  <c r="L38"/>
  <c r="I23" i="15"/>
  <c r="J38" i="36"/>
  <c r="I38"/>
  <c r="J23" i="15"/>
  <c r="K23"/>
  <c r="J14" i="36"/>
  <c r="K24" i="15"/>
  <c r="I24"/>
  <c r="L24"/>
  <c r="J24"/>
  <c r="K36"/>
  <c r="I36"/>
  <c r="L36"/>
  <c r="J36"/>
  <c r="K16"/>
  <c r="I16"/>
  <c r="L16"/>
  <c r="J16"/>
  <c r="L32"/>
  <c r="K32"/>
  <c r="J32"/>
  <c r="I32"/>
  <c r="L19"/>
  <c r="K19"/>
  <c r="J19"/>
  <c r="I19"/>
  <c r="L13"/>
  <c r="K13"/>
  <c r="J13"/>
  <c r="I13"/>
  <c r="L18"/>
  <c r="K18"/>
  <c r="J18"/>
  <c r="I18"/>
  <c r="J27" i="36"/>
  <c r="L27"/>
  <c r="L25" i="15"/>
  <c r="K25"/>
  <c r="J25"/>
  <c r="I25"/>
  <c r="L20" i="36"/>
  <c r="K20"/>
  <c r="L28" i="15"/>
  <c r="K28"/>
  <c r="J28"/>
  <c r="I28"/>
  <c r="L26"/>
  <c r="K26"/>
  <c r="J26"/>
  <c r="I26"/>
  <c r="L10"/>
  <c r="I10"/>
  <c r="J10"/>
  <c r="B8"/>
  <c r="K10"/>
  <c r="F8"/>
  <c r="J24" i="36"/>
  <c r="K24"/>
  <c r="L24"/>
  <c r="I24"/>
  <c r="K12" i="21"/>
  <c r="K25" i="36"/>
  <c r="K37"/>
  <c r="J37"/>
  <c r="I29"/>
  <c r="K29"/>
  <c r="J29"/>
  <c r="L29"/>
  <c r="J25"/>
  <c r="L25"/>
  <c r="K17"/>
  <c r="J17"/>
  <c r="I17"/>
  <c r="L17"/>
  <c r="L26"/>
  <c r="K26"/>
  <c r="I26"/>
  <c r="J26"/>
  <c r="J19"/>
  <c r="K19"/>
  <c r="L19"/>
  <c r="I19"/>
  <c r="I33"/>
  <c r="L33"/>
  <c r="J33"/>
  <c r="K33"/>
  <c r="J35"/>
  <c r="I35"/>
  <c r="L35"/>
  <c r="K35"/>
  <c r="J12"/>
  <c r="K12"/>
  <c r="L12"/>
  <c r="I12"/>
  <c r="L13"/>
  <c r="K13"/>
  <c r="J13"/>
  <c r="I13"/>
  <c r="J9" i="17"/>
  <c r="K9"/>
  <c r="L9"/>
  <c r="I9"/>
  <c r="I11" i="36"/>
  <c r="K11"/>
  <c r="J11"/>
  <c r="L11"/>
  <c r="B9"/>
  <c r="L8" i="15" l="1"/>
  <c r="K8"/>
  <c r="J8"/>
  <c r="I8"/>
  <c r="L10" i="21"/>
  <c r="L12"/>
  <c r="L9" i="36"/>
  <c r="K9"/>
  <c r="I9"/>
  <c r="J9"/>
</calcChain>
</file>

<file path=xl/sharedStrings.xml><?xml version="1.0" encoding="utf-8"?>
<sst xmlns="http://schemas.openxmlformats.org/spreadsheetml/2006/main" count="1010" uniqueCount="291">
  <si>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</si>
  <si>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</si>
  <si>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</si>
  <si>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</si>
  <si>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</si>
  <si>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</si>
  <si>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</si>
  <si>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</si>
  <si>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</si>
  <si>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</si>
  <si>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</si>
  <si>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</si>
  <si>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</si>
  <si>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</si>
  <si>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</si>
  <si>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</si>
  <si>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</si>
  <si>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</si>
  <si>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</si>
  <si>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</si>
  <si>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</si>
  <si>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</si>
  <si>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</si>
  <si>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</si>
  <si>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</si>
  <si>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</si>
  <si>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</si>
  <si>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</si>
  <si>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Nonpublic</t>
  </si>
  <si>
    <t>Placements</t>
  </si>
  <si>
    <t>Gifted</t>
  </si>
  <si>
    <t>and</t>
  </si>
  <si>
    <t>Talented</t>
  </si>
  <si>
    <t>Education</t>
  </si>
  <si>
    <t>School</t>
  </si>
  <si>
    <t>Community</t>
  </si>
  <si>
    <t>Other</t>
  </si>
  <si>
    <t>Food</t>
  </si>
  <si>
    <t>Service</t>
  </si>
  <si>
    <t>Construc-</t>
  </si>
  <si>
    <t>tion</t>
  </si>
  <si>
    <t>Debt</t>
  </si>
  <si>
    <t>Table 7</t>
  </si>
  <si>
    <t>Total</t>
  </si>
  <si>
    <t>State</t>
  </si>
  <si>
    <t>Funds</t>
  </si>
  <si>
    <t>Current Expense Fund</t>
  </si>
  <si>
    <t>Current Expense Fund (continued)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</si>
  <si>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</si>
  <si>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</si>
  <si>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</si>
  <si>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</si>
  <si>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</si>
  <si>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</si>
  <si>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</si>
  <si>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</si>
  <si>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Elementary and Secondary Education Act</t>
  </si>
  <si>
    <t>Concentration</t>
  </si>
  <si>
    <t>Expenses</t>
  </si>
  <si>
    <t>Even</t>
  </si>
  <si>
    <t>Start</t>
  </si>
  <si>
    <t>Program</t>
  </si>
  <si>
    <t>Basic and</t>
  </si>
  <si>
    <t>Grants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</si>
  <si>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</si>
  <si>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</si>
  <si>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</si>
  <si>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</si>
  <si>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</si>
  <si>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</si>
  <si>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</si>
  <si>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</si>
  <si>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Value of</t>
  </si>
  <si>
    <t>Commodities</t>
  </si>
  <si>
    <t>Food Service Programs</t>
  </si>
  <si>
    <t>Construction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</si>
  <si>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</si>
  <si>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</si>
  <si>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</si>
  <si>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</si>
  <si>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</si>
  <si>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</si>
  <si>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</si>
  <si>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</si>
  <si>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</si>
  <si>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</si>
  <si>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</si>
  <si>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</si>
  <si>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</si>
  <si>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</si>
  <si>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</si>
  <si>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</si>
  <si>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</si>
  <si>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</si>
  <si>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</si>
  <si>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</si>
  <si>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</si>
  <si>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</si>
  <si>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</si>
  <si>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>Assessed</t>
  </si>
  <si>
    <t>Valuation</t>
  </si>
  <si>
    <t>(Thousands)</t>
  </si>
  <si>
    <t>Number</t>
  </si>
  <si>
    <t>of Pupils</t>
  </si>
  <si>
    <t>per Pupil</t>
  </si>
  <si>
    <t>per Capita</t>
  </si>
  <si>
    <t>Table 12</t>
  </si>
  <si>
    <t>Table 11</t>
  </si>
  <si>
    <t>All</t>
  </si>
  <si>
    <t xml:space="preserve">Current </t>
  </si>
  <si>
    <t xml:space="preserve">                                         </t>
  </si>
  <si>
    <t>Table 3</t>
  </si>
  <si>
    <t>Cash</t>
  </si>
  <si>
    <t>Other*</t>
  </si>
  <si>
    <t>Valuation for</t>
  </si>
  <si>
    <t>Local Purposes</t>
  </si>
  <si>
    <t>Expenses*</t>
  </si>
  <si>
    <t>Table 7 (continued)</t>
  </si>
  <si>
    <t>Table 8</t>
  </si>
  <si>
    <t>Table 8 (continued)</t>
  </si>
  <si>
    <t xml:space="preserve">Infants </t>
  </si>
  <si>
    <t>Toddlers</t>
  </si>
  <si>
    <t>Innovative Programs</t>
  </si>
  <si>
    <t>Schools</t>
  </si>
  <si>
    <t>Adult Education</t>
  </si>
  <si>
    <t>External</t>
  </si>
  <si>
    <t>Diploma</t>
  </si>
  <si>
    <t>Works</t>
  </si>
  <si>
    <t>Science/</t>
  </si>
  <si>
    <t>Math</t>
  </si>
  <si>
    <t>Near County</t>
  </si>
  <si>
    <t>Lines</t>
  </si>
  <si>
    <t>Agency</t>
  </si>
  <si>
    <t>(Excluding State-Paid Teachers' Retirement)</t>
  </si>
  <si>
    <t>Adult</t>
  </si>
  <si>
    <t xml:space="preserve">Indian </t>
  </si>
  <si>
    <t>Title III</t>
  </si>
  <si>
    <t>Title XIX</t>
  </si>
  <si>
    <t xml:space="preserve">Part B - </t>
  </si>
  <si>
    <t xml:space="preserve">Part H - </t>
  </si>
  <si>
    <t>National &amp;</t>
  </si>
  <si>
    <t xml:space="preserve">  Non-</t>
  </si>
  <si>
    <t>(Including State-Paid Teachers' Retirement)</t>
  </si>
  <si>
    <t>USDA</t>
  </si>
  <si>
    <t>State Grant</t>
  </si>
  <si>
    <t>Neglected</t>
  </si>
  <si>
    <t>Delinquent</t>
  </si>
  <si>
    <t>Out of County</t>
  </si>
  <si>
    <t>Living - Foster</t>
  </si>
  <si>
    <t>Student Transportation</t>
  </si>
  <si>
    <t>Other State Revenue</t>
  </si>
  <si>
    <t>Combined Grants</t>
  </si>
  <si>
    <t>Higher Education Act - Advanced Placement Fees</t>
  </si>
  <si>
    <t xml:space="preserve">State Share of Teachers' Retirement </t>
  </si>
  <si>
    <t>Regular Transportation</t>
  </si>
  <si>
    <t>Transportation of Students with Disibilities</t>
  </si>
  <si>
    <t>Continuing Education</t>
  </si>
  <si>
    <t>Local      Education Agency</t>
  </si>
  <si>
    <t>Teacher Stipends &amp; Bonuses</t>
  </si>
  <si>
    <t>Hoyer Funds II</t>
  </si>
  <si>
    <t>Hoyer General Funds</t>
  </si>
  <si>
    <t>Smith Island</t>
  </si>
  <si>
    <t>School Boat</t>
  </si>
  <si>
    <t>Foundation Program</t>
  </si>
  <si>
    <t>Local Education Agency</t>
  </si>
  <si>
    <t>Per Student Foundation Program</t>
  </si>
  <si>
    <t>Wealth Per Student</t>
  </si>
  <si>
    <t>Total Foundation Program minus Local Share                 ( S1)</t>
  </si>
  <si>
    <t>Unadjusted Calculation</t>
  </si>
  <si>
    <t>Wealth Per Student - Table 9</t>
  </si>
  <si>
    <t>Minimum Grant</t>
  </si>
  <si>
    <t>Total Grant - Greater of Adjusted or Minimum Calculation</t>
  </si>
  <si>
    <t>Local Appropriations in Dollars</t>
  </si>
  <si>
    <t>Local Appropriations in Percent of Assessed Valuation</t>
  </si>
  <si>
    <t xml:space="preserve">Infants &amp; Toddlers </t>
  </si>
  <si>
    <t>English Language Acquisition</t>
  </si>
  <si>
    <t>Improving Teacher Quality State Grants</t>
  </si>
  <si>
    <t>21st Century Community Learning Centers.</t>
  </si>
  <si>
    <t>TITLE II</t>
  </si>
  <si>
    <t>Part B - Math &amp; Sciences</t>
  </si>
  <si>
    <t xml:space="preserve">Reading </t>
  </si>
  <si>
    <t>First</t>
  </si>
  <si>
    <t>Other Earnings on Investment</t>
  </si>
  <si>
    <t>Unrestricted and Impact Aid Funds</t>
  </si>
  <si>
    <t xml:space="preserve">Charter </t>
  </si>
  <si>
    <t>Public Health Services Act</t>
  </si>
  <si>
    <t>Social Security Act Medical Assistance</t>
  </si>
  <si>
    <t>Stewart B. McKinney Homeless Assistance</t>
  </si>
  <si>
    <t>Safe and Drug Free Communities</t>
  </si>
  <si>
    <t>Title X - Fund for Improvement of Education</t>
  </si>
  <si>
    <t>Total Local Wealth *</t>
  </si>
  <si>
    <t>GCEI - Regional Difference</t>
  </si>
  <si>
    <t>(D)</t>
  </si>
  <si>
    <t>Additional Grant to Adjusted Calculation</t>
  </si>
  <si>
    <t>Appropriation**</t>
  </si>
  <si>
    <r>
      <t xml:space="preserve">*** </t>
    </r>
    <r>
      <rPr>
        <sz val="10"/>
        <rFont val="Arial"/>
        <family val="2"/>
      </rPr>
      <t>Includes the following:  tuition, transportation fees, transfers from school units in other states, and other miscellaneous revenue.</t>
    </r>
  </si>
  <si>
    <r>
      <t>Other</t>
    </r>
    <r>
      <rPr>
        <b/>
        <sz val="10"/>
        <rFont val="Arial"/>
        <family val="2"/>
      </rPr>
      <t>***</t>
    </r>
  </si>
  <si>
    <t>*  Includes revenue from the following funds:  Current Expense, School Construction, Debt Service, and Food Service.</t>
  </si>
  <si>
    <t>Charles*</t>
  </si>
  <si>
    <t>** Nonrevenue includes earnings on investment, rental income, and other miscellaneous receipts, but excludes interfund transfers</t>
  </si>
  <si>
    <t>*** Includes the following:  tuition, transportation fees, transfers from school units in other states, and other miscellaneous revenue</t>
  </si>
  <si>
    <t>Other***</t>
  </si>
  <si>
    <t>revenue**</t>
  </si>
  <si>
    <t>Compensatory Education Formula</t>
  </si>
  <si>
    <t>Other**</t>
  </si>
  <si>
    <t>Baltimore City***</t>
  </si>
  <si>
    <t>*Includes earnings on investments, rental income, and other miscellaneous local revenue.</t>
  </si>
  <si>
    <t>*    Includes revenue to meet principal and interest obligations.</t>
  </si>
  <si>
    <t>**  Includes miscellaneous other revenue.</t>
  </si>
  <si>
    <t>NOTE:  Audit adjustments are not included.</t>
  </si>
  <si>
    <t>Belonging**</t>
  </si>
  <si>
    <t>* Assessed</t>
  </si>
  <si>
    <t>Greater of (S1) or ( S2)</t>
  </si>
  <si>
    <r>
      <t xml:space="preserve">** </t>
    </r>
    <r>
      <rPr>
        <sz val="10"/>
        <rFont val="Arial"/>
        <family val="2"/>
      </rPr>
      <t>Includes the following:  tuition, transportation fees, transfers from school units in other states, and other miscellaneous revenue.</t>
    </r>
  </si>
  <si>
    <r>
      <t>Other</t>
    </r>
    <r>
      <rPr>
        <sz val="10"/>
        <rFont val="WP TypographicSymbols"/>
      </rPr>
      <t>**</t>
    </r>
  </si>
  <si>
    <t>Total Foundation Program (Enrollment X $6,694)</t>
  </si>
  <si>
    <t>Minimum State Share = Foundation Progam x .15           (S2)</t>
  </si>
  <si>
    <t>Students        X $3,247</t>
  </si>
  <si>
    <t>(B) X 80%</t>
  </si>
  <si>
    <t>Local Appropriations in Percent of Total Local Wealth</t>
  </si>
  <si>
    <t>Local Appropriations for Public Schools as a Percent of Assessed Valuation and Total Local Wealth</t>
  </si>
  <si>
    <t>Table 12 (Continued)</t>
  </si>
  <si>
    <t>*    Excludes federal revenue and state revenue for food service operations; excludes sale of meals and value of USDA commodities.</t>
  </si>
  <si>
    <t>Adult Ed - English Lit/Civics</t>
  </si>
  <si>
    <t>ESEA I - LEA School System Support</t>
  </si>
  <si>
    <t>ESEA I - LEA State Administration</t>
  </si>
  <si>
    <t>Guaranteed Tax Base</t>
  </si>
  <si>
    <t>School Based Health Program</t>
  </si>
  <si>
    <t>ESEA</t>
  </si>
  <si>
    <t xml:space="preserve">Title IID </t>
  </si>
  <si>
    <t>Title IIIA</t>
  </si>
  <si>
    <t>ARRA</t>
  </si>
  <si>
    <t>Supplemental Grants</t>
  </si>
  <si>
    <t>Limited English Proficiency</t>
  </si>
  <si>
    <t>Title I School Improvement</t>
  </si>
  <si>
    <t>Disabled Students</t>
  </si>
  <si>
    <t>Natl Early Intervention Scholarship &amp; Partnership</t>
  </si>
  <si>
    <t xml:space="preserve"> Title II Carl T. Perkins - Career and Technology </t>
  </si>
  <si>
    <t>Displaced Homemakers</t>
  </si>
  <si>
    <t>Sex</t>
  </si>
  <si>
    <t>Equity</t>
  </si>
  <si>
    <t>National School Lunch Equipment Assistance</t>
  </si>
  <si>
    <t>Part B - Preschool</t>
  </si>
  <si>
    <t>Title I</t>
  </si>
  <si>
    <t>State Fiscal Stabilization Fund Grants</t>
  </si>
  <si>
    <t>Education Technology - State Grants</t>
  </si>
  <si>
    <t>Part B - State Pass Through</t>
  </si>
  <si>
    <t>IDEA PartC -  Infant &amp; Families</t>
  </si>
  <si>
    <t>Direct Grants &amp; Other Agencies Subgrants</t>
  </si>
  <si>
    <t xml:space="preserve">ARRA Title I </t>
  </si>
  <si>
    <t>Targeted, Incentive, &amp; Schools Improvement</t>
  </si>
  <si>
    <t>Goals 2000 - Opportunity-to-Learn</t>
  </si>
  <si>
    <t>Race To TheTop</t>
  </si>
  <si>
    <t>Education Jobs Funds</t>
  </si>
  <si>
    <t>Gaining Early Awareness and Readiness</t>
  </si>
  <si>
    <t>IDEA Part C - Severely Handicapped Project</t>
  </si>
  <si>
    <t xml:space="preserve"> </t>
  </si>
  <si>
    <t xml:space="preserve">* Included are taxable income, real and public utility property assessments for state purposes, and 50% of personal property assessments for county purposes; </t>
  </si>
  <si>
    <t xml:space="preserve">         Source:</t>
  </si>
  <si>
    <t>**      Half-time prekindergarten pupils are expressed in full-time equivalents in arriving at per pupil costs.</t>
  </si>
  <si>
    <t xml:space="preserve">        Source:  </t>
  </si>
  <si>
    <t>Revenue from All Sources* for Maryland Public Schools:  2011 - 2012</t>
  </si>
  <si>
    <t>Revenue from All Sources for Current Expenses*:   Maryland Public Schools:  2011 - 2012</t>
  </si>
  <si>
    <t>Revenue from All Sources for School Construction:  Maryland Public Schools:  2011- 2012</t>
  </si>
  <si>
    <t>Revenue from All Sources for Debt Service*:  Maryland Public Schools:  2011 - 2012</t>
  </si>
  <si>
    <t>Revenue from All Sources for Food Service Operations:  Maryland Public Schools:  2011 - 2012</t>
  </si>
  <si>
    <t>Revenue from the State for Maryland Public School Purposes: 2011 - 2012</t>
  </si>
  <si>
    <t>Revenue from the State for Maryland Public School Purposes:  2011 - 2012</t>
  </si>
  <si>
    <t>Revenue from the Federal Government for Maryland Public Schools:  2011 -2012</t>
  </si>
  <si>
    <t>Revenue from the Federal Government for Maryland Public Schools:  2011- 2012</t>
  </si>
  <si>
    <t>Revenue from the Federal Government for Maryland Public Schools:  2011 - 2012</t>
  </si>
  <si>
    <t>Foundation Current Expense Formula Aid for Maryland Public Schools:  2011 - 2012</t>
  </si>
  <si>
    <t>State Compensatory Education Aid for Maryland Public Schools:  2011 - 2012</t>
  </si>
  <si>
    <t>Assessed Valuation per Pupil Belonging and per Capita:  State of Maryland:  2011 - 2012</t>
  </si>
  <si>
    <t>Maryland Public Schools:  2011 - 2012</t>
  </si>
  <si>
    <t>Local Share         ( Local Wealth X .66231%)</t>
  </si>
  <si>
    <t>SOURCE:  MSDE final calculations for the Major State Aid Programs for Fiscal Year 2012</t>
  </si>
  <si>
    <t>Grant Adjusted Calculation        @ 0.8392147</t>
  </si>
  <si>
    <t>10-31-2010 Eligible FARMS Students + SEED</t>
  </si>
  <si>
    <t>http://www.dat.state.md.us/sdatweb/stats/AnnualRpt_2012.pdf</t>
  </si>
  <si>
    <t>http://www.census.gov</t>
  </si>
  <si>
    <t xml:space="preserve">         Base Estimate date: November 30, 2011. Maryland State Department of Assessment and Taxation  Annual Report</t>
  </si>
  <si>
    <r>
      <t xml:space="preserve">* </t>
    </r>
    <r>
      <rPr>
        <sz val="10"/>
        <rFont val="Wingdings"/>
        <charset val="2"/>
      </rPr>
      <t xml:space="preserve">  </t>
    </r>
    <r>
      <rPr>
        <sz val="10"/>
        <rFont val="Arial"/>
        <family val="2"/>
      </rPr>
      <t xml:space="preserve">Excerpt from Table I -   The Taxable Assessable Base at the County Level For the tax year beginning July 1, 2011 </t>
    </r>
  </si>
  <si>
    <t>2011 Population Estimates ***</t>
  </si>
  <si>
    <t>(CO-EST2011-01-24)</t>
  </si>
  <si>
    <t xml:space="preserve">***    Excerpt from Table 1.  Annual Estimates of the Resident Population for Counties of Maryland: April 1, 2010 to July 1, 2011 </t>
  </si>
  <si>
    <t xml:space="preserve">        Release Date: April 2012</t>
  </si>
  <si>
    <t>**  Excludes  $11,303,923.92 Baltimore City Public Schools appropriated within the Current Expenses Fund,but transferred to Debt Service Fund.</t>
  </si>
  <si>
    <t xml:space="preserve">***  Baltimore City Public Schools  appropriated $11,303,923.92 for debt servicing within the Current Expenses Fund; this amount is classified here as local appropriation. </t>
  </si>
  <si>
    <t>**  Excludes   $11,303,923.92  Baltimore City Public Schools appropriated within the Current Expenses Fund,but transferred to Debt Service Fund.</t>
  </si>
  <si>
    <t>Enrollment 09-30-2010</t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</si>
</sst>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\ ;\(&quot;$&quot;#,##0\)"/>
    <numFmt numFmtId="168" formatCode="#,##0.000"/>
    <numFmt numFmtId="169" formatCode="#,##0.0000"/>
    <numFmt numFmtId="170" formatCode="0.00000%"/>
    <numFmt numFmtId="171" formatCode="_(* #,##0.00_);_(* \(#,##0.00\);_(* &quot;-&quot;_);_(@_)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26"/>
      <name val="Arial"/>
      <family val="2"/>
    </font>
    <font>
      <sz val="10"/>
      <name val="WP TypographicSymbols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9.9"/>
      <color theme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name val="Wingdings"/>
      <charset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82">
    <xf numFmtId="0" fontId="0" fillId="0" borderId="0" xfId="0"/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165" fontId="0" fillId="0" borderId="4" xfId="0" applyNumberFormat="1" applyBorder="1"/>
    <xf numFmtId="165" fontId="0" fillId="0" borderId="4" xfId="1" applyNumberFormat="1" applyFont="1" applyBorder="1"/>
    <xf numFmtId="165" fontId="0" fillId="0" borderId="0" xfId="1" applyNumberFormat="1" applyFont="1" applyBorder="1"/>
    <xf numFmtId="166" fontId="0" fillId="0" borderId="0" xfId="2" applyNumberFormat="1" applyFont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0" xfId="0" applyAlignment="1"/>
    <xf numFmtId="43" fontId="0" fillId="0" borderId="0" xfId="0" applyNumberFormat="1" applyBorder="1"/>
    <xf numFmtId="0" fontId="0" fillId="0" borderId="0" xfId="0" quotePrefix="1"/>
    <xf numFmtId="0" fontId="1" fillId="0" borderId="0" xfId="0" applyFont="1" applyAlignment="1">
      <alignment horizontal="centerContinuous"/>
    </xf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5" xfId="0" applyFont="1" applyBorder="1"/>
    <xf numFmtId="3" fontId="3" fillId="0" borderId="0" xfId="0" applyNumberFormat="1" applyFont="1"/>
    <xf numFmtId="3" fontId="1" fillId="0" borderId="4" xfId="0" applyNumberFormat="1" applyFont="1" applyBorder="1"/>
    <xf numFmtId="9" fontId="1" fillId="0" borderId="0" xfId="0" applyNumberFormat="1" applyFont="1"/>
    <xf numFmtId="3" fontId="1" fillId="0" borderId="0" xfId="0" applyNumberFormat="1" applyFont="1" applyBorder="1"/>
    <xf numFmtId="0" fontId="1" fillId="0" borderId="4" xfId="0" applyFont="1" applyBorder="1"/>
    <xf numFmtId="0" fontId="1" fillId="0" borderId="0" xfId="0" applyFont="1" applyBorder="1"/>
    <xf numFmtId="0" fontId="4" fillId="0" borderId="0" xfId="0" applyFont="1" applyBorder="1" applyAlignment="1"/>
    <xf numFmtId="0" fontId="4" fillId="0" borderId="0" xfId="0" applyFont="1"/>
    <xf numFmtId="43" fontId="0" fillId="0" borderId="4" xfId="1" applyNumberFormat="1" applyFont="1" applyBorder="1"/>
    <xf numFmtId="43" fontId="0" fillId="0" borderId="0" xfId="1" applyNumberFormat="1" applyFont="1"/>
    <xf numFmtId="10" fontId="0" fillId="0" borderId="0" xfId="3" applyNumberFormat="1" applyFont="1"/>
    <xf numFmtId="43" fontId="0" fillId="0" borderId="0" xfId="1" applyFont="1"/>
    <xf numFmtId="0" fontId="5" fillId="0" borderId="0" xfId="0" applyFont="1"/>
    <xf numFmtId="41" fontId="0" fillId="0" borderId="0" xfId="0" applyNumberFormat="1" applyBorder="1"/>
    <xf numFmtId="41" fontId="0" fillId="0" borderId="4" xfId="0" applyNumberFormat="1" applyBorder="1"/>
    <xf numFmtId="164" fontId="0" fillId="0" borderId="0" xfId="0" applyNumberFormat="1"/>
    <xf numFmtId="0" fontId="0" fillId="0" borderId="0" xfId="0" applyBorder="1" applyAlignment="1">
      <alignment horizontal="left"/>
    </xf>
    <xf numFmtId="166" fontId="0" fillId="0" borderId="0" xfId="2" applyNumberFormat="1" applyFont="1"/>
    <xf numFmtId="0" fontId="0" fillId="0" borderId="0" xfId="0" applyBorder="1" applyAlignment="1">
      <alignment wrapText="1"/>
    </xf>
    <xf numFmtId="166" fontId="0" fillId="0" borderId="0" xfId="2" applyNumberFormat="1" applyFont="1" applyBorder="1" applyAlignment="1">
      <alignment horizontal="left" indent="2"/>
    </xf>
    <xf numFmtId="0" fontId="1" fillId="0" borderId="3" xfId="0" applyFont="1" applyBorder="1"/>
    <xf numFmtId="49" fontId="0" fillId="0" borderId="0" xfId="2" applyNumberFormat="1" applyFont="1" applyBorder="1"/>
    <xf numFmtId="0" fontId="1" fillId="0" borderId="2" xfId="0" applyFont="1" applyBorder="1" applyAlignment="1">
      <alignment horizontal="center"/>
    </xf>
    <xf numFmtId="165" fontId="1" fillId="0" borderId="0" xfId="1" applyNumberFormat="1" applyFont="1" applyBorder="1"/>
    <xf numFmtId="167" fontId="1" fillId="0" borderId="0" xfId="0" applyNumberFormat="1" applyFont="1" applyBorder="1"/>
    <xf numFmtId="0" fontId="1" fillId="0" borderId="2" xfId="0" applyFont="1" applyBorder="1"/>
    <xf numFmtId="0" fontId="6" fillId="0" borderId="0" xfId="0" quotePrefix="1" applyFont="1"/>
    <xf numFmtId="0" fontId="0" fillId="0" borderId="0" xfId="0" applyFill="1" applyBorder="1"/>
    <xf numFmtId="0" fontId="0" fillId="0" borderId="0" xfId="0" applyFill="1"/>
    <xf numFmtId="165" fontId="4" fillId="0" borderId="6" xfId="1" applyNumberFormat="1" applyFont="1" applyBorder="1"/>
    <xf numFmtId="0" fontId="4" fillId="0" borderId="0" xfId="0" applyFont="1" applyBorder="1"/>
    <xf numFmtId="41" fontId="7" fillId="0" borderId="0" xfId="0" applyNumberFormat="1" applyFont="1" applyBorder="1"/>
    <xf numFmtId="166" fontId="7" fillId="0" borderId="0" xfId="2" applyNumberFormat="1" applyFont="1" applyBorder="1"/>
    <xf numFmtId="166" fontId="4" fillId="0" borderId="0" xfId="2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/>
    <xf numFmtId="43" fontId="0" fillId="0" borderId="0" xfId="0" applyNumberFormat="1" applyFill="1"/>
    <xf numFmtId="0" fontId="9" fillId="0" borderId="0" xfId="0" applyFont="1"/>
    <xf numFmtId="165" fontId="4" fillId="0" borderId="2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1" fillId="0" borderId="0" xfId="0" applyNumberFormat="1" applyFont="1"/>
    <xf numFmtId="165" fontId="4" fillId="0" borderId="0" xfId="1" applyNumberFormat="1" applyFont="1" applyFill="1"/>
    <xf numFmtId="165" fontId="4" fillId="0" borderId="0" xfId="1" applyNumberFormat="1" applyFont="1" applyFill="1" applyBorder="1"/>
    <xf numFmtId="166" fontId="0" fillId="0" borderId="0" xfId="0" applyNumberForma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1" fillId="0" borderId="0" xfId="0" applyFont="1" applyFill="1"/>
    <xf numFmtId="165" fontId="0" fillId="0" borderId="2" xfId="0" applyNumberFormat="1" applyBorder="1"/>
    <xf numFmtId="165" fontId="0" fillId="0" borderId="2" xfId="1" applyNumberFormat="1" applyFont="1" applyBorder="1"/>
    <xf numFmtId="0" fontId="0" fillId="0" borderId="2" xfId="0" applyFill="1" applyBorder="1" applyAlignment="1">
      <alignment horizontal="center"/>
    </xf>
    <xf numFmtId="0" fontId="4" fillId="0" borderId="0" xfId="0" applyFont="1" applyFill="1"/>
    <xf numFmtId="166" fontId="1" fillId="0" borderId="0" xfId="2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164" fontId="11" fillId="0" borderId="0" xfId="1" applyNumberFormat="1" applyFont="1" applyFill="1" applyBorder="1"/>
    <xf numFmtId="0" fontId="11" fillId="0" borderId="0" xfId="0" applyFont="1" applyFill="1"/>
    <xf numFmtId="165" fontId="11" fillId="0" borderId="0" xfId="0" applyNumberFormat="1" applyFont="1" applyFill="1" applyBorder="1"/>
    <xf numFmtId="41" fontId="11" fillId="0" borderId="0" xfId="0" applyNumberFormat="1" applyFont="1" applyFill="1" applyBorder="1"/>
    <xf numFmtId="43" fontId="11" fillId="0" borderId="0" xfId="1" applyNumberFormat="1" applyFont="1" applyFill="1" applyBorder="1"/>
    <xf numFmtId="165" fontId="11" fillId="0" borderId="0" xfId="0" applyNumberFormat="1" applyFont="1" applyFill="1"/>
    <xf numFmtId="41" fontId="11" fillId="0" borderId="0" xfId="0" applyNumberFormat="1" applyFont="1" applyBorder="1"/>
    <xf numFmtId="0" fontId="11" fillId="0" borderId="4" xfId="0" applyFont="1" applyFill="1" applyBorder="1"/>
    <xf numFmtId="165" fontId="11" fillId="0" borderId="4" xfId="0" applyNumberFormat="1" applyFont="1" applyFill="1" applyBorder="1"/>
    <xf numFmtId="41" fontId="11" fillId="0" borderId="4" xfId="0" applyNumberFormat="1" applyFont="1" applyBorder="1"/>
    <xf numFmtId="43" fontId="11" fillId="0" borderId="4" xfId="1" applyNumberFormat="1" applyFont="1" applyFill="1" applyBorder="1"/>
    <xf numFmtId="165" fontId="11" fillId="0" borderId="0" xfId="0" applyNumberFormat="1" applyFont="1"/>
    <xf numFmtId="0" fontId="11" fillId="0" borderId="0" xfId="0" quotePrefix="1" applyFont="1"/>
    <xf numFmtId="43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6" fontId="1" fillId="0" borderId="0" xfId="2" applyNumberFormat="1" applyFont="1" applyBorder="1" applyAlignment="1">
      <alignment horizontal="center"/>
    </xf>
    <xf numFmtId="10" fontId="1" fillId="0" borderId="0" xfId="3" applyNumberFormat="1" applyFont="1" applyBorder="1"/>
    <xf numFmtId="43" fontId="1" fillId="0" borderId="0" xfId="0" applyNumberFormat="1" applyFont="1" applyBorder="1"/>
    <xf numFmtId="165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5" fontId="1" fillId="0" borderId="0" xfId="0" applyNumberFormat="1" applyFont="1" applyBorder="1"/>
    <xf numFmtId="43" fontId="1" fillId="0" borderId="0" xfId="1" applyNumberFormat="1" applyFont="1" applyBorder="1"/>
    <xf numFmtId="165" fontId="1" fillId="0" borderId="4" xfId="0" applyNumberFormat="1" applyFont="1" applyBorder="1"/>
    <xf numFmtId="165" fontId="1" fillId="0" borderId="4" xfId="1" applyNumberFormat="1" applyFont="1" applyBorder="1" applyAlignment="1">
      <alignment horizontal="center"/>
    </xf>
    <xf numFmtId="165" fontId="1" fillId="0" borderId="4" xfId="1" applyNumberFormat="1" applyFont="1" applyBorder="1"/>
    <xf numFmtId="43" fontId="1" fillId="0" borderId="4" xfId="1" applyNumberFormat="1" applyFont="1" applyBorder="1"/>
    <xf numFmtId="43" fontId="11" fillId="0" borderId="0" xfId="1" applyNumberFormat="1" applyFont="1" applyBorder="1"/>
    <xf numFmtId="42" fontId="1" fillId="0" borderId="0" xfId="2" applyNumberFormat="1" applyFont="1" applyBorder="1" applyAlignment="1">
      <alignment horizontal="center"/>
    </xf>
    <xf numFmtId="41" fontId="1" fillId="0" borderId="0" xfId="0" applyNumberFormat="1" applyFont="1" applyBorder="1"/>
    <xf numFmtId="165" fontId="11" fillId="0" borderId="0" xfId="0" applyNumberFormat="1" applyFont="1" applyBorder="1"/>
    <xf numFmtId="0" fontId="11" fillId="0" borderId="4" xfId="0" applyFont="1" applyBorder="1"/>
    <xf numFmtId="0" fontId="1" fillId="0" borderId="1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center"/>
    </xf>
    <xf numFmtId="0" fontId="12" fillId="0" borderId="0" xfId="0" applyFont="1"/>
    <xf numFmtId="0" fontId="12" fillId="0" borderId="4" xfId="0" applyFont="1" applyBorder="1"/>
    <xf numFmtId="165" fontId="1" fillId="0" borderId="0" xfId="1" applyNumberFormat="1" applyFont="1" applyFill="1"/>
    <xf numFmtId="165" fontId="1" fillId="0" borderId="0" xfId="1" applyNumberFormat="1" applyFont="1" applyFill="1" applyBorder="1"/>
    <xf numFmtId="165" fontId="1" fillId="0" borderId="4" xfId="1" applyNumberFormat="1" applyFont="1" applyFill="1" applyBorder="1"/>
    <xf numFmtId="0" fontId="0" fillId="0" borderId="1" xfId="0" applyBorder="1" applyAlignment="1">
      <alignment horizontal="center" vertical="center"/>
    </xf>
    <xf numFmtId="0" fontId="1" fillId="0" borderId="0" xfId="0" quotePrefix="1" applyFont="1" applyBorder="1"/>
    <xf numFmtId="0" fontId="1" fillId="0" borderId="0" xfId="0" quotePrefix="1" applyFont="1" applyFill="1"/>
    <xf numFmtId="165" fontId="1" fillId="0" borderId="0" xfId="1" applyNumberFormat="1" applyFont="1" applyFill="1" applyBorder="1" applyAlignment="1">
      <alignment horizontal="center"/>
    </xf>
    <xf numFmtId="43" fontId="1" fillId="0" borderId="0" xfId="1" applyNumberFormat="1" applyFont="1" applyFill="1" applyBorder="1"/>
    <xf numFmtId="0" fontId="6" fillId="0" borderId="0" xfId="0" quotePrefix="1" applyFont="1" applyFill="1"/>
    <xf numFmtId="41" fontId="4" fillId="0" borderId="0" xfId="0" applyNumberFormat="1" applyFont="1" applyFill="1" applyBorder="1"/>
    <xf numFmtId="41" fontId="4" fillId="0" borderId="4" xfId="0" applyNumberFormat="1" applyFont="1" applyFill="1" applyBorder="1"/>
    <xf numFmtId="43" fontId="11" fillId="0" borderId="0" xfId="0" applyNumberFormat="1" applyFont="1" applyFill="1" applyBorder="1"/>
    <xf numFmtId="166" fontId="4" fillId="0" borderId="0" xfId="2" applyNumberFormat="1" applyFont="1" applyFill="1" applyBorder="1" applyAlignment="1">
      <alignment horizontal="center"/>
    </xf>
    <xf numFmtId="10" fontId="0" fillId="0" borderId="0" xfId="3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5" fontId="0" fillId="0" borderId="0" xfId="0" applyNumberFormat="1" applyFill="1"/>
    <xf numFmtId="165" fontId="1" fillId="0" borderId="0" xfId="1" applyNumberFormat="1" applyFont="1" applyFill="1" applyBorder="1" applyAlignment="1">
      <alignment horizontal="righ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10" fontId="1" fillId="0" borderId="0" xfId="3" applyNumberFormat="1" applyFont="1" applyFill="1" applyBorder="1"/>
    <xf numFmtId="164" fontId="1" fillId="0" borderId="0" xfId="1" applyNumberFormat="1" applyFont="1" applyFill="1" applyBorder="1"/>
    <xf numFmtId="0" fontId="4" fillId="0" borderId="0" xfId="0" applyFont="1" applyFill="1" applyAlignment="1">
      <alignment horizontal="right"/>
    </xf>
    <xf numFmtId="43" fontId="4" fillId="0" borderId="0" xfId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center"/>
    </xf>
    <xf numFmtId="0" fontId="4" fillId="0" borderId="2" xfId="0" applyFont="1" applyFill="1" applyBorder="1"/>
    <xf numFmtId="43" fontId="4" fillId="0" borderId="2" xfId="1" applyFont="1" applyFill="1" applyBorder="1" applyAlignment="1">
      <alignment horizontal="center"/>
    </xf>
    <xf numFmtId="166" fontId="4" fillId="0" borderId="0" xfId="2" applyNumberFormat="1" applyFont="1" applyFill="1" applyAlignment="1">
      <alignment horizontal="left" indent="2"/>
    </xf>
    <xf numFmtId="166" fontId="4" fillId="0" borderId="0" xfId="2" applyNumberFormat="1" applyFont="1" applyFill="1" applyBorder="1" applyAlignment="1">
      <alignment horizontal="right"/>
    </xf>
    <xf numFmtId="10" fontId="4" fillId="0" borderId="0" xfId="3" applyNumberFormat="1" applyFont="1" applyFill="1" applyBorder="1"/>
    <xf numFmtId="0" fontId="4" fillId="0" borderId="0" xfId="0" applyFont="1" applyFill="1" applyBorder="1" applyAlignment="1">
      <alignment horizontal="right"/>
    </xf>
    <xf numFmtId="43" fontId="4" fillId="0" borderId="0" xfId="1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/>
    <xf numFmtId="41" fontId="4" fillId="0" borderId="0" xfId="0" applyNumberFormat="1" applyFont="1" applyFill="1"/>
    <xf numFmtId="0" fontId="4" fillId="0" borderId="4" xfId="0" applyFont="1" applyFill="1" applyBorder="1"/>
    <xf numFmtId="165" fontId="4" fillId="0" borderId="4" xfId="0" applyNumberFormat="1" applyFont="1" applyFill="1" applyBorder="1"/>
    <xf numFmtId="43" fontId="4" fillId="0" borderId="4" xfId="1" applyFont="1" applyFill="1" applyBorder="1"/>
    <xf numFmtId="0" fontId="0" fillId="0" borderId="0" xfId="0" quotePrefix="1" applyFill="1"/>
    <xf numFmtId="0" fontId="0" fillId="0" borderId="0" xfId="0" applyFill="1" applyAlignment="1">
      <alignment horizontal="right"/>
    </xf>
    <xf numFmtId="43" fontId="0" fillId="0" borderId="0" xfId="1" applyFont="1" applyFill="1"/>
    <xf numFmtId="3" fontId="1" fillId="0" borderId="0" xfId="0" applyNumberFormat="1" applyFont="1" applyFill="1"/>
    <xf numFmtId="3" fontId="1" fillId="0" borderId="4" xfId="0" applyNumberFormat="1" applyFont="1" applyFill="1" applyBorder="1"/>
    <xf numFmtId="166" fontId="1" fillId="0" borderId="0" xfId="2" applyNumberFormat="1" applyFont="1" applyFill="1"/>
    <xf numFmtId="0" fontId="1" fillId="0" borderId="0" xfId="0" applyFont="1" applyFill="1" applyAlignment="1">
      <alignment horizontal="centerContinuous"/>
    </xf>
    <xf numFmtId="0" fontId="3" fillId="0" borderId="0" xfId="0" applyFont="1" applyFill="1"/>
    <xf numFmtId="3" fontId="3" fillId="0" borderId="0" xfId="0" applyNumberFormat="1" applyFont="1" applyFill="1"/>
    <xf numFmtId="166" fontId="1" fillId="0" borderId="0" xfId="2" applyNumberFormat="1" applyFont="1" applyFill="1" applyBorder="1" applyAlignment="1">
      <alignment horizontal="left" indent="3"/>
    </xf>
    <xf numFmtId="0" fontId="4" fillId="0" borderId="0" xfId="0" applyFont="1" applyFill="1" applyBorder="1" applyAlignment="1"/>
    <xf numFmtId="166" fontId="4" fillId="0" borderId="2" xfId="0" applyNumberFormat="1" applyFont="1" applyBorder="1" applyAlignment="1">
      <alignment horizontal="center"/>
    </xf>
    <xf numFmtId="0" fontId="0" fillId="0" borderId="3" xfId="0" applyFill="1" applyBorder="1"/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65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1" fontId="12" fillId="0" borderId="0" xfId="0" applyNumberFormat="1" applyFont="1"/>
    <xf numFmtId="0" fontId="7" fillId="0" borderId="0" xfId="0" applyFont="1" applyFill="1" applyBorder="1"/>
    <xf numFmtId="0" fontId="0" fillId="0" borderId="0" xfId="0" applyFont="1"/>
    <xf numFmtId="165" fontId="4" fillId="0" borderId="2" xfId="1" applyNumberFormat="1" applyFont="1" applyBorder="1" applyAlignment="1">
      <alignment horizontal="center"/>
    </xf>
    <xf numFmtId="165" fontId="2" fillId="0" borderId="0" xfId="1" applyNumberFormat="1" applyFont="1" applyFill="1" applyBorder="1"/>
    <xf numFmtId="165" fontId="2" fillId="0" borderId="4" xfId="1" applyNumberFormat="1" applyFont="1" applyFill="1" applyBorder="1"/>
    <xf numFmtId="165" fontId="2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/>
    <xf numFmtId="165" fontId="2" fillId="0" borderId="0" xfId="1" applyNumberFormat="1" applyFont="1" applyBorder="1"/>
    <xf numFmtId="43" fontId="2" fillId="0" borderId="0" xfId="1" applyFont="1" applyBorder="1"/>
    <xf numFmtId="41" fontId="2" fillId="0" borderId="0" xfId="1" applyNumberFormat="1" applyFont="1" applyFill="1" applyProtection="1">
      <protection locked="0"/>
    </xf>
    <xf numFmtId="41" fontId="2" fillId="0" borderId="0" xfId="0" applyNumberFormat="1" applyFont="1" applyFill="1"/>
    <xf numFmtId="41" fontId="2" fillId="0" borderId="0" xfId="0" applyNumberFormat="1" applyFont="1" applyFill="1" applyBorder="1"/>
    <xf numFmtId="42" fontId="2" fillId="0" borderId="0" xfId="0" applyNumberFormat="1" applyFont="1" applyFill="1"/>
    <xf numFmtId="41" fontId="2" fillId="0" borderId="4" xfId="0" applyNumberFormat="1" applyFont="1" applyFill="1" applyBorder="1"/>
    <xf numFmtId="165" fontId="14" fillId="0" borderId="0" xfId="1" applyNumberFormat="1" applyFont="1" applyFill="1"/>
    <xf numFmtId="166" fontId="14" fillId="0" borderId="0" xfId="2" applyNumberFormat="1" applyFont="1" applyFill="1"/>
    <xf numFmtId="165" fontId="2" fillId="0" borderId="0" xfId="1" applyNumberFormat="1" applyFont="1" applyFill="1"/>
    <xf numFmtId="41" fontId="2" fillId="0" borderId="0" xfId="1" applyNumberFormat="1" applyFont="1" applyFill="1"/>
    <xf numFmtId="166" fontId="14" fillId="0" borderId="0" xfId="2" applyNumberFormat="1" applyFont="1" applyFill="1" applyAlignment="1">
      <alignment horizontal="left" indent="3"/>
    </xf>
    <xf numFmtId="3" fontId="2" fillId="0" borderId="0" xfId="0" applyNumberFormat="1" applyFont="1" applyFill="1"/>
    <xf numFmtId="3" fontId="2" fillId="0" borderId="4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6" fontId="2" fillId="0" borderId="0" xfId="2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3" xfId="0" applyFont="1" applyFill="1" applyBorder="1"/>
    <xf numFmtId="3" fontId="2" fillId="0" borderId="5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left" indent="2"/>
    </xf>
    <xf numFmtId="3" fontId="2" fillId="0" borderId="0" xfId="0" applyNumberFormat="1" applyFont="1" applyFill="1" applyAlignment="1">
      <alignment horizontal="left" indent="3"/>
    </xf>
    <xf numFmtId="0" fontId="2" fillId="0" borderId="0" xfId="0" applyFont="1" applyFill="1" applyAlignment="1">
      <alignment horizontal="left" indent="3"/>
    </xf>
    <xf numFmtId="165" fontId="2" fillId="0" borderId="0" xfId="0" applyNumberFormat="1" applyFont="1" applyFill="1"/>
    <xf numFmtId="168" fontId="2" fillId="0" borderId="0" xfId="0" applyNumberFormat="1" applyFont="1" applyFill="1"/>
    <xf numFmtId="169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/>
    <xf numFmtId="37" fontId="2" fillId="0" borderId="0" xfId="2" applyNumberFormat="1" applyFont="1" applyFill="1" applyBorder="1"/>
    <xf numFmtId="37" fontId="2" fillId="0" borderId="0" xfId="2" applyNumberFormat="1" applyFont="1" applyFill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6" fontId="2" fillId="0" borderId="0" xfId="2" applyNumberFormat="1" applyFont="1" applyFill="1" applyAlignment="1">
      <alignment horizontal="left" indent="2"/>
    </xf>
    <xf numFmtId="3" fontId="2" fillId="0" borderId="3" xfId="0" applyNumberFormat="1" applyFont="1" applyFill="1" applyBorder="1"/>
    <xf numFmtId="0" fontId="2" fillId="0" borderId="1" xfId="0" applyFont="1" applyFill="1" applyBorder="1"/>
    <xf numFmtId="3" fontId="2" fillId="0" borderId="7" xfId="0" applyNumberFormat="1" applyFon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42" fontId="2" fillId="0" borderId="0" xfId="2" applyNumberFormat="1" applyFont="1" applyFill="1" applyBorder="1" applyAlignment="1">
      <alignment horizontal="center"/>
    </xf>
    <xf numFmtId="42" fontId="2" fillId="0" borderId="0" xfId="2" applyNumberFormat="1" applyFont="1" applyFill="1" applyBorder="1" applyAlignment="1">
      <alignment horizontal="right"/>
    </xf>
    <xf numFmtId="42" fontId="2" fillId="0" borderId="0" xfId="1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166" fontId="2" fillId="0" borderId="0" xfId="2" applyNumberFormat="1" applyFont="1" applyFill="1" applyProtection="1">
      <protection locked="0"/>
    </xf>
    <xf numFmtId="44" fontId="2" fillId="0" borderId="0" xfId="2" applyFont="1" applyFill="1" applyBorder="1"/>
    <xf numFmtId="166" fontId="2" fillId="0" borderId="0" xfId="0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 wrapText="1"/>
    </xf>
    <xf numFmtId="166" fontId="2" fillId="0" borderId="0" xfId="2" applyNumberFormat="1" applyFont="1" applyFill="1"/>
    <xf numFmtId="42" fontId="2" fillId="0" borderId="0" xfId="2" applyNumberFormat="1" applyFont="1" applyFill="1"/>
    <xf numFmtId="166" fontId="2" fillId="0" borderId="0" xfId="2" applyNumberFormat="1" applyFont="1"/>
    <xf numFmtId="44" fontId="2" fillId="0" borderId="0" xfId="0" applyNumberFormat="1" applyFont="1" applyFill="1" applyProtection="1">
      <protection locked="0"/>
    </xf>
    <xf numFmtId="0" fontId="2" fillId="0" borderId="0" xfId="0" applyFont="1" applyFill="1" applyAlignment="1"/>
    <xf numFmtId="41" fontId="2" fillId="0" borderId="0" xfId="0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7" fontId="2" fillId="0" borderId="0" xfId="0" applyNumberFormat="1" applyFont="1" applyFill="1"/>
    <xf numFmtId="165" fontId="0" fillId="0" borderId="0" xfId="2" applyNumberFormat="1" applyFont="1" applyBorder="1" applyAlignment="1">
      <alignment horizontal="left" indent="2"/>
    </xf>
    <xf numFmtId="165" fontId="0" fillId="0" borderId="0" xfId="1" applyNumberFormat="1" applyFont="1" applyBorder="1" applyAlignment="1">
      <alignment horizontal="left" indent="2"/>
    </xf>
    <xf numFmtId="166" fontId="2" fillId="0" borderId="0" xfId="2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Continuous"/>
    </xf>
    <xf numFmtId="165" fontId="2" fillId="0" borderId="0" xfId="0" applyNumberFormat="1" applyFont="1"/>
    <xf numFmtId="44" fontId="2" fillId="0" borderId="0" xfId="2" applyFont="1" applyFill="1"/>
    <xf numFmtId="2" fontId="0" fillId="0" borderId="0" xfId="0" applyNumberFormat="1"/>
    <xf numFmtId="44" fontId="2" fillId="0" borderId="0" xfId="2" applyFont="1" applyFill="1" applyBorder="1" applyProtection="1">
      <protection locked="0"/>
    </xf>
    <xf numFmtId="44" fontId="0" fillId="0" borderId="0" xfId="2" applyFont="1"/>
    <xf numFmtId="49" fontId="0" fillId="0" borderId="0" xfId="2" applyNumberFormat="1" applyFont="1" applyFill="1" applyBorder="1"/>
    <xf numFmtId="166" fontId="0" fillId="0" borderId="0" xfId="2" applyNumberFormat="1" applyFont="1" applyFill="1" applyBorder="1"/>
    <xf numFmtId="43" fontId="2" fillId="0" borderId="3" xfId="1" applyFont="1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2" fontId="2" fillId="0" borderId="0" xfId="2" applyNumberFormat="1" applyFont="1" applyFill="1" applyBorder="1"/>
    <xf numFmtId="166" fontId="0" fillId="0" borderId="0" xfId="2" applyNumberFormat="1" applyFont="1" applyFill="1"/>
    <xf numFmtId="0" fontId="2" fillId="0" borderId="4" xfId="0" applyFont="1" applyBorder="1"/>
    <xf numFmtId="166" fontId="2" fillId="0" borderId="0" xfId="0" applyNumberFormat="1" applyFont="1" applyFill="1" applyBorder="1"/>
    <xf numFmtId="43" fontId="2" fillId="0" borderId="0" xfId="1" applyFont="1" applyFill="1" applyBorder="1" applyAlignment="1">
      <alignment wrapText="1"/>
    </xf>
    <xf numFmtId="165" fontId="2" fillId="0" borderId="4" xfId="0" applyNumberFormat="1" applyFont="1" applyFill="1" applyBorder="1"/>
    <xf numFmtId="0" fontId="0" fillId="0" borderId="0" xfId="0" applyBorder="1" applyAlignment="1"/>
    <xf numFmtId="166" fontId="2" fillId="0" borderId="0" xfId="2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3" fontId="4" fillId="0" borderId="0" xfId="0" applyNumberFormat="1" applyFont="1" applyFill="1"/>
    <xf numFmtId="165" fontId="0" fillId="0" borderId="0" xfId="1" applyNumberFormat="1" applyFont="1" applyFill="1" applyBorder="1"/>
    <xf numFmtId="44" fontId="0" fillId="0" borderId="0" xfId="2" applyFont="1" applyFill="1"/>
    <xf numFmtId="41" fontId="1" fillId="0" borderId="0" xfId="0" applyNumberFormat="1" applyFont="1" applyFill="1" applyBorder="1"/>
    <xf numFmtId="165" fontId="1" fillId="0" borderId="0" xfId="1" applyNumberFormat="1" applyFont="1" applyFill="1" applyProtection="1">
      <protection locked="0"/>
    </xf>
    <xf numFmtId="41" fontId="1" fillId="0" borderId="4" xfId="0" applyNumberFormat="1" applyFont="1" applyFill="1" applyBorder="1"/>
    <xf numFmtId="43" fontId="1" fillId="0" borderId="4" xfId="1" applyNumberFormat="1" applyFont="1" applyFill="1" applyBorder="1"/>
    <xf numFmtId="43" fontId="1" fillId="0" borderId="0" xfId="0" applyNumberFormat="1" applyFont="1" applyFill="1" applyBorder="1"/>
    <xf numFmtId="165" fontId="1" fillId="0" borderId="0" xfId="0" applyNumberFormat="1" applyFont="1" applyFill="1"/>
    <xf numFmtId="41" fontId="1" fillId="0" borderId="0" xfId="1" applyNumberFormat="1" applyFont="1" applyFill="1" applyBorder="1"/>
    <xf numFmtId="41" fontId="1" fillId="0" borderId="0" xfId="0" applyNumberFormat="1" applyFont="1" applyFill="1" applyBorder="1" applyAlignment="1"/>
    <xf numFmtId="171" fontId="1" fillId="0" borderId="0" xfId="0" applyNumberFormat="1" applyFont="1" applyFill="1" applyBorder="1"/>
    <xf numFmtId="165" fontId="1" fillId="0" borderId="0" xfId="1" applyNumberFormat="1" applyFont="1" applyFill="1" applyAlignment="1" applyProtection="1">
      <protection locked="0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8" fillId="0" borderId="0" xfId="4" applyAlignment="1" applyProtection="1"/>
    <xf numFmtId="0" fontId="1" fillId="0" borderId="0" xfId="0" applyFont="1" applyBorder="1" applyAlignment="1">
      <alignment horizontal="centerContinuous"/>
    </xf>
    <xf numFmtId="41" fontId="19" fillId="0" borderId="0" xfId="0" applyNumberFormat="1" applyFont="1" applyFill="1" applyBorder="1"/>
    <xf numFmtId="165" fontId="19" fillId="0" borderId="0" xfId="1" applyNumberFormat="1" applyFont="1" applyFill="1" applyProtection="1">
      <protection locked="0"/>
    </xf>
    <xf numFmtId="0" fontId="19" fillId="0" borderId="0" xfId="0" applyFont="1" applyFill="1"/>
    <xf numFmtId="165" fontId="19" fillId="0" borderId="0" xfId="1" applyNumberFormat="1" applyFont="1" applyFill="1"/>
    <xf numFmtId="165" fontId="19" fillId="0" borderId="4" xfId="1" applyNumberFormat="1" applyFont="1" applyFill="1" applyBorder="1"/>
    <xf numFmtId="165" fontId="19" fillId="0" borderId="0" xfId="1" applyNumberFormat="1" applyFont="1" applyFill="1" applyBorder="1"/>
    <xf numFmtId="41" fontId="19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41" fontId="19" fillId="0" borderId="0" xfId="1" applyNumberFormat="1" applyFont="1" applyFill="1" applyBorder="1"/>
    <xf numFmtId="41" fontId="19" fillId="0" borderId="0" xfId="0" applyNumberFormat="1" applyFont="1" applyFill="1" applyBorder="1" applyAlignment="1"/>
    <xf numFmtId="43" fontId="19" fillId="0" borderId="0" xfId="1" applyNumberFormat="1" applyFont="1" applyFill="1" applyAlignment="1" applyProtection="1">
      <protection locked="0"/>
    </xf>
    <xf numFmtId="3" fontId="19" fillId="0" borderId="0" xfId="0" applyNumberFormat="1" applyFont="1" applyFill="1" applyAlignment="1" applyProtection="1">
      <protection locked="0"/>
    </xf>
    <xf numFmtId="165" fontId="19" fillId="0" borderId="0" xfId="1" applyNumberFormat="1" applyFont="1" applyFill="1" applyBorder="1" applyProtection="1">
      <protection locked="0"/>
    </xf>
    <xf numFmtId="41" fontId="19" fillId="0" borderId="0" xfId="1" applyNumberFormat="1" applyFont="1" applyFill="1"/>
    <xf numFmtId="0" fontId="19" fillId="0" borderId="0" xfId="0" applyFont="1"/>
    <xf numFmtId="166" fontId="19" fillId="0" borderId="0" xfId="2" applyNumberFormat="1" applyFont="1" applyFill="1" applyAlignment="1">
      <alignment horizontal="left" indent="3"/>
    </xf>
    <xf numFmtId="165" fontId="19" fillId="0" borderId="0" xfId="0" applyNumberFormat="1" applyFont="1" applyFill="1" applyBorder="1"/>
    <xf numFmtId="0" fontId="19" fillId="0" borderId="0" xfId="0" applyFont="1" applyFill="1" applyBorder="1"/>
    <xf numFmtId="165" fontId="19" fillId="0" borderId="0" xfId="1" applyNumberFormat="1" applyFont="1" applyFill="1" applyAlignment="1">
      <alignment horizontal="right" vertical="top"/>
    </xf>
    <xf numFmtId="43" fontId="19" fillId="0" borderId="0" xfId="1" applyFont="1"/>
    <xf numFmtId="3" fontId="1" fillId="0" borderId="0" xfId="0" applyNumberFormat="1" applyFont="1" applyFill="1" applyBorder="1"/>
    <xf numFmtId="43" fontId="1" fillId="0" borderId="0" xfId="1" applyNumberFormat="1" applyFont="1" applyFill="1" applyAlignment="1" applyProtection="1">
      <protection locked="0"/>
    </xf>
    <xf numFmtId="3" fontId="1" fillId="0" borderId="0" xfId="0" applyNumberFormat="1" applyFont="1" applyFill="1" applyAlignment="1" applyProtection="1">
      <protection locked="0"/>
    </xf>
    <xf numFmtId="43" fontId="1" fillId="0" borderId="4" xfId="1" applyFont="1" applyFill="1" applyBorder="1" applyAlignment="1" applyProtection="1">
      <protection locked="0"/>
    </xf>
    <xf numFmtId="41" fontId="1" fillId="0" borderId="0" xfId="1" applyNumberFormat="1" applyFont="1" applyFill="1"/>
    <xf numFmtId="165" fontId="20" fillId="0" borderId="0" xfId="1" applyNumberFormat="1" applyFont="1" applyFill="1"/>
    <xf numFmtId="165" fontId="20" fillId="0" borderId="0" xfId="1" applyNumberFormat="1" applyFont="1" applyFill="1" applyProtection="1">
      <protection locked="0"/>
    </xf>
    <xf numFmtId="41" fontId="20" fillId="0" borderId="0" xfId="1" applyNumberFormat="1" applyFont="1" applyFill="1"/>
    <xf numFmtId="41" fontId="1" fillId="0" borderId="0" xfId="0" applyNumberFormat="1" applyFont="1" applyFill="1" applyAlignment="1"/>
    <xf numFmtId="4" fontId="1" fillId="0" borderId="0" xfId="0" applyNumberFormat="1" applyFont="1" applyFill="1"/>
    <xf numFmtId="43" fontId="1" fillId="0" borderId="0" xfId="1" applyFont="1" applyFill="1"/>
    <xf numFmtId="37" fontId="1" fillId="0" borderId="0" xfId="2" applyNumberFormat="1" applyFont="1" applyFill="1"/>
    <xf numFmtId="3" fontId="1" fillId="0" borderId="0" xfId="0" applyNumberFormat="1" applyFont="1" applyFill="1" applyAlignment="1"/>
    <xf numFmtId="0" fontId="18" fillId="0" borderId="0" xfId="4" applyFill="1" applyBorder="1" applyAlignment="1" applyProtection="1"/>
    <xf numFmtId="165" fontId="1" fillId="0" borderId="2" xfId="0" applyNumberFormat="1" applyFont="1" applyBorder="1"/>
    <xf numFmtId="0" fontId="1" fillId="0" borderId="0" xfId="0" applyFont="1" applyFill="1" applyAlignment="1">
      <alignment horizontal="left"/>
    </xf>
    <xf numFmtId="3" fontId="1" fillId="0" borderId="0" xfId="0" quotePrefix="1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/>
    <xf numFmtId="165" fontId="1" fillId="0" borderId="0" xfId="1" applyNumberFormat="1" applyFont="1"/>
    <xf numFmtId="41" fontId="1" fillId="0" borderId="0" xfId="0" applyNumberFormat="1" applyFont="1" applyFill="1"/>
    <xf numFmtId="42" fontId="1" fillId="0" borderId="0" xfId="0" applyNumberFormat="1" applyFont="1" applyFill="1"/>
    <xf numFmtId="43" fontId="1" fillId="0" borderId="0" xfId="2" applyNumberFormat="1" applyFont="1" applyFill="1"/>
    <xf numFmtId="43" fontId="1" fillId="0" borderId="4" xfId="2" applyNumberFormat="1" applyFont="1" applyFill="1" applyBorder="1"/>
    <xf numFmtId="165" fontId="1" fillId="0" borderId="0" xfId="1" applyNumberFormat="1" applyFont="1" applyFill="1" applyBorder="1" applyProtection="1">
      <protection locked="0"/>
    </xf>
    <xf numFmtId="165" fontId="1" fillId="0" borderId="0" xfId="1" applyNumberFormat="1" applyFont="1" applyFill="1" applyAlignment="1" applyProtection="1">
      <alignment horizontal="right"/>
      <protection locked="0"/>
    </xf>
    <xf numFmtId="165" fontId="1" fillId="0" borderId="4" xfId="1" applyNumberFormat="1" applyFont="1" applyFill="1" applyBorder="1" applyAlignment="1"/>
    <xf numFmtId="165" fontId="1" fillId="0" borderId="4" xfId="1" applyNumberFormat="1" applyFont="1" applyFill="1" applyBorder="1" applyAlignment="1" applyProtection="1">
      <protection locked="0"/>
    </xf>
    <xf numFmtId="41" fontId="1" fillId="0" borderId="4" xfId="1" applyNumberFormat="1" applyFont="1" applyFill="1" applyBorder="1"/>
    <xf numFmtId="166" fontId="1" fillId="0" borderId="0" xfId="2" applyNumberFormat="1" applyFont="1" applyFill="1" applyAlignment="1">
      <alignment horizontal="left" indent="3"/>
    </xf>
    <xf numFmtId="43" fontId="1" fillId="0" borderId="0" xfId="1" applyNumberFormat="1" applyFont="1" applyFill="1"/>
    <xf numFmtId="41" fontId="1" fillId="0" borderId="0" xfId="2" applyNumberFormat="1" applyFont="1" applyFill="1" applyProtection="1">
      <protection locked="0"/>
    </xf>
    <xf numFmtId="41" fontId="1" fillId="0" borderId="4" xfId="0" applyNumberFormat="1" applyFont="1" applyFill="1" applyBorder="1" applyAlignment="1"/>
    <xf numFmtId="41" fontId="1" fillId="0" borderId="0" xfId="0" quotePrefix="1" applyNumberFormat="1" applyFont="1" applyFill="1" applyAlignment="1">
      <alignment horizontal="right"/>
    </xf>
    <xf numFmtId="41" fontId="1" fillId="0" borderId="0" xfId="0" applyNumberFormat="1" applyFont="1" applyFill="1" applyBorder="1" applyAlignment="1" applyProtection="1">
      <alignment horizontal="center" vertical="center"/>
      <protection locked="0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quotePrefix="1" applyNumberFormat="1" applyFont="1" applyFill="1" applyBorder="1"/>
    <xf numFmtId="165" fontId="1" fillId="0" borderId="0" xfId="1" applyNumberFormat="1" applyFont="1" applyFill="1" applyBorder="1" applyAlignment="1">
      <alignment horizontal="right"/>
    </xf>
    <xf numFmtId="42" fontId="1" fillId="0" borderId="0" xfId="2" applyNumberFormat="1" applyFont="1" applyFill="1"/>
    <xf numFmtId="37" fontId="2" fillId="0" borderId="0" xfId="2" applyNumberFormat="1" applyFont="1" applyFill="1" applyBorder="1" applyAlignment="1">
      <alignment horizontal="right"/>
    </xf>
    <xf numFmtId="165" fontId="1" fillId="0" borderId="0" xfId="1" applyNumberFormat="1" applyFont="1" applyFill="1" applyAlignment="1">
      <alignment horizontal="right" vertical="top"/>
    </xf>
    <xf numFmtId="165" fontId="1" fillId="0" borderId="0" xfId="1" applyNumberFormat="1" applyFont="1" applyFill="1" applyAlignment="1" applyProtection="1">
      <alignment horizontal="left" indent="2"/>
      <protection locked="0"/>
    </xf>
    <xf numFmtId="43" fontId="1" fillId="0" borderId="0" xfId="1" applyFont="1" applyFill="1" applyBorder="1"/>
    <xf numFmtId="41" fontId="1" fillId="0" borderId="0" xfId="1" applyNumberFormat="1" applyFont="1" applyFill="1" applyProtection="1">
      <protection locked="0"/>
    </xf>
    <xf numFmtId="165" fontId="1" fillId="0" borderId="4" xfId="0" applyNumberFormat="1" applyFont="1" applyFill="1" applyBorder="1"/>
    <xf numFmtId="165" fontId="1" fillId="0" borderId="4" xfId="1" applyNumberFormat="1" applyFont="1" applyFill="1" applyBorder="1" applyProtection="1">
      <protection locked="0"/>
    </xf>
    <xf numFmtId="165" fontId="1" fillId="0" borderId="4" xfId="1" applyNumberFormat="1" applyFont="1" applyFill="1" applyBorder="1" applyAlignment="1">
      <alignment horizontal="right"/>
    </xf>
    <xf numFmtId="165" fontId="1" fillId="0" borderId="4" xfId="1" applyNumberFormat="1" applyFont="1" applyFill="1" applyBorder="1" applyAlignment="1">
      <alignment horizontal="right" vertical="top"/>
    </xf>
    <xf numFmtId="165" fontId="0" fillId="0" borderId="0" xfId="0" applyNumberForma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0" fontId="11" fillId="0" borderId="0" xfId="0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1" fillId="0" borderId="5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/>
    <xf numFmtId="165" fontId="11" fillId="0" borderId="2" xfId="1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166" fontId="11" fillId="0" borderId="0" xfId="2" applyNumberFormat="1" applyFont="1" applyFill="1" applyBorder="1" applyAlignment="1">
      <alignment horizontal="center"/>
    </xf>
    <xf numFmtId="42" fontId="11" fillId="0" borderId="0" xfId="2" applyNumberFormat="1" applyFont="1" applyFill="1" applyBorder="1" applyAlignment="1">
      <alignment horizontal="center"/>
    </xf>
    <xf numFmtId="10" fontId="11" fillId="0" borderId="0" xfId="3" applyNumberFormat="1" applyFont="1" applyFill="1" applyBorder="1"/>
    <xf numFmtId="44" fontId="0" fillId="0" borderId="0" xfId="2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/>
    <xf numFmtId="43" fontId="2" fillId="0" borderId="0" xfId="1" applyNumberFormat="1" applyFont="1" applyFill="1" applyBorder="1"/>
    <xf numFmtId="43" fontId="2" fillId="0" borderId="4" xfId="1" applyNumberFormat="1" applyFont="1" applyFill="1" applyBorder="1"/>
    <xf numFmtId="0" fontId="1" fillId="0" borderId="0" xfId="0" quotePrefix="1" applyFont="1" applyFill="1" applyBorder="1"/>
    <xf numFmtId="0" fontId="6" fillId="0" borderId="0" xfId="0" applyFont="1" applyFill="1"/>
    <xf numFmtId="0" fontId="11" fillId="0" borderId="0" xfId="0" quotePrefix="1" applyFont="1" applyFill="1"/>
    <xf numFmtId="44" fontId="11" fillId="0" borderId="0" xfId="1" applyNumberFormat="1" applyFont="1" applyFill="1" applyBorder="1" applyAlignment="1">
      <alignment horizontal="center"/>
    </xf>
    <xf numFmtId="41" fontId="0" fillId="0" borderId="0" xfId="0" applyNumberFormat="1" applyFill="1" applyBorder="1"/>
    <xf numFmtId="41" fontId="13" fillId="0" borderId="0" xfId="0" quotePrefix="1" applyNumberFormat="1" applyFont="1" applyFill="1" applyBorder="1"/>
    <xf numFmtId="42" fontId="1" fillId="0" borderId="0" xfId="2" applyNumberFormat="1" applyFont="1" applyFill="1" applyBorder="1" applyAlignment="1">
      <alignment horizontal="center"/>
    </xf>
    <xf numFmtId="3" fontId="1" fillId="0" borderId="0" xfId="1" applyNumberFormat="1" applyFont="1" applyFill="1" applyBorder="1"/>
    <xf numFmtId="3" fontId="19" fillId="0" borderId="0" xfId="1" applyNumberFormat="1" applyFont="1" applyFill="1" applyBorder="1"/>
    <xf numFmtId="3" fontId="1" fillId="0" borderId="0" xfId="1" applyNumberFormat="1" applyFont="1" applyFill="1" applyProtection="1">
      <protection locked="0"/>
    </xf>
    <xf numFmtId="3" fontId="1" fillId="0" borderId="4" xfId="1" applyNumberFormat="1" applyFont="1" applyFill="1" applyBorder="1"/>
    <xf numFmtId="3" fontId="1" fillId="0" borderId="4" xfId="1" applyNumberFormat="1" applyFont="1" applyFill="1" applyBorder="1" applyProtection="1">
      <protection locked="0"/>
    </xf>
    <xf numFmtId="0" fontId="16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37" fontId="1" fillId="0" borderId="0" xfId="1" applyNumberFormat="1" applyFont="1" applyBorder="1"/>
    <xf numFmtId="37" fontId="1" fillId="0" borderId="2" xfId="1" applyNumberFormat="1" applyFont="1" applyBorder="1"/>
    <xf numFmtId="41" fontId="1" fillId="0" borderId="0" xfId="1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Alignment="1" applyProtection="1">
      <alignment vertical="center"/>
      <protection locked="0"/>
    </xf>
    <xf numFmtId="41" fontId="19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 wrapText="1"/>
    </xf>
    <xf numFmtId="41" fontId="1" fillId="0" borderId="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/>
    <xf numFmtId="37" fontId="2" fillId="0" borderId="0" xfId="0" applyNumberFormat="1" applyFont="1" applyFill="1"/>
    <xf numFmtId="165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5" fontId="1" fillId="0" borderId="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1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2" fillId="0" borderId="15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16" xfId="1" applyNumberFormat="1" applyFont="1" applyFill="1" applyBorder="1" applyAlignment="1">
      <alignment horizontal="center"/>
    </xf>
    <xf numFmtId="165" fontId="2" fillId="0" borderId="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 wrapText="1"/>
    </xf>
    <xf numFmtId="0" fontId="0" fillId="0" borderId="7" xfId="0" applyBorder="1" applyAlignment="1"/>
    <xf numFmtId="0" fontId="0" fillId="0" borderId="0" xfId="0" applyAlignment="1">
      <alignment horizont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2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0" fillId="0" borderId="2" xfId="0" applyBorder="1" applyAlignment="1">
      <alignment vertical="justify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census.gov/" TargetMode="External"/><Relationship Id="rId1" Type="http://schemas.openxmlformats.org/officeDocument/2006/relationships/hyperlink" Target="http://www.dat.state.md.us/sdatweb/stats/AnnualRpt_20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showRowColHeaders="0" tabSelected="1" zoomScaleNormal="100" workbookViewId="0">
      <selection activeCell="A2" sqref="A2:L2"/>
    </sheetView>
  </sheetViews>
  <sheetFormatPr defaultRowHeight="12.75"/>
  <cols>
    <col min="1" max="1" width="14.140625" style="83" bestFit="1" customWidth="1"/>
    <col min="2" max="2" width="15.5703125" style="83" customWidth="1"/>
    <col min="3" max="3" width="14.85546875" style="83" bestFit="1" customWidth="1"/>
    <col min="4" max="4" width="13.28515625" style="83" bestFit="1" customWidth="1"/>
    <col min="5" max="5" width="14.85546875" style="83" bestFit="1" customWidth="1"/>
    <col min="6" max="6" width="17.7109375" style="83" bestFit="1" customWidth="1"/>
    <col min="7" max="7" width="13.28515625" style="83" bestFit="1" customWidth="1"/>
    <col min="8" max="8" width="2.7109375" style="83" customWidth="1"/>
    <col min="9" max="12" width="9.140625" style="83"/>
  </cols>
  <sheetData>
    <row r="1" spans="1:60">
      <c r="A1" s="461" t="s">
        <v>85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60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1:60">
      <c r="A3" s="461" t="s">
        <v>261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</row>
    <row r="4" spans="1:60" ht="13.5" thickBot="1">
      <c r="A4" s="23"/>
      <c r="B4" s="98"/>
      <c r="C4" s="23"/>
      <c r="D4" s="23"/>
      <c r="E4" s="23"/>
      <c r="F4" s="23"/>
      <c r="G4" s="23"/>
      <c r="H4" s="23"/>
      <c r="I4" s="47"/>
      <c r="J4" s="23"/>
      <c r="K4" s="23"/>
      <c r="L4" s="23"/>
    </row>
    <row r="5" spans="1:60" ht="15" customHeight="1" thickTop="1">
      <c r="A5" s="99" t="s">
        <v>77</v>
      </c>
      <c r="B5" s="100" t="s">
        <v>43</v>
      </c>
      <c r="C5" s="459"/>
      <c r="D5" s="459"/>
      <c r="E5" s="460"/>
      <c r="F5" s="460"/>
      <c r="G5" s="99"/>
      <c r="H5" s="99"/>
      <c r="I5" s="459" t="s">
        <v>82</v>
      </c>
      <c r="J5" s="459"/>
      <c r="K5" s="459"/>
      <c r="L5" s="45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60">
      <c r="A6" s="32" t="s">
        <v>33</v>
      </c>
      <c r="B6" s="101" t="s">
        <v>83</v>
      </c>
      <c r="C6" s="458" t="s">
        <v>77</v>
      </c>
      <c r="D6" s="458"/>
      <c r="E6" s="102"/>
      <c r="F6" s="102"/>
      <c r="G6" s="101" t="s">
        <v>79</v>
      </c>
      <c r="H6" s="101"/>
      <c r="I6" s="103"/>
      <c r="J6" s="103"/>
      <c r="K6" s="103"/>
      <c r="L6" s="103" t="s">
        <v>141</v>
      </c>
    </row>
    <row r="7" spans="1:60" ht="13.5" thickBot="1">
      <c r="A7" s="52" t="s">
        <v>132</v>
      </c>
      <c r="B7" s="104" t="s">
        <v>84</v>
      </c>
      <c r="C7" s="49" t="s">
        <v>78</v>
      </c>
      <c r="D7" s="49" t="s">
        <v>214</v>
      </c>
      <c r="E7" s="49" t="s">
        <v>44</v>
      </c>
      <c r="F7" s="49" t="s">
        <v>51</v>
      </c>
      <c r="G7" s="49" t="s">
        <v>81</v>
      </c>
      <c r="H7" s="49"/>
      <c r="I7" s="104" t="s">
        <v>77</v>
      </c>
      <c r="J7" s="104" t="s">
        <v>44</v>
      </c>
      <c r="K7" s="105" t="s">
        <v>51</v>
      </c>
      <c r="L7" s="105" t="s">
        <v>81</v>
      </c>
    </row>
    <row r="8" spans="1:60">
      <c r="A8" s="32" t="s">
        <v>0</v>
      </c>
      <c r="B8" s="106">
        <f t="shared" ref="B8:G8" si="0">SUM(B10:B37)</f>
        <v>13873166474.529999</v>
      </c>
      <c r="C8" s="106">
        <f t="shared" si="0"/>
        <v>6630152798.1700001</v>
      </c>
      <c r="D8" s="106">
        <f t="shared" si="0"/>
        <v>275680803.71999997</v>
      </c>
      <c r="E8" s="106">
        <f t="shared" si="0"/>
        <v>6017134672.4399986</v>
      </c>
      <c r="F8" s="118">
        <f t="shared" si="0"/>
        <v>859324504.00999975</v>
      </c>
      <c r="G8" s="106">
        <f t="shared" si="0"/>
        <v>90873696.189999998</v>
      </c>
      <c r="H8" s="106"/>
      <c r="I8" s="107">
        <f>IF(B8&lt;&gt;0,((+C8+D8)/B8),(IF(C8&lt;&gt;0,1,0)))</f>
        <v>0.49778351716376701</v>
      </c>
      <c r="J8" s="107">
        <f>IF($B8&lt;&gt;0,(E8/$B8),(IF(E8&lt;&gt;0,1,0)))</f>
        <v>0.43372467875210513</v>
      </c>
      <c r="K8" s="107">
        <f>IF($B8&lt;&gt;0,(F8/$B8),(IF(F8&lt;&gt;0,1,0)))</f>
        <v>6.1941482904256169E-2</v>
      </c>
      <c r="L8" s="107">
        <f>IF($B8&lt;&gt;0,(G8/$B8),(IF(G8&lt;&gt;0,1,0)))</f>
        <v>6.55032117987171E-3</v>
      </c>
    </row>
    <row r="9" spans="1:60">
      <c r="A9" s="108"/>
      <c r="B9" s="109"/>
      <c r="C9" s="109"/>
      <c r="D9" s="30"/>
      <c r="E9" s="103"/>
      <c r="F9" s="103"/>
      <c r="G9" s="103"/>
      <c r="H9" s="103"/>
      <c r="I9" s="110"/>
      <c r="J9" s="110"/>
      <c r="K9" s="110"/>
      <c r="L9" s="110"/>
    </row>
    <row r="10" spans="1:60">
      <c r="A10" s="23" t="s">
        <v>1</v>
      </c>
      <c r="B10" s="72">
        <f t="shared" ref="B10:B28" si="1">SUM(C10:G10)</f>
        <v>136616047.63</v>
      </c>
      <c r="C10" s="109">
        <f>'table 2a'!C11+table4!C11+table5!C11</f>
        <v>28779656.309999999</v>
      </c>
      <c r="D10" s="30">
        <f>'table 2a'!D11+table4!D11+table5!D11+'table 6'!C12+'table 6'!D12+'table 6'!F12+'table 6'!E12</f>
        <v>3593830.8299999996</v>
      </c>
      <c r="E10" s="109">
        <f>'table 2a'!E11+table4!E11+table5!E11+'table 6'!G12</f>
        <v>89287115.699999988</v>
      </c>
      <c r="F10" s="30">
        <f>'table 2a'!F11+'table 6'!I12</f>
        <v>13610427.24</v>
      </c>
      <c r="G10" s="50">
        <f>table4!G11+table5!G11+'table 6'!K12</f>
        <v>1345017.55</v>
      </c>
      <c r="H10" s="111"/>
      <c r="I10" s="112">
        <f>IF(B10&lt;&gt;0,((+C10+D10)/B10*100),(IF(C10&lt;&gt;0,1,0)))</f>
        <v>23.696694276852281</v>
      </c>
      <c r="J10" s="112">
        <f t="shared" ref="J10:L14" si="2">IF($B10&lt;&gt;0,(E10/$B10*100),(IF(E10&lt;&gt;0,1,0)))</f>
        <v>65.356242732053033</v>
      </c>
      <c r="K10" s="112">
        <f t="shared" si="2"/>
        <v>9.9625391570845299</v>
      </c>
      <c r="L10" s="112">
        <f t="shared" si="2"/>
        <v>0.98452383401014376</v>
      </c>
    </row>
    <row r="11" spans="1:60">
      <c r="A11" s="23" t="s">
        <v>2</v>
      </c>
      <c r="B11" s="72">
        <f t="shared" si="1"/>
        <v>1161313959.1499999</v>
      </c>
      <c r="C11" s="109">
        <f>'table 2a'!C12+table4!C12+table5!C12</f>
        <v>614915576</v>
      </c>
      <c r="D11" s="30">
        <f>'table 2a'!D12+table4!D12+table5!D12+'table 6'!C13+'table 6'!D13+'table 6'!F13+'table 6'!E13</f>
        <v>14848445.859999999</v>
      </c>
      <c r="E11" s="109">
        <f>'table 2a'!E12+table4!E12+table5!E12+'table 6'!G13</f>
        <v>406093803.69</v>
      </c>
      <c r="F11" s="30">
        <f>'table 2a'!F12+'table 6'!I13</f>
        <v>55612914.600000009</v>
      </c>
      <c r="G11" s="50">
        <f>table4!G12+table5!G12+'table 6'!K13</f>
        <v>69843219</v>
      </c>
      <c r="H11" s="72"/>
      <c r="I11" s="112">
        <f>IF(B11&lt;&gt;0,((+C11+D11)/B11*100),(IF(C11&lt;&gt;0,1,0)))</f>
        <v>54.228575907323375</v>
      </c>
      <c r="J11" s="112">
        <f t="shared" si="2"/>
        <v>34.968476912757687</v>
      </c>
      <c r="K11" s="112">
        <f t="shared" si="2"/>
        <v>4.7887923986296306</v>
      </c>
      <c r="L11" s="112">
        <f t="shared" si="2"/>
        <v>6.014154781289319</v>
      </c>
    </row>
    <row r="12" spans="1:60">
      <c r="A12" s="23" t="s">
        <v>3</v>
      </c>
      <c r="B12" s="72">
        <f t="shared" si="1"/>
        <v>1474627824.5000002</v>
      </c>
      <c r="C12" s="109">
        <f>'table 2a'!C13+table4!C13+table5!C13</f>
        <v>254982926.34999999</v>
      </c>
      <c r="D12" s="30">
        <f>'table 2a'!D13+table4!D13+table5!D13+'table 6'!C14+'table 6'!D14+'table 6'!F14+'table 6'!E14</f>
        <v>17375053.079999998</v>
      </c>
      <c r="E12" s="109">
        <f>'table 2a'!E13+table4!E13+table5!E13+'table 6'!G14</f>
        <v>989582101.72000003</v>
      </c>
      <c r="F12" s="30">
        <f>'table 2a'!F13+'table 6'!I14</f>
        <v>203998892.92999998</v>
      </c>
      <c r="G12" s="50">
        <f>table4!G13+table5!G13+'table 6'!K14</f>
        <v>8688850.4199999999</v>
      </c>
      <c r="H12" s="72"/>
      <c r="I12" s="112">
        <f>IF(B12&lt;&gt;0,((+C12+D12)/B12*100),(IF(C12&lt;&gt;0,1,0)))</f>
        <v>18.469608053296298</v>
      </c>
      <c r="J12" s="112">
        <f t="shared" si="2"/>
        <v>67.107244640222092</v>
      </c>
      <c r="K12" s="112">
        <f t="shared" si="2"/>
        <v>13.833924027519931</v>
      </c>
      <c r="L12" s="112">
        <f t="shared" si="2"/>
        <v>0.58922327896166715</v>
      </c>
    </row>
    <row r="13" spans="1:60">
      <c r="A13" s="23" t="s">
        <v>4</v>
      </c>
      <c r="B13" s="72">
        <f t="shared" si="1"/>
        <v>1589760366.25</v>
      </c>
      <c r="C13" s="109">
        <f>'table 2a'!C14+table4!C14+table5!C14</f>
        <v>800850311</v>
      </c>
      <c r="D13" s="30">
        <f>'table 2a'!D14+table4!D14+table5!D14+'table 6'!C15+'table 6'!D15+'table 6'!F15+'table 6'!E15</f>
        <v>17918100.829999998</v>
      </c>
      <c r="E13" s="109">
        <f>'table 2a'!E14+table4!E14+table5!E14+'table 6'!G15</f>
        <v>680037359.90999997</v>
      </c>
      <c r="F13" s="30">
        <f>'table 2a'!F14+'table 6'!I15</f>
        <v>90954594.510000005</v>
      </c>
      <c r="G13" s="50">
        <f>table4!G14+table5!G14+'table 6'!K15</f>
        <v>0</v>
      </c>
      <c r="H13" s="72"/>
      <c r="I13" s="112">
        <f>IF(B13&lt;&gt;0,((+C13+D13)/B13*100),(IF(C13&lt;&gt;0,1,0)))</f>
        <v>51.502630787138614</v>
      </c>
      <c r="J13" s="112">
        <f t="shared" si="2"/>
        <v>42.776092192693383</v>
      </c>
      <c r="K13" s="112">
        <f t="shared" si="2"/>
        <v>5.7212770201680074</v>
      </c>
      <c r="L13" s="112">
        <f t="shared" si="2"/>
        <v>0</v>
      </c>
    </row>
    <row r="14" spans="1:60">
      <c r="A14" s="23" t="s">
        <v>5</v>
      </c>
      <c r="B14" s="72">
        <f t="shared" si="1"/>
        <v>245489488.92999998</v>
      </c>
      <c r="C14" s="109">
        <f>'table 2a'!C15+table4!C15+table5!C15</f>
        <v>121026583</v>
      </c>
      <c r="D14" s="30">
        <f>'table 2a'!D15+table4!D15+table5!D15+'table 6'!C16+'table 6'!D16+'table 6'!F16+'table 6'!E16</f>
        <v>7379318.4900000002</v>
      </c>
      <c r="E14" s="109">
        <f>'table 2a'!E15+table4!E15+table5!E15+'table 6'!G16</f>
        <v>106813121.66</v>
      </c>
      <c r="F14" s="30">
        <f>'table 2a'!F15+'table 6'!I16</f>
        <v>10270465.780000001</v>
      </c>
      <c r="G14" s="50">
        <f>table4!G15+table5!G15+'table 6'!K16</f>
        <v>0</v>
      </c>
      <c r="H14" s="72"/>
      <c r="I14" s="112">
        <f>IF(B14&lt;&gt;0,((+C14+D14)/B14*100),(IF(C14&lt;&gt;0,1,0)))</f>
        <v>52.306069009176291</v>
      </c>
      <c r="J14" s="112">
        <f t="shared" si="2"/>
        <v>43.510262751191433</v>
      </c>
      <c r="K14" s="112">
        <f t="shared" si="2"/>
        <v>4.1836682396322757</v>
      </c>
      <c r="L14" s="112">
        <f t="shared" si="2"/>
        <v>0</v>
      </c>
    </row>
    <row r="15" spans="1:60">
      <c r="A15" s="23"/>
      <c r="B15" s="72"/>
      <c r="C15" s="30"/>
      <c r="D15" s="30"/>
      <c r="E15" s="50"/>
      <c r="F15" s="30"/>
      <c r="G15" s="30"/>
      <c r="H15" s="72"/>
      <c r="I15" s="112"/>
      <c r="J15" s="112"/>
      <c r="K15" s="112"/>
      <c r="L15" s="112"/>
    </row>
    <row r="16" spans="1:60">
      <c r="A16" s="23" t="s">
        <v>6</v>
      </c>
      <c r="B16" s="72">
        <f t="shared" si="1"/>
        <v>72952204.379999995</v>
      </c>
      <c r="C16" s="109">
        <f>'table 2a'!C17+table4!C17+table5!C17</f>
        <v>12299444</v>
      </c>
      <c r="D16" s="30">
        <f>'table 2a'!D17+table4!D17+table5!D17+'table 6'!C18+'table 6'!D18+'table 6'!F18+'table 6'!E18</f>
        <v>3465527.5100000002</v>
      </c>
      <c r="E16" s="109">
        <f>'table 2a'!E17+table4!E17+table5!E17+'table 6'!G18</f>
        <v>47630956.390000001</v>
      </c>
      <c r="F16" s="30">
        <f>'table 2a'!F17+'table 6'!I18</f>
        <v>7181870.1999999993</v>
      </c>
      <c r="G16" s="50">
        <f>table4!G17+table5!G17+'table 6'!K18</f>
        <v>2374406.2799999998</v>
      </c>
      <c r="H16" s="72"/>
      <c r="I16" s="112">
        <f>IF(B16&lt;&gt;0,((+C16+D16)/B16*100),(IF(C16&lt;&gt;0,1,0)))</f>
        <v>21.610000196679458</v>
      </c>
      <c r="J16" s="112">
        <f t="shared" ref="J16:L20" si="3">IF($B16&lt;&gt;0,(E16/$B16*100),(IF(E16&lt;&gt;0,1,0)))</f>
        <v>65.29063349737261</v>
      </c>
      <c r="K16" s="112">
        <f t="shared" si="3"/>
        <v>9.8446239713202193</v>
      </c>
      <c r="L16" s="112">
        <f t="shared" si="3"/>
        <v>3.2547423346277227</v>
      </c>
    </row>
    <row r="17" spans="1:12">
      <c r="A17" s="23" t="s">
        <v>7</v>
      </c>
      <c r="B17" s="72">
        <f t="shared" si="1"/>
        <v>401261360.13999999</v>
      </c>
      <c r="C17" s="109">
        <f>'table 2a'!C18+table4!C18+table5!C18</f>
        <v>194227676.28999999</v>
      </c>
      <c r="D17" s="30">
        <f>'table 2a'!D18+table4!D18+table5!D18+'table 6'!C19+'table 6'!D19+'table 6'!F19+'table 6'!E19</f>
        <v>4867659.5</v>
      </c>
      <c r="E17" s="109">
        <f>'table 2a'!E18+table4!E18+table5!E18+'table 6'!G19</f>
        <v>181250336.15999997</v>
      </c>
      <c r="F17" s="30">
        <f>'table 2a'!F18+'table 6'!I19</f>
        <v>19852747.090000004</v>
      </c>
      <c r="G17" s="50">
        <f>table4!G18+table5!G18+'table 6'!K19</f>
        <v>1062941.1000000001</v>
      </c>
      <c r="H17" s="72"/>
      <c r="I17" s="112">
        <f>IF(B17&lt;&gt;0,((+C17+D17)/B17*100),(IF(C17&lt;&gt;0,1,0)))</f>
        <v>49.617370513955208</v>
      </c>
      <c r="J17" s="112">
        <f t="shared" si="3"/>
        <v>45.17014449055393</v>
      </c>
      <c r="K17" s="112">
        <f t="shared" si="3"/>
        <v>4.9475850560525902</v>
      </c>
      <c r="L17" s="112">
        <f t="shared" si="3"/>
        <v>0.2648999394382604</v>
      </c>
    </row>
    <row r="18" spans="1:12">
      <c r="A18" s="23" t="s">
        <v>8</v>
      </c>
      <c r="B18" s="72">
        <f t="shared" si="1"/>
        <v>210522805.60000002</v>
      </c>
      <c r="C18" s="109">
        <f>'table 2a'!C19+table4!C19+table5!C19</f>
        <v>69361934.769999996</v>
      </c>
      <c r="D18" s="30">
        <f>'table 2a'!D19+table4!D19+table5!D19+'table 6'!C20+'table 6'!D20+'table 6'!F20+'table 6'!E20</f>
        <v>12135487.720000001</v>
      </c>
      <c r="E18" s="109">
        <f>'table 2a'!E19+table4!E19+table5!E19+'table 6'!G20</f>
        <v>115031169.87</v>
      </c>
      <c r="F18" s="30">
        <f>'table 2a'!F19+'table 6'!I20</f>
        <v>13994213.24</v>
      </c>
      <c r="G18" s="50">
        <f>table4!G19+table5!G19+'table 6'!K20</f>
        <v>0</v>
      </c>
      <c r="H18" s="72"/>
      <c r="I18" s="112">
        <f>IF(B18&lt;&gt;0,((+C18+D18)/B18*100),(IF(C18&lt;&gt;0,1,0)))</f>
        <v>38.71192114209596</v>
      </c>
      <c r="J18" s="112">
        <f t="shared" si="3"/>
        <v>54.640716734776404</v>
      </c>
      <c r="K18" s="112">
        <f t="shared" si="3"/>
        <v>6.647362123127623</v>
      </c>
      <c r="L18" s="112">
        <f t="shared" si="3"/>
        <v>0</v>
      </c>
    </row>
    <row r="19" spans="1:12">
      <c r="A19" s="23" t="s">
        <v>9</v>
      </c>
      <c r="B19" s="72">
        <f t="shared" si="1"/>
        <v>378462505.02999997</v>
      </c>
      <c r="C19" s="109">
        <f>'table 2a'!C20+table4!C20+table5!C20</f>
        <v>164385338.97</v>
      </c>
      <c r="D19" s="30">
        <f>'table 2a'!D20+table4!D20+table5!D20+'table 6'!C21+'table 6'!D21+'table 6'!F21+'table 6'!E21</f>
        <v>7268782.7799999993</v>
      </c>
      <c r="E19" s="109">
        <f>'table 2a'!E20+table4!E20+table5!E20+'table 6'!G21</f>
        <v>183121568.58999997</v>
      </c>
      <c r="F19" s="30">
        <f>'table 2a'!F20+'table 6'!I21</f>
        <v>23686814.689999998</v>
      </c>
      <c r="G19" s="50">
        <f>table4!G20+table5!G20+'table 6'!K21</f>
        <v>0</v>
      </c>
      <c r="H19" s="72"/>
      <c r="I19" s="112">
        <f>IF(B19&lt;&gt;0,((+C19+D19)/B19*100),(IF(C19&lt;&gt;0,1,0)))</f>
        <v>45.355648041380832</v>
      </c>
      <c r="J19" s="112">
        <f t="shared" si="3"/>
        <v>48.385656744380604</v>
      </c>
      <c r="K19" s="112">
        <f t="shared" si="3"/>
        <v>6.258695214238565</v>
      </c>
      <c r="L19" s="112">
        <f t="shared" si="3"/>
        <v>0</v>
      </c>
    </row>
    <row r="20" spans="1:12">
      <c r="A20" s="23" t="s">
        <v>10</v>
      </c>
      <c r="B20" s="72">
        <f t="shared" si="1"/>
        <v>62608266.850000001</v>
      </c>
      <c r="C20" s="109">
        <f>'table 2a'!C21+table4!C21+table5!C21</f>
        <v>16759410</v>
      </c>
      <c r="D20" s="30">
        <f>'table 2a'!D21+table4!D21+table5!D21+'table 6'!C22+'table 6'!D22+'table 6'!F22+'table 6'!E22</f>
        <v>1620120.99</v>
      </c>
      <c r="E20" s="109">
        <f>'table 2a'!E21+table4!E21+table5!E21+'table 6'!G22</f>
        <v>38402112.039999999</v>
      </c>
      <c r="F20" s="30">
        <f>'table 2a'!F21+'table 6'!I22</f>
        <v>5826623.8200000003</v>
      </c>
      <c r="G20" s="50">
        <f>table4!G21+table5!G21+'table 6'!K22</f>
        <v>0</v>
      </c>
      <c r="H20" s="72"/>
      <c r="I20" s="112">
        <f>IF(B20&lt;&gt;0,((+C20+D20)/B20*100),(IF(C20&lt;&gt;0,1,0)))</f>
        <v>29.356396390966378</v>
      </c>
      <c r="J20" s="112">
        <f t="shared" si="3"/>
        <v>61.337126823851698</v>
      </c>
      <c r="K20" s="112">
        <f t="shared" si="3"/>
        <v>9.306476785181923</v>
      </c>
      <c r="L20" s="112">
        <f t="shared" si="3"/>
        <v>0</v>
      </c>
    </row>
    <row r="21" spans="1:12">
      <c r="A21" s="23"/>
      <c r="B21" s="72"/>
      <c r="C21" s="30"/>
      <c r="D21" s="30"/>
      <c r="E21" s="50"/>
      <c r="F21" s="30"/>
      <c r="G21" s="30"/>
      <c r="H21" s="72"/>
      <c r="I21" s="112"/>
      <c r="J21" s="112"/>
      <c r="K21" s="112"/>
      <c r="L21" s="112"/>
    </row>
    <row r="22" spans="1:12">
      <c r="A22" s="23" t="s">
        <v>11</v>
      </c>
      <c r="B22" s="72">
        <f t="shared" si="1"/>
        <v>619763428.79000008</v>
      </c>
      <c r="C22" s="109">
        <f>'table 2a'!C23+table4!C23+table5!C23</f>
        <v>307173858</v>
      </c>
      <c r="D22" s="30">
        <f>'table 2a'!D23+table4!D23+table5!D23+'table 6'!C24+'table 6'!D24+'table 6'!F24+'table 6'!E24</f>
        <v>19125452.91</v>
      </c>
      <c r="E22" s="109">
        <f>'table 2a'!E23+table4!E23+table5!E23+'table 6'!G24</f>
        <v>272941050.52000004</v>
      </c>
      <c r="F22" s="30">
        <f>'table 2a'!F23+'table 6'!I24</f>
        <v>20523067.359999999</v>
      </c>
      <c r="G22" s="50">
        <f>table4!G23+table5!G23+'table 6'!K24</f>
        <v>0</v>
      </c>
      <c r="H22" s="72"/>
      <c r="I22" s="112">
        <f>IF(B22&lt;&gt;0,((+C22+D22)/B22*100),(IF(C22&lt;&gt;0,1,0)))</f>
        <v>52.649010211372591</v>
      </c>
      <c r="J22" s="112">
        <f t="shared" ref="J22:L26" si="4">IF($B22&lt;&gt;0,(E22/$B22*100),(IF(E22&lt;&gt;0,1,0)))</f>
        <v>44.039554100970207</v>
      </c>
      <c r="K22" s="112">
        <f t="shared" si="4"/>
        <v>3.3114356876572026</v>
      </c>
      <c r="L22" s="112">
        <f t="shared" si="4"/>
        <v>0</v>
      </c>
    </row>
    <row r="23" spans="1:12">
      <c r="A23" s="23" t="s">
        <v>12</v>
      </c>
      <c r="B23" s="72">
        <f t="shared" si="1"/>
        <v>58681370.460000008</v>
      </c>
      <c r="C23" s="109">
        <f>'table 2a'!C24+table4!C24+table5!C24</f>
        <v>25018101.950000003</v>
      </c>
      <c r="D23" s="30">
        <f>'table 2a'!D24+table4!D24+table5!D24+'table 6'!C25+'table 6'!D25+'table 6'!F25+'table 6'!E25</f>
        <v>1262235.3799999999</v>
      </c>
      <c r="E23" s="109">
        <f>'table 2a'!E24+table4!E24+table5!E24+'table 6'!G25</f>
        <v>27155996.18</v>
      </c>
      <c r="F23" s="30">
        <f>'table 2a'!F24+'table 6'!I25</f>
        <v>4960972.9499999993</v>
      </c>
      <c r="G23" s="50">
        <f>table4!G24+table5!G24+'table 6'!K25</f>
        <v>284064</v>
      </c>
      <c r="H23" s="72"/>
      <c r="I23" s="112">
        <f>IF(B23&lt;&gt;0,((+C23+D23)/B23*100),(IF(C23&lt;&gt;0,1,0)))</f>
        <v>44.784804996866804</v>
      </c>
      <c r="J23" s="112">
        <f t="shared" si="4"/>
        <v>46.27703130844705</v>
      </c>
      <c r="K23" s="112">
        <f t="shared" si="4"/>
        <v>8.4540850206994271</v>
      </c>
      <c r="L23" s="112">
        <f t="shared" si="4"/>
        <v>0.48407867398671517</v>
      </c>
    </row>
    <row r="24" spans="1:12">
      <c r="A24" s="23" t="s">
        <v>13</v>
      </c>
      <c r="B24" s="72">
        <f t="shared" si="1"/>
        <v>563700885.73000002</v>
      </c>
      <c r="C24" s="109">
        <f>'table 2a'!C25+table4!C25+table5!C25</f>
        <v>260006696.05000001</v>
      </c>
      <c r="D24" s="30">
        <f>'table 2a'!D25+table4!D25+table5!D25+'table 6'!C26+'table 6'!D26+'table 6'!F26+'table 6'!E26</f>
        <v>14633782.140000001</v>
      </c>
      <c r="E24" s="109">
        <f>'table 2a'!E25+table4!E25+table5!E25+'table 6'!G26</f>
        <v>260858786.14000002</v>
      </c>
      <c r="F24" s="30">
        <f>'table 2a'!F25+'table 6'!I26</f>
        <v>28201621.399999999</v>
      </c>
      <c r="G24" s="50">
        <f>table4!G25+table5!G25+'table 6'!K26</f>
        <v>0</v>
      </c>
      <c r="H24" s="72"/>
      <c r="I24" s="112">
        <f>IF(B24&lt;&gt;0,((+C24+D24)/B24*100),(IF(C24&lt;&gt;0,1,0)))</f>
        <v>48.720959136748029</v>
      </c>
      <c r="J24" s="112">
        <f t="shared" si="4"/>
        <v>46.276100099112753</v>
      </c>
      <c r="K24" s="112">
        <f t="shared" si="4"/>
        <v>5.0029407641392174</v>
      </c>
      <c r="L24" s="112">
        <f t="shared" si="4"/>
        <v>0</v>
      </c>
    </row>
    <row r="25" spans="1:12">
      <c r="A25" s="23" t="s">
        <v>14</v>
      </c>
      <c r="B25" s="72">
        <f t="shared" si="1"/>
        <v>890220570.4000001</v>
      </c>
      <c r="C25" s="109">
        <f>'table 2a'!C26+table4!C26+table5!C26</f>
        <v>570008670</v>
      </c>
      <c r="D25" s="30">
        <f>'table 2a'!D26+table4!D26+table5!D26+'table 6'!C27+'table 6'!D27+'table 6'!F27+'table 6'!E27</f>
        <v>12993191</v>
      </c>
      <c r="E25" s="109">
        <f>'table 2a'!E26+table4!E26+table5!E26+'table 6'!G27</f>
        <v>283358483.19</v>
      </c>
      <c r="F25" s="30">
        <f>'table 2a'!F26+'table 6'!I27</f>
        <v>23860226.210000005</v>
      </c>
      <c r="G25" s="50">
        <f>table4!G26+table5!G26+'table 6'!K27</f>
        <v>0</v>
      </c>
      <c r="H25" s="72"/>
      <c r="I25" s="112">
        <f>IF(B25&lt;&gt;0,((+C25+D25)/B25*100),(IF(C25&lt;&gt;0,1,0)))</f>
        <v>65.489596666817249</v>
      </c>
      <c r="J25" s="112">
        <f t="shared" si="4"/>
        <v>31.830143293889446</v>
      </c>
      <c r="K25" s="112">
        <f t="shared" si="4"/>
        <v>2.6802600392932914</v>
      </c>
      <c r="L25" s="112">
        <f t="shared" si="4"/>
        <v>0</v>
      </c>
    </row>
    <row r="26" spans="1:12">
      <c r="A26" s="23" t="s">
        <v>15</v>
      </c>
      <c r="B26" s="72">
        <f t="shared" si="1"/>
        <v>32125286.919999998</v>
      </c>
      <c r="C26" s="109">
        <f>'table 2a'!C27+table4!C27+table5!C27</f>
        <v>16128112</v>
      </c>
      <c r="D26" s="30">
        <f>'table 2a'!D27+table4!D27+table5!D27+'table 6'!C28+'table 6'!D28+'table 6'!F28+'table 6'!E28</f>
        <v>559369.79</v>
      </c>
      <c r="E26" s="109">
        <f>'table 2a'!E27+table4!E27+table5!E27+'table 6'!G28</f>
        <v>11959334.379999999</v>
      </c>
      <c r="F26" s="30">
        <f>'table 2a'!F27+'table 6'!I28</f>
        <v>3478470.75</v>
      </c>
      <c r="G26" s="50">
        <f>table4!G27+table5!G27+'table 6'!K28</f>
        <v>0</v>
      </c>
      <c r="H26" s="72"/>
      <c r="I26" s="112">
        <f>IF(B26&lt;&gt;0,((+C26+D26)/B26*100),(IF(C26&lt;&gt;0,1,0)))</f>
        <v>51.945004667369986</v>
      </c>
      <c r="J26" s="112">
        <f t="shared" si="4"/>
        <v>37.227167526259713</v>
      </c>
      <c r="K26" s="112">
        <f t="shared" si="4"/>
        <v>10.827827806370298</v>
      </c>
      <c r="L26" s="112">
        <f t="shared" si="4"/>
        <v>0</v>
      </c>
    </row>
    <row r="27" spans="1:12">
      <c r="A27" s="23"/>
      <c r="B27" s="72"/>
      <c r="C27" s="30"/>
      <c r="D27" s="30"/>
      <c r="E27" s="50"/>
      <c r="F27" s="30"/>
      <c r="G27" s="30"/>
      <c r="H27" s="72"/>
      <c r="I27" s="112"/>
      <c r="J27" s="112"/>
      <c r="K27" s="112"/>
      <c r="L27" s="112"/>
    </row>
    <row r="28" spans="1:12">
      <c r="A28" s="23" t="s">
        <v>16</v>
      </c>
      <c r="B28" s="72">
        <f t="shared" si="1"/>
        <v>2860442601.3800001</v>
      </c>
      <c r="C28" s="109">
        <f>'table 2a'!C29+table4!C29+table5!C29</f>
        <v>1945509261.29</v>
      </c>
      <c r="D28" s="30">
        <f>'table 2a'!D29+table4!D29+table5!D29+'table 6'!C30+'table 6'!D30+'table 6'!F30+'table 6'!E30</f>
        <v>39978255.25</v>
      </c>
      <c r="E28" s="109">
        <f>'table 2a'!E29+table4!E29+table5!E29+'table 6'!G30</f>
        <v>765469261.58000004</v>
      </c>
      <c r="F28" s="30">
        <f>'table 2a'!F29+'table 6'!I30</f>
        <v>109485823.26000001</v>
      </c>
      <c r="G28" s="50">
        <f>table4!G29+table5!G29+'table 6'!K30</f>
        <v>0</v>
      </c>
      <c r="H28" s="72"/>
      <c r="I28" s="112">
        <f>IF(B28&lt;&gt;0,((+C28+D28)/B28*100),(IF(C28&lt;&gt;0,1,0)))</f>
        <v>69.411898549620105</v>
      </c>
      <c r="J28" s="112">
        <f t="shared" ref="J28:L32" si="5">IF($B28&lt;&gt;0,(E28/$B28*100),(IF(E28&lt;&gt;0,1,0)))</f>
        <v>26.760518152355335</v>
      </c>
      <c r="K28" s="112">
        <f t="shared" si="5"/>
        <v>3.8275832980245559</v>
      </c>
      <c r="L28" s="112">
        <f t="shared" si="5"/>
        <v>0</v>
      </c>
    </row>
    <row r="29" spans="1:12">
      <c r="A29" s="23" t="s">
        <v>17</v>
      </c>
      <c r="B29" s="72">
        <f t="shared" ref="B29:B37" si="6">SUM(C29:G29)</f>
        <v>2071572702.3599999</v>
      </c>
      <c r="C29" s="109">
        <f>'table 2a'!C30+table4!C30+table5!C30</f>
        <v>822958319.78999996</v>
      </c>
      <c r="D29" s="30">
        <f>'table 2a'!D30+table4!D30+table5!D30+'table 6'!C31+'table 6'!D31+'table 6'!F31+'table 6'!E31</f>
        <v>78983767.789999992</v>
      </c>
      <c r="E29" s="109">
        <f>'table 2a'!E30+table4!E30+table5!E30+'table 6'!G31</f>
        <v>1024244825.73</v>
      </c>
      <c r="F29" s="30">
        <f>'table 2a'!F30+'table 6'!I31</f>
        <v>145385789.04999998</v>
      </c>
      <c r="G29" s="50">
        <f>table4!G30+table5!G30+'table 6'!K31</f>
        <v>0</v>
      </c>
      <c r="H29" s="72"/>
      <c r="I29" s="112">
        <f>IF(B29&lt;&gt;0,((+C29+D29)/B29*100),(IF(C29&lt;&gt;0,1,0)))</f>
        <v>43.539002350845784</v>
      </c>
      <c r="J29" s="112">
        <f t="shared" si="5"/>
        <v>49.442861675245503</v>
      </c>
      <c r="K29" s="112">
        <f t="shared" si="5"/>
        <v>7.018135973908711</v>
      </c>
      <c r="L29" s="112">
        <f t="shared" si="5"/>
        <v>0</v>
      </c>
    </row>
    <row r="30" spans="1:12">
      <c r="A30" s="23" t="s">
        <v>18</v>
      </c>
      <c r="B30" s="72">
        <f t="shared" si="6"/>
        <v>103772813.20999999</v>
      </c>
      <c r="C30" s="109">
        <f>'table 2a'!C31+table4!C31+table5!C31</f>
        <v>51881911.549999997</v>
      </c>
      <c r="D30" s="30">
        <f>'table 2a'!D31+table4!D31+table5!D31+'table 6'!C32+'table 6'!D32+'table 6'!F32+'table 6'!E32</f>
        <v>2297464.31</v>
      </c>
      <c r="E30" s="109">
        <f>'table 2a'!E31+table4!E31+table5!E31+'table 6'!G32</f>
        <v>44060222.189999998</v>
      </c>
      <c r="F30" s="30">
        <f>'table 2a'!F31+'table 6'!I32</f>
        <v>5533215.1600000001</v>
      </c>
      <c r="G30" s="50">
        <f>table4!G31+table5!G31+'table 6'!K32</f>
        <v>0</v>
      </c>
      <c r="H30" s="72"/>
      <c r="I30" s="112">
        <f>IF(B30&lt;&gt;0,((+C30+D30)/B30*100),(IF(C30&lt;&gt;0,1,0)))</f>
        <v>52.209604986192126</v>
      </c>
      <c r="J30" s="112">
        <f t="shared" si="5"/>
        <v>42.458348026893582</v>
      </c>
      <c r="K30" s="112">
        <f t="shared" si="5"/>
        <v>5.3320469869142917</v>
      </c>
      <c r="L30" s="112">
        <f t="shared" si="5"/>
        <v>0</v>
      </c>
    </row>
    <row r="31" spans="1:12">
      <c r="A31" s="23" t="s">
        <v>19</v>
      </c>
      <c r="B31" s="72">
        <f t="shared" si="6"/>
        <v>218951375.02000001</v>
      </c>
      <c r="C31" s="109">
        <f>'table 2a'!C32+table4!C32+table5!C32</f>
        <v>89493945.719999999</v>
      </c>
      <c r="D31" s="30">
        <f>'table 2a'!D32+table4!D32+table5!D32+'table 6'!C33+'table 6'!D33+'table 6'!F33+'table 6'!E33</f>
        <v>4114800.62</v>
      </c>
      <c r="E31" s="109">
        <f>'table 2a'!E32+table4!E32+table5!E32+'table 6'!G33</f>
        <v>109455668.96000001</v>
      </c>
      <c r="F31" s="30">
        <f>'table 2a'!F32+'table 6'!I33</f>
        <v>15845580.520000001</v>
      </c>
      <c r="G31" s="50">
        <f>table4!G32+table5!G32+'table 6'!K33</f>
        <v>41379.199999999997</v>
      </c>
      <c r="H31" s="72"/>
      <c r="I31" s="112">
        <f>IF(B31&lt;&gt;0,((+C31+D31)/B31*100),(IF(C31&lt;&gt;0,1,0)))</f>
        <v>42.753212365736168</v>
      </c>
      <c r="J31" s="112">
        <f t="shared" si="5"/>
        <v>49.990857079569302</v>
      </c>
      <c r="K31" s="112">
        <f t="shared" si="5"/>
        <v>7.2370317466846661</v>
      </c>
      <c r="L31" s="112">
        <f t="shared" si="5"/>
        <v>1.8898808009869879E-2</v>
      </c>
    </row>
    <row r="32" spans="1:12">
      <c r="A32" s="23" t="s">
        <v>20</v>
      </c>
      <c r="B32" s="72">
        <f t="shared" si="6"/>
        <v>45096262.649999999</v>
      </c>
      <c r="C32" s="109">
        <f>'table 2a'!C33+table4!C33+table5!C33</f>
        <v>8724251.2200000007</v>
      </c>
      <c r="D32" s="30">
        <f>'table 2a'!D33+table4!D33+table5!D33+'table 6'!C34+'table 6'!D34+'table 6'!F34+'table 6'!E34</f>
        <v>1052192.1299999999</v>
      </c>
      <c r="E32" s="109">
        <f>'table 2a'!E33+table4!E33+table5!E33+'table 6'!G34</f>
        <v>29751622.59</v>
      </c>
      <c r="F32" s="30">
        <f>'table 2a'!F33+'table 6'!I34</f>
        <v>5568196.71</v>
      </c>
      <c r="G32" s="50">
        <f>table4!G33+table5!G33+'table 6'!K34</f>
        <v>0</v>
      </c>
      <c r="H32" s="72"/>
      <c r="I32" s="112">
        <f>IF(B32&lt;&gt;0,((+C32+D32)/B32*100),(IF(C32&lt;&gt;0,1,0)))</f>
        <v>21.679054483686802</v>
      </c>
      <c r="J32" s="112">
        <f t="shared" si="5"/>
        <v>65.973588146112149</v>
      </c>
      <c r="K32" s="112">
        <f t="shared" si="5"/>
        <v>12.347357370201054</v>
      </c>
      <c r="L32" s="112">
        <f t="shared" si="5"/>
        <v>0</v>
      </c>
    </row>
    <row r="33" spans="1:13" ht="12.75" customHeight="1">
      <c r="A33" s="23"/>
      <c r="B33" s="72"/>
      <c r="C33" s="30"/>
      <c r="D33" s="30"/>
      <c r="E33" s="50"/>
      <c r="F33" s="30"/>
      <c r="G33" s="30"/>
      <c r="H33" s="72"/>
      <c r="I33" s="23"/>
      <c r="J33" s="23"/>
      <c r="K33" s="23"/>
      <c r="L33" s="23"/>
    </row>
    <row r="34" spans="1:13">
      <c r="A34" s="23" t="s">
        <v>21</v>
      </c>
      <c r="B34" s="72">
        <f t="shared" si="6"/>
        <v>58500765.770000003</v>
      </c>
      <c r="C34" s="109">
        <f>'table 2a'!C35+table4!C35+table5!C35</f>
        <v>37429350.799999997</v>
      </c>
      <c r="D34" s="30">
        <f>'table 2a'!D35+table4!D35+table5!D35+'table 6'!C36+'table 6'!D36+'table 6'!F36+'table 6'!E36</f>
        <v>1697366.74</v>
      </c>
      <c r="E34" s="109">
        <f>'table 2a'!E35+table4!E35+table5!E35+'table 6'!G36</f>
        <v>15562956.879999999</v>
      </c>
      <c r="F34" s="30">
        <f>'table 2a'!F35+'table 6'!I36</f>
        <v>3811091.3500000006</v>
      </c>
      <c r="G34" s="50">
        <f>table4!G35+table5!G35+'table 6'!K36</f>
        <v>0</v>
      </c>
      <c r="H34" s="72"/>
      <c r="I34" s="112">
        <f>IF(B34&lt;&gt;0,((+C34+D34)/B34*100),(IF(C34&lt;&gt;0,1,0)))</f>
        <v>66.882402349790638</v>
      </c>
      <c r="J34" s="112">
        <f t="shared" ref="J34:L37" si="7">IF($B34&lt;&gt;0,(E34/$B34*100),(IF(E34&lt;&gt;0,1,0)))</f>
        <v>26.602996858514455</v>
      </c>
      <c r="K34" s="112">
        <f t="shared" si="7"/>
        <v>6.5146007916949022</v>
      </c>
      <c r="L34" s="112">
        <f t="shared" si="7"/>
        <v>0</v>
      </c>
    </row>
    <row r="35" spans="1:13">
      <c r="A35" s="23" t="s">
        <v>22</v>
      </c>
      <c r="B35" s="72">
        <f t="shared" si="6"/>
        <v>303309512.35000008</v>
      </c>
      <c r="C35" s="109">
        <f>'table 2a'!C36+table4!C36+table5!C36</f>
        <v>95723148.730000004</v>
      </c>
      <c r="D35" s="30">
        <f>'table 2a'!D36+table4!D36+table5!D36+'table 6'!C37+'table 6'!D37+'table 6'!F37+'table 6'!E37</f>
        <v>4916807.5600000005</v>
      </c>
      <c r="E35" s="109">
        <f>'table 2a'!E36+table4!E36+table5!E36+'table 6'!G37</f>
        <v>176731740.92000002</v>
      </c>
      <c r="F35" s="30">
        <f>'table 2a'!F36+'table 6'!I37</f>
        <v>21793814.910000004</v>
      </c>
      <c r="G35" s="50">
        <f>table4!G36+table5!G36+'table 6'!K37</f>
        <v>4144000.23</v>
      </c>
      <c r="H35" s="72"/>
      <c r="I35" s="112">
        <f>IF(B35&lt;&gt;0,((+C35+D35)/B35*100),(IF(C35&lt;&gt;0,1,0)))</f>
        <v>33.180613265392026</v>
      </c>
      <c r="J35" s="112">
        <f t="shared" si="7"/>
        <v>58.26778710324875</v>
      </c>
      <c r="K35" s="112">
        <f t="shared" si="7"/>
        <v>7.1853384159120317</v>
      </c>
      <c r="L35" s="112">
        <f t="shared" si="7"/>
        <v>1.3662612154471716</v>
      </c>
    </row>
    <row r="36" spans="1:13">
      <c r="A36" s="23" t="s">
        <v>23</v>
      </c>
      <c r="B36" s="72">
        <f t="shared" si="6"/>
        <v>200561353.65000001</v>
      </c>
      <c r="C36" s="109">
        <f>'table 2a'!C37+table4!C37+table5!C37</f>
        <v>47019411.039999999</v>
      </c>
      <c r="D36" s="30">
        <f>'table 2a'!D37+table4!D37+table5!D37+'table 6'!C38+'table 6'!D38+'table 6'!F38+'table 6'!E38</f>
        <v>2470524.46</v>
      </c>
      <c r="E36" s="109">
        <f>'table 2a'!E37+table4!E37+table5!E37+'table 6'!G38</f>
        <v>131566353.19</v>
      </c>
      <c r="F36" s="30">
        <f>'table 2a'!F37+'table 6'!I38</f>
        <v>16415246.549999999</v>
      </c>
      <c r="G36" s="50">
        <f>table4!G37+table5!G37+'table 6'!K38</f>
        <v>3089818.41</v>
      </c>
      <c r="H36" s="72"/>
      <c r="I36" s="112">
        <f>IF(B36&lt;&gt;0,((+C36+D36)/B36*100),(IF(C36&lt;&gt;0,1,0)))</f>
        <v>24.675708754122681</v>
      </c>
      <c r="J36" s="112">
        <f t="shared" si="7"/>
        <v>65.59905524949572</v>
      </c>
      <c r="K36" s="112">
        <f t="shared" si="7"/>
        <v>8.1846508568376919</v>
      </c>
      <c r="L36" s="112">
        <f t="shared" si="7"/>
        <v>1.5405851395439063</v>
      </c>
    </row>
    <row r="37" spans="1:13">
      <c r="A37" s="31" t="s">
        <v>24</v>
      </c>
      <c r="B37" s="113">
        <f t="shared" si="6"/>
        <v>112852717.38000001</v>
      </c>
      <c r="C37" s="114">
        <f>'table 2a'!C38+table4!C38+table5!C38</f>
        <v>75488903.340000004</v>
      </c>
      <c r="D37" s="28">
        <f>'table 2a'!D38+table4!D38+table5!D38+'table 6'!C39+'table 6'!D39+'table 6'!F39+'table 6'!E39</f>
        <v>1123266.05</v>
      </c>
      <c r="E37" s="114">
        <f>'table 2a'!E38+table4!E38+table5!E38+'table 6'!G39</f>
        <v>26768724.260000002</v>
      </c>
      <c r="F37" s="28">
        <f>'table 2a'!F38+'table 6'!I39</f>
        <v>9471823.7299999986</v>
      </c>
      <c r="G37" s="115">
        <f>table4!G38+table5!G38+'table 6'!K39</f>
        <v>0</v>
      </c>
      <c r="H37" s="113"/>
      <c r="I37" s="116">
        <f>IF(B37&lt;&gt;0,((+C37+D37)/B37*100),(IF(C37&lt;&gt;0,1,0)))</f>
        <v>67.886862778881891</v>
      </c>
      <c r="J37" s="116">
        <f t="shared" si="7"/>
        <v>23.720052898561402</v>
      </c>
      <c r="K37" s="116">
        <f t="shared" si="7"/>
        <v>8.3930843225566978</v>
      </c>
      <c r="L37" s="116">
        <f t="shared" si="7"/>
        <v>0</v>
      </c>
    </row>
    <row r="38" spans="1:13">
      <c r="B38" s="77"/>
      <c r="C38" s="135"/>
      <c r="D38" s="77"/>
      <c r="E38" s="77"/>
      <c r="F38" s="77"/>
      <c r="G38" s="77"/>
      <c r="H38" s="77"/>
      <c r="I38" s="136"/>
      <c r="J38" s="136"/>
      <c r="K38" s="136"/>
      <c r="L38" s="136"/>
      <c r="M38" s="77"/>
    </row>
    <row r="39" spans="1:13">
      <c r="A39" s="134" t="s">
        <v>197</v>
      </c>
      <c r="B39" s="77"/>
      <c r="C39" s="77"/>
      <c r="D39" s="77"/>
      <c r="E39" s="77"/>
      <c r="F39" s="77"/>
      <c r="G39" s="77"/>
      <c r="H39" s="77"/>
      <c r="I39" s="136"/>
      <c r="J39" s="136"/>
      <c r="K39" s="136"/>
      <c r="L39" s="136"/>
      <c r="M39" s="77"/>
    </row>
    <row r="40" spans="1:13">
      <c r="A40" s="137" t="s">
        <v>213</v>
      </c>
      <c r="B40" s="77"/>
      <c r="C40" s="77"/>
      <c r="D40" s="77"/>
      <c r="E40" s="77"/>
      <c r="F40" s="77"/>
      <c r="G40" s="77"/>
      <c r="H40" s="77"/>
      <c r="I40" s="136"/>
      <c r="J40" s="136"/>
      <c r="K40" s="136"/>
      <c r="L40" s="136"/>
      <c r="M40" s="77"/>
    </row>
    <row r="41" spans="1:13">
      <c r="A41" s="97"/>
      <c r="I41" s="117"/>
      <c r="J41" s="117"/>
      <c r="K41" s="117"/>
      <c r="L41" s="117"/>
    </row>
    <row r="42" spans="1:13">
      <c r="I42" s="84"/>
      <c r="J42" s="84"/>
      <c r="K42" s="84"/>
      <c r="L42" s="84"/>
    </row>
    <row r="43" spans="1:13">
      <c r="I43" s="84"/>
      <c r="J43" s="84"/>
      <c r="K43" s="84"/>
      <c r="L43" s="84"/>
    </row>
  </sheetData>
  <sheetProtection password="CAF5" sheet="1" objects="1" scenarios="1"/>
  <mergeCells count="6">
    <mergeCell ref="C6:D6"/>
    <mergeCell ref="C5:F5"/>
    <mergeCell ref="I5:L5"/>
    <mergeCell ref="A1:L1"/>
    <mergeCell ref="A2:L2"/>
    <mergeCell ref="A3:L3"/>
  </mergeCells>
  <phoneticPr fontId="0" type="noConversion"/>
  <printOptions horizontalCentered="1"/>
  <pageMargins left="0.59" right="0.56000000000000005" top="0.83" bottom="1" header="0.67" footer="0.5"/>
  <pageSetup scale="89" orientation="landscape" r:id="rId1"/>
  <headerFooter alignWithMargins="0">
    <oddFooter>&amp;L&amp;"Arial,Italic"&amp;9MSDE - LFRO  12 / 2014&amp;C- 1 -&amp;R&amp;"Arial,Italic"&amp;9Selected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Normal="100" workbookViewId="0">
      <selection sqref="A1:F1"/>
    </sheetView>
  </sheetViews>
  <sheetFormatPr defaultRowHeight="12.75"/>
  <cols>
    <col min="1" max="1" width="13.85546875" customWidth="1"/>
    <col min="2" max="2" width="14.42578125" style="230" customWidth="1"/>
    <col min="3" max="3" width="15" style="230" bestFit="1" customWidth="1"/>
    <col min="4" max="4" width="14.85546875" style="230" customWidth="1"/>
    <col min="5" max="5" width="15.5703125" style="230" customWidth="1"/>
    <col min="6" max="6" width="17.42578125" style="225" customWidth="1"/>
  </cols>
  <sheetData>
    <row r="1" spans="1:7">
      <c r="A1" s="469" t="s">
        <v>117</v>
      </c>
      <c r="B1" s="469"/>
      <c r="C1" s="469"/>
      <c r="D1" s="469"/>
      <c r="E1" s="469"/>
      <c r="F1" s="469"/>
    </row>
    <row r="3" spans="1:7">
      <c r="A3" s="461" t="s">
        <v>267</v>
      </c>
      <c r="B3" s="469"/>
      <c r="C3" s="469"/>
      <c r="D3" s="469"/>
      <c r="E3" s="469"/>
      <c r="F3" s="469"/>
    </row>
    <row r="4" spans="1:7" ht="13.5" thickBot="1">
      <c r="A4" s="77"/>
      <c r="B4" s="235"/>
      <c r="C4" s="235"/>
      <c r="D4" s="235"/>
      <c r="E4" s="235"/>
      <c r="F4" s="235"/>
    </row>
    <row r="5" spans="1:7" ht="15" customHeight="1" thickTop="1">
      <c r="A5" s="502" t="s">
        <v>47</v>
      </c>
      <c r="B5" s="502"/>
      <c r="C5" s="502"/>
      <c r="D5" s="502"/>
      <c r="E5" s="502"/>
      <c r="F5" s="515"/>
    </row>
    <row r="6" spans="1:7">
      <c r="A6" s="513"/>
      <c r="B6" s="513"/>
      <c r="C6" s="513"/>
      <c r="D6" s="513"/>
      <c r="E6" s="513"/>
      <c r="F6" s="513"/>
      <c r="G6" s="3"/>
    </row>
    <row r="7" spans="1:7" ht="12.75" customHeight="1">
      <c r="A7" s="504" t="s">
        <v>157</v>
      </c>
      <c r="C7" s="514" t="s">
        <v>158</v>
      </c>
      <c r="F7" s="514" t="s">
        <v>150</v>
      </c>
    </row>
    <row r="8" spans="1:7" ht="12.75" customHeight="1">
      <c r="A8" s="504"/>
      <c r="B8" s="496" t="s">
        <v>233</v>
      </c>
      <c r="C8" s="490"/>
      <c r="D8" s="283"/>
      <c r="E8" s="519" t="s">
        <v>160</v>
      </c>
      <c r="F8" s="490"/>
    </row>
    <row r="9" spans="1:7" ht="12.75" customHeight="1">
      <c r="A9" s="504"/>
      <c r="B9" s="516"/>
      <c r="C9" s="490"/>
      <c r="D9" s="517" t="s">
        <v>159</v>
      </c>
      <c r="E9" s="516"/>
      <c r="F9" s="490"/>
    </row>
    <row r="10" spans="1:7" ht="13.5" thickBot="1">
      <c r="A10" s="506"/>
      <c r="B10" s="492"/>
      <c r="C10" s="491"/>
      <c r="D10" s="518"/>
      <c r="E10" s="492"/>
      <c r="F10" s="491"/>
    </row>
    <row r="11" spans="1:7" s="306" customFormat="1">
      <c r="A11" s="290" t="s">
        <v>0</v>
      </c>
      <c r="B11" s="272">
        <f>SUM(B13:B40)</f>
        <v>162691035</v>
      </c>
      <c r="C11" s="272">
        <f>SUM(C13:C40)</f>
        <v>6217538.0099999998</v>
      </c>
      <c r="D11" s="248">
        <f>SUM(D13:D40)</f>
        <v>581727.30000000005</v>
      </c>
      <c r="E11" s="272">
        <f>SUM(E13:E40)</f>
        <v>7065998.8000000007</v>
      </c>
      <c r="F11" s="272">
        <f>SUM(F13:F40)</f>
        <v>65527124.5</v>
      </c>
    </row>
    <row r="12" spans="1:7">
      <c r="A12" s="3"/>
      <c r="B12" s="212"/>
      <c r="C12" s="211"/>
      <c r="D12" s="211"/>
      <c r="E12" s="211"/>
      <c r="F12" s="230"/>
    </row>
    <row r="13" spans="1:7">
      <c r="A13" t="s">
        <v>1</v>
      </c>
      <c r="B13" s="360">
        <v>89006</v>
      </c>
      <c r="C13" s="50">
        <v>81500</v>
      </c>
      <c r="D13" s="50">
        <v>0</v>
      </c>
      <c r="E13" s="129">
        <v>0</v>
      </c>
      <c r="F13" s="374">
        <v>1243454.96</v>
      </c>
    </row>
    <row r="14" spans="1:7">
      <c r="A14" t="s">
        <v>2</v>
      </c>
      <c r="B14" s="360">
        <v>7461509</v>
      </c>
      <c r="C14" s="50">
        <v>541000</v>
      </c>
      <c r="D14" s="50">
        <v>196309.35</v>
      </c>
      <c r="E14" s="129">
        <v>178549.3</v>
      </c>
      <c r="F14" s="374">
        <v>268777.44</v>
      </c>
    </row>
    <row r="15" spans="1:7">
      <c r="A15" t="s">
        <v>3</v>
      </c>
      <c r="B15" s="360">
        <v>12810488</v>
      </c>
      <c r="C15" s="50">
        <v>1526500</v>
      </c>
      <c r="D15" s="130">
        <v>0</v>
      </c>
      <c r="E15" s="129">
        <v>601245.32999999996</v>
      </c>
      <c r="F15" s="374">
        <v>11414479.65</v>
      </c>
    </row>
    <row r="16" spans="1:7">
      <c r="A16" t="s">
        <v>4</v>
      </c>
      <c r="B16" s="360">
        <v>11625268</v>
      </c>
      <c r="C16" s="374">
        <v>748000</v>
      </c>
      <c r="D16" s="50">
        <v>0</v>
      </c>
      <c r="E16" s="129">
        <v>341402</v>
      </c>
      <c r="F16" s="374">
        <v>9835492.1099999994</v>
      </c>
    </row>
    <row r="17" spans="1:6">
      <c r="A17" t="s">
        <v>5</v>
      </c>
      <c r="B17" s="360">
        <v>523741</v>
      </c>
      <c r="C17" s="379">
        <v>0</v>
      </c>
      <c r="D17" s="50">
        <v>9550.5499999999993</v>
      </c>
      <c r="E17" s="129">
        <v>306857.96999999997</v>
      </c>
      <c r="F17" s="374">
        <v>435898.8</v>
      </c>
    </row>
    <row r="18" spans="1:6">
      <c r="B18" s="363"/>
      <c r="C18" s="341"/>
      <c r="D18" s="341"/>
      <c r="E18" s="339"/>
      <c r="F18" s="129"/>
    </row>
    <row r="19" spans="1:6">
      <c r="A19" t="s">
        <v>6</v>
      </c>
      <c r="B19" s="375">
        <v>976682</v>
      </c>
      <c r="C19" s="374">
        <v>16000</v>
      </c>
      <c r="D19" s="50">
        <v>0</v>
      </c>
      <c r="E19" s="129">
        <v>320427.56</v>
      </c>
      <c r="F19" s="374">
        <v>986044.3</v>
      </c>
    </row>
    <row r="20" spans="1:6">
      <c r="A20" t="s">
        <v>7</v>
      </c>
      <c r="B20" s="360">
        <v>670085</v>
      </c>
      <c r="C20" s="50">
        <v>143000</v>
      </c>
      <c r="D20" s="50">
        <v>6774.47</v>
      </c>
      <c r="E20" s="129">
        <v>350847.85</v>
      </c>
      <c r="F20" s="374">
        <v>724213.25</v>
      </c>
    </row>
    <row r="21" spans="1:6">
      <c r="A21" t="s">
        <v>8</v>
      </c>
      <c r="B21" s="360">
        <v>646410</v>
      </c>
      <c r="C21" s="50">
        <v>110000</v>
      </c>
      <c r="D21" s="50">
        <v>0</v>
      </c>
      <c r="E21" s="129">
        <v>467415.18</v>
      </c>
      <c r="F21" s="374">
        <v>332971.21999999997</v>
      </c>
    </row>
    <row r="22" spans="1:6">
      <c r="A22" t="s">
        <v>9</v>
      </c>
      <c r="B22" s="360">
        <v>870466</v>
      </c>
      <c r="C22" s="374">
        <v>74500</v>
      </c>
      <c r="D22" s="50">
        <v>50676.37</v>
      </c>
      <c r="E22" s="129">
        <v>641533.71</v>
      </c>
      <c r="F22" s="374">
        <v>177386.92</v>
      </c>
    </row>
    <row r="23" spans="1:6">
      <c r="A23" t="s">
        <v>10</v>
      </c>
      <c r="B23" s="360">
        <v>275437</v>
      </c>
      <c r="C23" s="130">
        <v>0</v>
      </c>
      <c r="D23" s="50">
        <v>0</v>
      </c>
      <c r="E23" s="129">
        <v>326739.62</v>
      </c>
      <c r="F23" s="374">
        <v>1408250.05</v>
      </c>
    </row>
    <row r="24" spans="1:6">
      <c r="B24" s="363"/>
      <c r="C24" s="341"/>
      <c r="D24" s="341"/>
      <c r="E24" s="339"/>
      <c r="F24" s="129"/>
    </row>
    <row r="25" spans="1:6">
      <c r="A25" t="s">
        <v>11</v>
      </c>
      <c r="B25" s="360">
        <v>6028897</v>
      </c>
      <c r="C25" s="50">
        <v>41000</v>
      </c>
      <c r="D25" s="50">
        <v>21280.93</v>
      </c>
      <c r="E25" s="129">
        <v>326268.84999999998</v>
      </c>
      <c r="F25" s="374">
        <v>388913.82</v>
      </c>
    </row>
    <row r="26" spans="1:6">
      <c r="A26" t="s">
        <v>12</v>
      </c>
      <c r="B26" s="375">
        <v>11801</v>
      </c>
      <c r="C26" s="379">
        <v>13500</v>
      </c>
      <c r="D26" s="50">
        <v>13634</v>
      </c>
      <c r="E26" s="129">
        <v>329134.96000000002</v>
      </c>
      <c r="F26" s="374">
        <v>1283227</v>
      </c>
    </row>
    <row r="27" spans="1:6">
      <c r="A27" t="s">
        <v>13</v>
      </c>
      <c r="B27" s="360">
        <v>1674720</v>
      </c>
      <c r="C27" s="130">
        <v>247500</v>
      </c>
      <c r="D27" s="130">
        <v>9150.51</v>
      </c>
      <c r="E27" s="129">
        <v>0</v>
      </c>
      <c r="F27" s="374">
        <f>1089.37+2792422.84</f>
        <v>2793512.21</v>
      </c>
    </row>
    <row r="28" spans="1:6">
      <c r="A28" t="s">
        <v>14</v>
      </c>
      <c r="B28" s="360">
        <v>6541462</v>
      </c>
      <c r="C28" s="130">
        <v>117000</v>
      </c>
      <c r="D28" s="50">
        <v>83213.210000000006</v>
      </c>
      <c r="E28" s="129">
        <v>215775</v>
      </c>
      <c r="F28" s="374">
        <f>2000+172652.18</f>
        <v>174652.18</v>
      </c>
    </row>
    <row r="29" spans="1:6">
      <c r="A29" t="s">
        <v>15</v>
      </c>
      <c r="B29" s="360">
        <v>167026</v>
      </c>
      <c r="C29" s="50">
        <v>0</v>
      </c>
      <c r="D29" s="50">
        <v>19342.59</v>
      </c>
      <c r="E29" s="129">
        <v>282477.40999999997</v>
      </c>
      <c r="F29" s="374">
        <f>57.72+230527.93</f>
        <v>230585.65</v>
      </c>
    </row>
    <row r="30" spans="1:6">
      <c r="B30" s="363"/>
      <c r="C30" s="341"/>
      <c r="D30" s="341"/>
      <c r="E30" s="339"/>
      <c r="F30" s="129"/>
    </row>
    <row r="31" spans="1:6">
      <c r="A31" t="s">
        <v>16</v>
      </c>
      <c r="B31" s="360">
        <v>49786885</v>
      </c>
      <c r="C31" s="50">
        <v>0</v>
      </c>
      <c r="D31" s="50">
        <v>0</v>
      </c>
      <c r="E31" s="129">
        <v>527955.04</v>
      </c>
      <c r="F31" s="374">
        <v>672111.44</v>
      </c>
    </row>
    <row r="32" spans="1:6">
      <c r="A32" t="s">
        <v>17</v>
      </c>
      <c r="B32" s="375">
        <v>56217432</v>
      </c>
      <c r="C32" s="374">
        <v>2323500</v>
      </c>
      <c r="D32" s="50">
        <v>98960.4</v>
      </c>
      <c r="E32" s="129">
        <v>323224.71000000002</v>
      </c>
      <c r="F32" s="374">
        <v>26527626.25</v>
      </c>
    </row>
    <row r="33" spans="1:6">
      <c r="A33" t="s">
        <v>18</v>
      </c>
      <c r="B33" s="360">
        <v>345057</v>
      </c>
      <c r="C33" s="130">
        <v>15000</v>
      </c>
      <c r="D33" s="50">
        <v>0</v>
      </c>
      <c r="E33" s="129">
        <v>318076.44</v>
      </c>
      <c r="F33" s="374">
        <v>373826.57</v>
      </c>
    </row>
    <row r="34" spans="1:6">
      <c r="A34" t="s">
        <v>19</v>
      </c>
      <c r="B34" s="360">
        <v>529503</v>
      </c>
      <c r="C34" s="130">
        <v>0</v>
      </c>
      <c r="D34" s="50">
        <v>0</v>
      </c>
      <c r="E34" s="129">
        <v>302906.03000000003</v>
      </c>
      <c r="F34" s="374">
        <f>5000+3502561.89</f>
        <v>3507561.89</v>
      </c>
    </row>
    <row r="35" spans="1:6">
      <c r="A35" t="s">
        <v>20</v>
      </c>
      <c r="B35" s="360">
        <v>413013</v>
      </c>
      <c r="C35" s="130">
        <v>0</v>
      </c>
      <c r="D35" s="50">
        <v>0</v>
      </c>
      <c r="E35" s="129">
        <v>1333.41</v>
      </c>
      <c r="F35" s="374">
        <v>289855.76</v>
      </c>
    </row>
    <row r="36" spans="1:6">
      <c r="B36" s="363"/>
      <c r="C36" s="341"/>
      <c r="D36" s="341"/>
      <c r="E36" s="339"/>
      <c r="F36" s="129"/>
    </row>
    <row r="37" spans="1:6">
      <c r="A37" t="s">
        <v>21</v>
      </c>
      <c r="B37" s="360">
        <v>511682</v>
      </c>
      <c r="C37" s="374">
        <v>4000</v>
      </c>
      <c r="D37" s="50">
        <v>53446.42</v>
      </c>
      <c r="E37" s="129">
        <v>223454.1</v>
      </c>
      <c r="F37" s="374">
        <v>10162.24</v>
      </c>
    </row>
    <row r="38" spans="1:6">
      <c r="A38" t="s">
        <v>22</v>
      </c>
      <c r="B38" s="360">
        <v>1933818</v>
      </c>
      <c r="C38" s="50">
        <v>62500</v>
      </c>
      <c r="D38" s="50">
        <v>17850.03</v>
      </c>
      <c r="E38" s="129">
        <v>331349.68</v>
      </c>
      <c r="F38" s="374">
        <v>1558186.41</v>
      </c>
    </row>
    <row r="39" spans="1:6">
      <c r="A39" t="s">
        <v>23</v>
      </c>
      <c r="B39" s="360">
        <v>2214781</v>
      </c>
      <c r="C39" s="50">
        <v>153038.01</v>
      </c>
      <c r="D39" s="50">
        <v>1538.47</v>
      </c>
      <c r="E39" s="129">
        <v>295769.94</v>
      </c>
      <c r="F39" s="374">
        <v>274451.84000000003</v>
      </c>
    </row>
    <row r="40" spans="1:6">
      <c r="A40" s="12" t="s">
        <v>24</v>
      </c>
      <c r="B40" s="383">
        <v>365866</v>
      </c>
      <c r="C40" s="115">
        <v>0</v>
      </c>
      <c r="D40" s="115">
        <v>0</v>
      </c>
      <c r="E40" s="131">
        <v>53254.71</v>
      </c>
      <c r="F40" s="115">
        <v>615482.54</v>
      </c>
    </row>
  </sheetData>
  <sheetProtection password="CAF5" sheet="1" objects="1" scenarios="1"/>
  <mergeCells count="10">
    <mergeCell ref="A1:F1"/>
    <mergeCell ref="A7:A10"/>
    <mergeCell ref="C7:C10"/>
    <mergeCell ref="F7:F10"/>
    <mergeCell ref="A5:F5"/>
    <mergeCell ref="A6:F6"/>
    <mergeCell ref="A3:F3"/>
    <mergeCell ref="B8:B10"/>
    <mergeCell ref="D9:D10"/>
    <mergeCell ref="E8:E10"/>
  </mergeCells>
  <phoneticPr fontId="0" type="noConversion"/>
  <printOptions horizontalCentered="1"/>
  <pageMargins left="0.27" right="0.25" top="0.83" bottom="1" header="0.67" footer="0.5"/>
  <pageSetup scale="96" orientation="landscape" r:id="rId1"/>
  <headerFooter alignWithMargins="0">
    <oddHeader xml:space="preserve">&amp;R&amp;18
&amp;"Arial,Bold"
</oddHeader>
    <oddFooter xml:space="preserve">&amp;L&amp;"Arial,Italic"&amp;9MSDE - LFRO  12 / 2014&amp;C- 10 -&amp;R&amp;"Arial,Italic"&amp;9Selected Financial Data-Part 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Normal="100" workbookViewId="0">
      <selection sqref="A1:J1"/>
    </sheetView>
  </sheetViews>
  <sheetFormatPr defaultRowHeight="12.75"/>
  <cols>
    <col min="1" max="1" width="21.85546875" customWidth="1"/>
    <col min="2" max="2" width="14.85546875" customWidth="1"/>
    <col min="3" max="3" width="5.42578125" customWidth="1"/>
    <col min="4" max="4" width="18.28515625" customWidth="1"/>
    <col min="5" max="5" width="5.140625" customWidth="1"/>
    <col min="6" max="6" width="18" customWidth="1"/>
    <col min="7" max="7" width="8.42578125" customWidth="1"/>
    <col min="8" max="8" width="11.28515625" customWidth="1"/>
    <col min="9" max="9" width="8" customWidth="1"/>
    <col min="10" max="10" width="11.28515625" bestFit="1" customWidth="1"/>
  </cols>
  <sheetData>
    <row r="1" spans="1:15">
      <c r="A1" s="469" t="s">
        <v>117</v>
      </c>
      <c r="B1" s="469"/>
      <c r="C1" s="469"/>
      <c r="D1" s="469"/>
      <c r="E1" s="469"/>
      <c r="F1" s="469"/>
      <c r="G1" s="469"/>
      <c r="H1" s="469"/>
      <c r="I1" s="469"/>
      <c r="J1" s="469"/>
    </row>
    <row r="3" spans="1:15">
      <c r="A3" s="461" t="s">
        <v>267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5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5" ht="15" customHeight="1" thickTop="1">
      <c r="A5" s="3"/>
      <c r="B5" s="43" t="s">
        <v>110</v>
      </c>
      <c r="C5" s="43"/>
      <c r="D5" s="520"/>
      <c r="E5" s="520"/>
      <c r="F5" s="520"/>
      <c r="G5" s="520"/>
      <c r="H5" s="520"/>
      <c r="I5" s="4"/>
      <c r="K5" s="3"/>
      <c r="L5" s="3"/>
      <c r="M5" s="3"/>
      <c r="N5" s="3"/>
      <c r="O5" s="3"/>
    </row>
    <row r="6" spans="1:15">
      <c r="A6" s="3" t="s">
        <v>77</v>
      </c>
      <c r="B6" s="520" t="s">
        <v>37</v>
      </c>
      <c r="C6" s="520"/>
      <c r="D6" s="520"/>
      <c r="E6" s="520"/>
      <c r="F6" s="4" t="s">
        <v>34</v>
      </c>
      <c r="G6" s="4"/>
      <c r="H6" s="4"/>
      <c r="I6" s="4"/>
      <c r="J6" s="4" t="s">
        <v>41</v>
      </c>
      <c r="K6" s="3"/>
      <c r="L6" s="3"/>
      <c r="M6" s="3"/>
      <c r="N6" s="3"/>
      <c r="O6" s="3"/>
    </row>
    <row r="7" spans="1:15">
      <c r="A7" s="3" t="s">
        <v>33</v>
      </c>
      <c r="B7" s="520" t="s">
        <v>38</v>
      </c>
      <c r="C7" s="520"/>
      <c r="D7" s="520"/>
      <c r="E7" s="520"/>
      <c r="F7" s="4" t="s">
        <v>75</v>
      </c>
      <c r="G7" s="4"/>
      <c r="H7" s="4"/>
      <c r="I7" s="4"/>
      <c r="J7" s="4" t="s">
        <v>38</v>
      </c>
      <c r="K7" s="3"/>
      <c r="L7" s="3"/>
      <c r="M7" s="3"/>
      <c r="N7" s="3"/>
      <c r="O7" s="3"/>
    </row>
    <row r="8" spans="1:15" ht="13.5" thickBot="1">
      <c r="A8" s="7" t="s">
        <v>132</v>
      </c>
      <c r="B8" s="521" t="s">
        <v>48</v>
      </c>
      <c r="C8" s="521"/>
      <c r="D8" s="521"/>
      <c r="E8" s="521"/>
      <c r="F8" s="8" t="s">
        <v>48</v>
      </c>
      <c r="G8" s="8"/>
      <c r="H8" s="8"/>
      <c r="I8" s="8"/>
      <c r="J8" s="8" t="s">
        <v>48</v>
      </c>
    </row>
    <row r="9" spans="1:15">
      <c r="A9" s="3" t="s">
        <v>0</v>
      </c>
      <c r="B9" s="253">
        <f>SUM(B11:B38)</f>
        <v>7244615.5699999994</v>
      </c>
      <c r="C9" s="210"/>
      <c r="D9" s="213"/>
      <c r="E9" s="210"/>
      <c r="F9" s="253">
        <f>SUM(F11:F38)</f>
        <v>272424814.59999996</v>
      </c>
      <c r="G9" s="181"/>
      <c r="H9" s="181"/>
      <c r="I9" s="181"/>
      <c r="J9" s="181">
        <f>SUM(J11:J38)</f>
        <v>0</v>
      </c>
    </row>
    <row r="10" spans="1:15">
      <c r="A10" s="3"/>
      <c r="B10" s="209"/>
      <c r="C10" s="209"/>
      <c r="D10" s="209"/>
      <c r="E10" s="209"/>
      <c r="F10" s="209"/>
      <c r="G10" s="129"/>
      <c r="H10" s="129"/>
      <c r="I10" s="129"/>
      <c r="J10" s="129"/>
    </row>
    <row r="11" spans="1:15">
      <c r="A11" t="s">
        <v>1</v>
      </c>
      <c r="B11" s="129">
        <v>211115.08</v>
      </c>
      <c r="C11" s="350"/>
      <c r="D11" s="339"/>
      <c r="E11" s="339"/>
      <c r="F11" s="129">
        <v>1505419.03</v>
      </c>
      <c r="G11" s="129"/>
      <c r="H11" s="129"/>
      <c r="I11" s="129"/>
      <c r="J11" s="129">
        <v>0</v>
      </c>
    </row>
    <row r="12" spans="1:15">
      <c r="A12" t="s">
        <v>2</v>
      </c>
      <c r="B12" s="129">
        <v>470713</v>
      </c>
      <c r="C12" s="339"/>
      <c r="D12" s="351"/>
      <c r="E12" s="339"/>
      <c r="F12" s="129">
        <v>33745034</v>
      </c>
      <c r="G12" s="129"/>
      <c r="H12" s="129"/>
      <c r="I12" s="129"/>
      <c r="J12" s="129">
        <v>0</v>
      </c>
    </row>
    <row r="13" spans="1:15">
      <c r="A13" t="s">
        <v>3</v>
      </c>
      <c r="B13" s="129">
        <v>789281.25</v>
      </c>
      <c r="C13" s="129"/>
      <c r="D13" s="384"/>
      <c r="E13" s="129"/>
      <c r="F13" s="129">
        <v>40658683.049999997</v>
      </c>
      <c r="G13" s="129"/>
      <c r="H13" s="129"/>
      <c r="I13" s="129"/>
      <c r="J13" s="129">
        <v>0</v>
      </c>
    </row>
    <row r="14" spans="1:15">
      <c r="A14" t="s">
        <v>4</v>
      </c>
      <c r="B14" s="129">
        <v>775524</v>
      </c>
      <c r="C14" s="129"/>
      <c r="D14" s="384"/>
      <c r="E14" s="129"/>
      <c r="F14" s="129">
        <v>42091683</v>
      </c>
      <c r="G14" s="129"/>
      <c r="H14" s="129"/>
      <c r="I14" s="129"/>
      <c r="J14" s="129">
        <v>0</v>
      </c>
    </row>
    <row r="15" spans="1:15">
      <c r="A15" t="s">
        <v>5</v>
      </c>
      <c r="B15" s="129">
        <v>35822</v>
      </c>
      <c r="C15" s="129"/>
      <c r="D15" s="384"/>
      <c r="E15" s="129"/>
      <c r="F15" s="129">
        <v>6882231</v>
      </c>
      <c r="G15" s="129"/>
      <c r="H15" s="129"/>
      <c r="I15" s="129"/>
      <c r="J15" s="129">
        <v>0</v>
      </c>
    </row>
    <row r="16" spans="1:15">
      <c r="B16" s="339"/>
      <c r="C16" s="339"/>
      <c r="D16" s="339"/>
      <c r="E16" s="339"/>
      <c r="F16" s="339"/>
      <c r="G16" s="129"/>
      <c r="H16" s="129"/>
      <c r="I16" s="129"/>
      <c r="J16" s="129"/>
    </row>
    <row r="17" spans="1:10">
      <c r="A17" t="s">
        <v>6</v>
      </c>
      <c r="B17" s="129">
        <v>95174.76</v>
      </c>
      <c r="C17" s="129"/>
      <c r="D17" s="384"/>
      <c r="E17" s="129"/>
      <c r="F17" s="129">
        <v>168742.71</v>
      </c>
      <c r="G17" s="129"/>
      <c r="H17" s="129"/>
      <c r="I17" s="129"/>
      <c r="J17" s="129">
        <v>0</v>
      </c>
    </row>
    <row r="18" spans="1:10">
      <c r="A18" t="s">
        <v>7</v>
      </c>
      <c r="B18" s="129">
        <v>78703.820000000007</v>
      </c>
      <c r="C18" s="129"/>
      <c r="D18" s="384"/>
      <c r="E18" s="129"/>
      <c r="F18" s="129">
        <v>16531760</v>
      </c>
      <c r="G18" s="129"/>
      <c r="H18" s="129"/>
      <c r="I18" s="129"/>
      <c r="J18" s="129">
        <v>0</v>
      </c>
    </row>
    <row r="19" spans="1:10">
      <c r="A19" t="s">
        <v>8</v>
      </c>
      <c r="B19" s="129">
        <v>282935.7</v>
      </c>
      <c r="C19" s="129"/>
      <c r="D19" s="384"/>
      <c r="E19" s="129"/>
      <c r="F19" s="129">
        <v>2450614.9</v>
      </c>
      <c r="G19" s="129"/>
      <c r="H19" s="129"/>
      <c r="I19" s="129"/>
      <c r="J19" s="129">
        <v>0</v>
      </c>
    </row>
    <row r="20" spans="1:10">
      <c r="A20" t="s">
        <v>9</v>
      </c>
      <c r="B20" s="129">
        <v>222739.82</v>
      </c>
      <c r="C20" s="129"/>
      <c r="D20" s="384"/>
      <c r="E20" s="129"/>
      <c r="F20" s="129">
        <v>3103394.63</v>
      </c>
      <c r="G20" s="129"/>
      <c r="H20" s="129"/>
      <c r="I20" s="129"/>
      <c r="J20" s="129">
        <v>0</v>
      </c>
    </row>
    <row r="21" spans="1:10">
      <c r="A21" t="s">
        <v>10</v>
      </c>
      <c r="B21" s="129">
        <v>95874</v>
      </c>
      <c r="C21" s="129"/>
      <c r="D21" s="384"/>
      <c r="E21" s="129"/>
      <c r="F21" s="129">
        <v>2710101</v>
      </c>
      <c r="G21" s="129"/>
      <c r="H21" s="129"/>
      <c r="I21" s="129"/>
      <c r="J21" s="129">
        <v>0</v>
      </c>
    </row>
    <row r="22" spans="1:10">
      <c r="B22" s="339"/>
      <c r="C22" s="339"/>
      <c r="D22" s="339"/>
      <c r="E22" s="339"/>
      <c r="F22" s="339"/>
      <c r="G22" s="129"/>
      <c r="H22" s="129"/>
      <c r="I22" s="129"/>
      <c r="J22" s="129"/>
    </row>
    <row r="23" spans="1:10">
      <c r="A23" t="s">
        <v>11</v>
      </c>
      <c r="B23" s="129">
        <v>277135.53999999998</v>
      </c>
      <c r="C23" s="129"/>
      <c r="D23" s="384"/>
      <c r="E23" s="129"/>
      <c r="F23" s="129">
        <v>17760122</v>
      </c>
      <c r="G23" s="129"/>
      <c r="H23" s="129"/>
      <c r="I23" s="129"/>
      <c r="J23" s="129">
        <v>0</v>
      </c>
    </row>
    <row r="24" spans="1:10">
      <c r="A24" t="s">
        <v>12</v>
      </c>
      <c r="B24" s="129">
        <v>112523</v>
      </c>
      <c r="C24" s="129"/>
      <c r="D24" s="384"/>
      <c r="E24" s="129"/>
      <c r="F24" s="129">
        <v>0</v>
      </c>
      <c r="G24" s="129"/>
      <c r="H24" s="129"/>
      <c r="I24" s="129"/>
      <c r="J24" s="129">
        <v>0</v>
      </c>
    </row>
    <row r="25" spans="1:10">
      <c r="A25" t="s">
        <v>13</v>
      </c>
      <c r="B25" s="129">
        <v>331667</v>
      </c>
      <c r="C25" s="129"/>
      <c r="D25" s="384"/>
      <c r="E25" s="129"/>
      <c r="F25" s="129">
        <v>15605906</v>
      </c>
      <c r="G25" s="129"/>
      <c r="H25" s="129"/>
      <c r="I25" s="129"/>
      <c r="J25" s="129">
        <v>0</v>
      </c>
    </row>
    <row r="26" spans="1:10">
      <c r="A26" t="s">
        <v>14</v>
      </c>
      <c r="B26" s="129">
        <v>144237</v>
      </c>
      <c r="C26" s="129"/>
      <c r="D26" s="384"/>
      <c r="E26" s="129"/>
      <c r="F26" s="129">
        <v>9519681</v>
      </c>
      <c r="G26" s="129"/>
      <c r="H26" s="129"/>
      <c r="I26" s="129"/>
      <c r="J26" s="129">
        <v>0</v>
      </c>
    </row>
    <row r="27" spans="1:10">
      <c r="A27" t="s">
        <v>15</v>
      </c>
      <c r="B27" s="129">
        <v>89486</v>
      </c>
      <c r="C27" s="129"/>
      <c r="D27" s="384"/>
      <c r="E27" s="129"/>
      <c r="F27" s="129">
        <v>0</v>
      </c>
      <c r="G27" s="129"/>
      <c r="H27" s="129"/>
      <c r="I27" s="129"/>
      <c r="J27" s="129">
        <v>0</v>
      </c>
    </row>
    <row r="28" spans="1:10">
      <c r="B28" s="339"/>
      <c r="C28" s="339"/>
      <c r="D28" s="339"/>
      <c r="E28" s="339"/>
      <c r="F28" s="339"/>
      <c r="G28" s="129"/>
      <c r="H28" s="129"/>
      <c r="I28" s="129"/>
      <c r="J28" s="129"/>
    </row>
    <row r="29" spans="1:10">
      <c r="A29" t="s">
        <v>16</v>
      </c>
      <c r="B29" s="129">
        <v>958588</v>
      </c>
      <c r="C29" s="129"/>
      <c r="D29" s="384"/>
      <c r="E29" s="129"/>
      <c r="F29" s="129">
        <v>33016031</v>
      </c>
      <c r="G29" s="129"/>
      <c r="H29" s="129"/>
      <c r="I29" s="129"/>
      <c r="J29" s="129">
        <v>0</v>
      </c>
    </row>
    <row r="30" spans="1:10">
      <c r="A30" t="s">
        <v>17</v>
      </c>
      <c r="B30" s="129">
        <v>1167243</v>
      </c>
      <c r="C30" s="129"/>
      <c r="D30" s="384"/>
      <c r="E30" s="129"/>
      <c r="F30" s="129">
        <v>27799545</v>
      </c>
      <c r="G30" s="129"/>
      <c r="H30" s="129"/>
      <c r="I30" s="129"/>
      <c r="J30" s="129">
        <v>0</v>
      </c>
    </row>
    <row r="31" spans="1:10">
      <c r="A31" t="s">
        <v>18</v>
      </c>
      <c r="B31" s="129">
        <v>47701.45</v>
      </c>
      <c r="C31" s="129"/>
      <c r="D31" s="384"/>
      <c r="E31" s="129"/>
      <c r="F31" s="129">
        <v>5780871.6100000003</v>
      </c>
      <c r="G31" s="287"/>
      <c r="H31" s="129"/>
      <c r="I31" s="129"/>
      <c r="J31" s="129">
        <v>0</v>
      </c>
    </row>
    <row r="32" spans="1:10">
      <c r="A32" t="s">
        <v>19</v>
      </c>
      <c r="B32" s="129">
        <v>213822.52</v>
      </c>
      <c r="C32" s="129"/>
      <c r="D32" s="384"/>
      <c r="E32" s="129"/>
      <c r="F32" s="129">
        <v>2269186.73</v>
      </c>
      <c r="G32" s="129"/>
      <c r="H32" s="129"/>
      <c r="I32" s="129"/>
      <c r="J32" s="129">
        <v>0</v>
      </c>
    </row>
    <row r="33" spans="1:10">
      <c r="A33" t="s">
        <v>20</v>
      </c>
      <c r="B33" s="129">
        <v>83874.490000000005</v>
      </c>
      <c r="C33" s="129"/>
      <c r="D33" s="384"/>
      <c r="E33" s="129"/>
      <c r="F33" s="129">
        <v>3171800</v>
      </c>
      <c r="G33" s="129"/>
      <c r="H33" s="129"/>
      <c r="I33" s="129"/>
      <c r="J33" s="129">
        <v>0</v>
      </c>
    </row>
    <row r="34" spans="1:10">
      <c r="B34" s="339"/>
      <c r="C34" s="339"/>
      <c r="D34" s="339"/>
      <c r="E34" s="339"/>
      <c r="F34" s="339"/>
      <c r="G34" s="129"/>
      <c r="H34" s="129"/>
      <c r="I34" s="129"/>
      <c r="J34" s="129"/>
    </row>
    <row r="35" spans="1:10">
      <c r="A35" t="s">
        <v>21</v>
      </c>
      <c r="B35" s="129">
        <v>78802.78</v>
      </c>
      <c r="C35" s="129"/>
      <c r="D35" s="384"/>
      <c r="E35" s="129"/>
      <c r="F35" s="129">
        <v>263694</v>
      </c>
      <c r="G35" s="129"/>
      <c r="H35" s="129"/>
      <c r="I35" s="129"/>
      <c r="J35" s="129">
        <v>0</v>
      </c>
    </row>
    <row r="36" spans="1:10">
      <c r="A36" t="s">
        <v>22</v>
      </c>
      <c r="B36" s="129">
        <v>362134</v>
      </c>
      <c r="C36" s="129"/>
      <c r="D36" s="384"/>
      <c r="E36" s="129"/>
      <c r="F36" s="129">
        <v>3982870.5</v>
      </c>
      <c r="G36" s="129"/>
      <c r="H36" s="129"/>
      <c r="I36" s="129"/>
      <c r="J36" s="129">
        <v>0</v>
      </c>
    </row>
    <row r="37" spans="1:10">
      <c r="A37" t="s">
        <v>23</v>
      </c>
      <c r="B37" s="129">
        <v>195261.35</v>
      </c>
      <c r="C37" s="23"/>
      <c r="D37" s="385"/>
      <c r="E37" s="129"/>
      <c r="F37" s="129">
        <v>3175711.44</v>
      </c>
      <c r="G37" s="129"/>
      <c r="H37" s="129"/>
      <c r="I37" s="129"/>
      <c r="J37" s="129">
        <v>0</v>
      </c>
    </row>
    <row r="38" spans="1:10">
      <c r="A38" s="12" t="s">
        <v>24</v>
      </c>
      <c r="B38" s="131">
        <v>124256.01</v>
      </c>
      <c r="C38" s="325"/>
      <c r="D38" s="325"/>
      <c r="E38" s="131"/>
      <c r="F38" s="131">
        <v>231732</v>
      </c>
      <c r="G38" s="131"/>
      <c r="H38" s="131"/>
      <c r="I38" s="131"/>
      <c r="J38" s="131">
        <v>0</v>
      </c>
    </row>
    <row r="39" spans="1:10">
      <c r="F39" s="5"/>
      <c r="G39" s="5"/>
    </row>
    <row r="40" spans="1:10">
      <c r="F40" s="5"/>
      <c r="G40" s="5"/>
    </row>
    <row r="41" spans="1:10">
      <c r="F41" s="5"/>
      <c r="G41" s="5"/>
    </row>
  </sheetData>
  <sheetProtection password="CAF5" sheet="1" objects="1" scenarios="1"/>
  <mergeCells count="9">
    <mergeCell ref="A1:J1"/>
    <mergeCell ref="A3:J3"/>
    <mergeCell ref="D5:H5"/>
    <mergeCell ref="B8:C8"/>
    <mergeCell ref="B7:C7"/>
    <mergeCell ref="B6:C6"/>
    <mergeCell ref="D8:E8"/>
    <mergeCell ref="D7:E7"/>
    <mergeCell ref="D6:E6"/>
  </mergeCells>
  <phoneticPr fontId="0" type="noConversion"/>
  <printOptions horizontalCentered="1"/>
  <pageMargins left="0.56000000000000005" right="0.55000000000000004" top="0.83" bottom="1" header="0.67" footer="0.5"/>
  <pageSetup orientation="landscape" r:id="rId1"/>
  <headerFooter alignWithMargins="0">
    <oddFooter>&amp;L&amp;"Arial,Italic"&amp;9MSDE - LFRO  12 / 2014&amp;C- 11 -&amp;R&amp;"Arial,Italic"&amp;9Selected Financial Data-Part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zoomScaleNormal="100" workbookViewId="0">
      <selection sqref="A1:K1"/>
    </sheetView>
  </sheetViews>
  <sheetFormatPr defaultRowHeight="12.75"/>
  <cols>
    <col min="1" max="1" width="17" style="3" customWidth="1"/>
    <col min="2" max="2" width="16" style="231" bestFit="1" customWidth="1"/>
    <col min="3" max="3" width="14.7109375" style="200" customWidth="1"/>
    <col min="4" max="4" width="13.85546875" style="200" bestFit="1" customWidth="1"/>
    <col min="5" max="6" width="14.7109375" style="203" customWidth="1"/>
    <col min="7" max="7" width="12.85546875" style="200" bestFit="1" customWidth="1"/>
    <col min="8" max="10" width="12.85546875" style="200" customWidth="1"/>
    <col min="11" max="11" width="11.28515625" style="200" bestFit="1" customWidth="1"/>
    <col min="12" max="12" width="14.7109375" style="3" customWidth="1"/>
    <col min="13" max="13" width="12.42578125" style="3" customWidth="1"/>
    <col min="14" max="14" width="14" style="3" customWidth="1"/>
    <col min="15" max="16384" width="9.140625" style="3"/>
  </cols>
  <sheetData>
    <row r="1" spans="1:37">
      <c r="A1" s="520" t="s">
        <v>118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</row>
    <row r="2" spans="1:37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</row>
    <row r="3" spans="1:37">
      <c r="A3" s="526" t="s">
        <v>268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</row>
    <row r="4" spans="1:37" ht="13.5" thickBot="1">
      <c r="F4" s="292"/>
    </row>
    <row r="5" spans="1:37" ht="15" customHeight="1" thickTop="1">
      <c r="A5" s="6"/>
      <c r="B5" s="255"/>
      <c r="C5" s="201"/>
      <c r="D5" s="221"/>
      <c r="E5" s="222"/>
      <c r="F5" s="531" t="s">
        <v>236</v>
      </c>
      <c r="G5" s="525"/>
      <c r="H5" s="525"/>
      <c r="I5" s="525"/>
      <c r="J5" s="525"/>
      <c r="K5" s="525"/>
    </row>
    <row r="6" spans="1:37">
      <c r="D6" s="217"/>
      <c r="E6" s="218" t="s">
        <v>136</v>
      </c>
      <c r="F6" s="532"/>
      <c r="G6" s="522" t="s">
        <v>237</v>
      </c>
      <c r="H6" s="522"/>
      <c r="I6" s="522"/>
      <c r="J6" s="522"/>
      <c r="K6" s="522"/>
    </row>
    <row r="7" spans="1:37" ht="12.75" customHeight="1">
      <c r="A7" s="3" t="s">
        <v>77</v>
      </c>
      <c r="B7" s="226" t="s">
        <v>43</v>
      </c>
      <c r="C7" s="528" t="s">
        <v>223</v>
      </c>
      <c r="D7" s="217" t="s">
        <v>134</v>
      </c>
      <c r="E7" s="523" t="s">
        <v>175</v>
      </c>
      <c r="F7" s="532"/>
      <c r="G7" s="217"/>
      <c r="H7" s="217"/>
      <c r="I7" s="217"/>
      <c r="J7" s="217"/>
      <c r="K7" s="217" t="s">
        <v>68</v>
      </c>
    </row>
    <row r="8" spans="1:37" ht="12.75" customHeight="1">
      <c r="A8" s="3" t="s">
        <v>33</v>
      </c>
      <c r="B8" s="226" t="s">
        <v>51</v>
      </c>
      <c r="C8" s="528"/>
      <c r="D8" s="217" t="s">
        <v>33</v>
      </c>
      <c r="E8" s="523"/>
      <c r="F8" s="532"/>
      <c r="G8" s="217" t="s">
        <v>67</v>
      </c>
      <c r="H8" s="217" t="s">
        <v>44</v>
      </c>
      <c r="I8" s="217" t="s">
        <v>239</v>
      </c>
      <c r="J8" s="530" t="s">
        <v>238</v>
      </c>
      <c r="K8" s="217" t="s">
        <v>69</v>
      </c>
    </row>
    <row r="9" spans="1:37" ht="13.5" thickBot="1">
      <c r="A9" s="7" t="s">
        <v>132</v>
      </c>
      <c r="B9" s="227" t="s">
        <v>45</v>
      </c>
      <c r="C9" s="529"/>
      <c r="D9" s="219" t="s">
        <v>55</v>
      </c>
      <c r="E9" s="524"/>
      <c r="F9" s="533"/>
      <c r="G9" s="219" t="s">
        <v>63</v>
      </c>
      <c r="H9" s="219" t="s">
        <v>61</v>
      </c>
      <c r="I9" s="219" t="s">
        <v>240</v>
      </c>
      <c r="J9" s="491"/>
      <c r="K9" s="219" t="s">
        <v>33</v>
      </c>
    </row>
    <row r="10" spans="1:37" s="291" customFormat="1">
      <c r="A10" s="290" t="s">
        <v>0</v>
      </c>
      <c r="B10" s="228">
        <f t="shared" ref="B10:K10" si="0">SUM(B12:B39)</f>
        <v>859324504.00999975</v>
      </c>
      <c r="C10" s="228">
        <f t="shared" si="0"/>
        <v>3073.46</v>
      </c>
      <c r="D10" s="228">
        <f t="shared" si="0"/>
        <v>412244.25</v>
      </c>
      <c r="E10" s="228">
        <f t="shared" si="0"/>
        <v>6463101.0499999998</v>
      </c>
      <c r="F10" s="228">
        <f t="shared" si="0"/>
        <v>2913499.3099999996</v>
      </c>
      <c r="G10" s="228">
        <f t="shared" si="0"/>
        <v>8450513.0600000005</v>
      </c>
      <c r="H10" s="228">
        <f t="shared" si="0"/>
        <v>11319.18</v>
      </c>
      <c r="I10" s="228">
        <f t="shared" si="0"/>
        <v>7003.07</v>
      </c>
      <c r="J10" s="228">
        <f t="shared" si="0"/>
        <v>427098.04</v>
      </c>
      <c r="K10" s="228">
        <f t="shared" si="0"/>
        <v>48013.31</v>
      </c>
    </row>
    <row r="11" spans="1:37">
      <c r="B11" s="308"/>
      <c r="C11" s="308"/>
      <c r="D11" s="229"/>
      <c r="E11" s="309"/>
      <c r="F11" s="309"/>
      <c r="G11" s="229"/>
      <c r="H11" s="229"/>
      <c r="I11" s="229"/>
      <c r="J11" s="229"/>
      <c r="K11" s="229"/>
    </row>
    <row r="12" spans="1:37">
      <c r="A12" s="3" t="s">
        <v>1</v>
      </c>
      <c r="B12" s="257">
        <f>SUM(C12:K12)+SUM('fed2'!B12:K12)+SUM('fed3'!B12:J12)+SUM('fed4'!B12:L12)+SUM('fed5'!B12:M12)</f>
        <v>13610427.24</v>
      </c>
      <c r="C12" s="123">
        <v>0</v>
      </c>
      <c r="D12" s="130">
        <v>0</v>
      </c>
      <c r="E12" s="130">
        <v>0</v>
      </c>
      <c r="F12" s="130">
        <v>0</v>
      </c>
      <c r="G12" s="130">
        <v>129977</v>
      </c>
      <c r="H12" s="130">
        <v>0</v>
      </c>
      <c r="I12" s="130">
        <v>0</v>
      </c>
      <c r="J12" s="130">
        <v>15812.22</v>
      </c>
      <c r="K12" s="130">
        <v>703</v>
      </c>
      <c r="L12" s="20"/>
      <c r="N12" s="130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>
      <c r="A13" s="3" t="s">
        <v>2</v>
      </c>
      <c r="B13" s="257">
        <f>SUM(C13:K13)+SUM('fed2'!B13:K13)+SUM('fed3'!B13:J13)+SUM('fed4'!B13:L13)+SUM('fed5'!B13:M13)</f>
        <v>55612914.600000009</v>
      </c>
      <c r="C13" s="123">
        <v>0</v>
      </c>
      <c r="D13" s="130">
        <v>0</v>
      </c>
      <c r="E13" s="432">
        <v>54562.559999999998</v>
      </c>
      <c r="F13" s="432">
        <v>524875.37</v>
      </c>
      <c r="G13" s="323">
        <v>600520.31000000006</v>
      </c>
      <c r="H13" s="130">
        <v>0</v>
      </c>
      <c r="I13" s="130">
        <v>0</v>
      </c>
      <c r="J13" s="323">
        <v>37900.33</v>
      </c>
      <c r="K13" s="323">
        <v>1829.81</v>
      </c>
      <c r="L13" s="2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>
      <c r="A14" s="3" t="s">
        <v>3</v>
      </c>
      <c r="B14" s="257">
        <f>SUM(C14:K14)+SUM('fed2'!B14:K14)+SUM('fed3'!B14:J14)+SUM('fed4'!B14:L14)+SUM('fed5'!B14:M14)</f>
        <v>203998892.92999998</v>
      </c>
      <c r="C14" s="123">
        <v>0</v>
      </c>
      <c r="D14" s="130">
        <v>0</v>
      </c>
      <c r="E14" s="432">
        <v>215054.18</v>
      </c>
      <c r="F14" s="432">
        <v>120662.39</v>
      </c>
      <c r="G14" s="130">
        <v>2113197.58</v>
      </c>
      <c r="H14" s="130">
        <v>0</v>
      </c>
      <c r="I14" s="130">
        <v>0</v>
      </c>
      <c r="J14" s="130">
        <v>26525.96</v>
      </c>
      <c r="K14" s="130">
        <v>9338.4500000000007</v>
      </c>
      <c r="L14" s="20"/>
      <c r="M14" s="130"/>
      <c r="N14" s="13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>
      <c r="A15" s="3" t="s">
        <v>4</v>
      </c>
      <c r="B15" s="257">
        <f>SUM(C15:K15)+SUM('fed2'!B15:K15)+SUM('fed3'!B15:J15)+SUM('fed4'!B15:L15)+SUM('fed5'!B15:M15)</f>
        <v>90954594.510000005</v>
      </c>
      <c r="C15" s="123">
        <v>0</v>
      </c>
      <c r="D15" s="386">
        <v>167547.25</v>
      </c>
      <c r="E15" s="432">
        <v>172366.37</v>
      </c>
      <c r="F15" s="432">
        <v>465763.21</v>
      </c>
      <c r="G15" s="130">
        <v>913026.4</v>
      </c>
      <c r="H15" s="130">
        <v>0</v>
      </c>
      <c r="I15" s="130">
        <v>0</v>
      </c>
      <c r="J15" s="130">
        <v>0</v>
      </c>
      <c r="K15" s="130">
        <v>5098</v>
      </c>
      <c r="L15" s="20"/>
      <c r="M15" s="13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3.5" customHeight="1">
      <c r="A16" s="3" t="s">
        <v>5</v>
      </c>
      <c r="B16" s="257">
        <f>SUM(C16:K16)+SUM('fed2'!B16:K16)+SUM('fed3'!B16:J16)+SUM('fed4'!B16:L16)+SUM('fed5'!B16:M16)</f>
        <v>10270465.780000001</v>
      </c>
      <c r="C16" s="123">
        <v>0</v>
      </c>
      <c r="D16" s="130">
        <v>88163</v>
      </c>
      <c r="E16" s="432">
        <v>12594.85</v>
      </c>
      <c r="F16" s="432">
        <v>16336.87</v>
      </c>
      <c r="G16" s="130">
        <v>109566.71</v>
      </c>
      <c r="H16" s="130">
        <v>0</v>
      </c>
      <c r="I16" s="130">
        <v>0</v>
      </c>
      <c r="J16" s="130">
        <v>0</v>
      </c>
      <c r="K16" s="130">
        <v>601</v>
      </c>
      <c r="L16" s="20"/>
      <c r="M16" s="13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3.5" customHeight="1">
      <c r="B17" s="257"/>
      <c r="C17" s="352"/>
      <c r="D17" s="341"/>
      <c r="E17" s="433"/>
      <c r="F17" s="433"/>
      <c r="G17" s="341"/>
      <c r="H17" s="341"/>
      <c r="I17" s="341"/>
      <c r="J17" s="341"/>
      <c r="K17" s="341"/>
      <c r="L17" s="20"/>
      <c r="M17" s="2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>
      <c r="A18" s="3" t="s">
        <v>6</v>
      </c>
      <c r="B18" s="257">
        <f>SUM(C18:K18)+SUM('fed2'!B18:K18)+SUM('fed3'!B18:J18)+SUM('fed4'!B18:L18)+SUM('fed5'!B18:M18)</f>
        <v>7181870.1999999993</v>
      </c>
      <c r="C18" s="123">
        <v>0</v>
      </c>
      <c r="D18" s="130">
        <v>0</v>
      </c>
      <c r="E18" s="432">
        <v>38130.199999999997</v>
      </c>
      <c r="F18" s="432">
        <v>6830.92</v>
      </c>
      <c r="G18" s="130">
        <v>73960.63</v>
      </c>
      <c r="H18" s="130">
        <v>939.43</v>
      </c>
      <c r="I18" s="130">
        <v>0</v>
      </c>
      <c r="J18" s="130">
        <v>25000</v>
      </c>
      <c r="K18" s="130">
        <v>402</v>
      </c>
      <c r="L18" s="20"/>
      <c r="M18" s="403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>
      <c r="A19" s="3" t="s">
        <v>7</v>
      </c>
      <c r="B19" s="257">
        <f>SUM(C19:K19)+SUM('fed2'!B19:K19)+SUM('fed3'!B19:J19)+SUM('fed4'!B19:L19)+SUM('fed5'!B19:M19)</f>
        <v>19852747.090000004</v>
      </c>
      <c r="C19" s="123">
        <v>0</v>
      </c>
      <c r="D19" s="130">
        <v>0</v>
      </c>
      <c r="E19" s="432">
        <v>18830.740000000002</v>
      </c>
      <c r="F19" s="432">
        <v>17413.46</v>
      </c>
      <c r="G19" s="130">
        <v>179714</v>
      </c>
      <c r="H19" s="130">
        <v>7722</v>
      </c>
      <c r="I19" s="130">
        <v>0</v>
      </c>
      <c r="J19" s="130">
        <v>46840.959999999999</v>
      </c>
      <c r="K19" s="130">
        <v>971</v>
      </c>
      <c r="L19" s="20"/>
      <c r="M19" s="403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>
      <c r="A20" s="3" t="s">
        <v>8</v>
      </c>
      <c r="B20" s="257">
        <f>SUM(C20:K20)+SUM('fed2'!B20:K20)+SUM('fed3'!B20:J20)+SUM('fed4'!B20:L20)+SUM('fed5'!B20:M20)</f>
        <v>13994213.24</v>
      </c>
      <c r="C20" s="123">
        <v>0</v>
      </c>
      <c r="D20" s="130">
        <v>0</v>
      </c>
      <c r="E20" s="434">
        <v>8260.75</v>
      </c>
      <c r="F20" s="434">
        <v>19781.080000000002</v>
      </c>
      <c r="G20" s="323">
        <v>162859</v>
      </c>
      <c r="H20" s="323">
        <v>0</v>
      </c>
      <c r="I20" s="130">
        <v>0</v>
      </c>
      <c r="J20" s="323">
        <v>12286</v>
      </c>
      <c r="K20" s="323">
        <v>880</v>
      </c>
      <c r="L20" s="20"/>
      <c r="M20" s="403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>
      <c r="A21" s="3" t="s">
        <v>9</v>
      </c>
      <c r="B21" s="257">
        <f>SUM(C21:K21)+SUM('fed2'!B21:K21)+SUM('fed3'!B21:J21)+SUM('fed4'!B21:L21)+SUM('fed5'!B21:M21)</f>
        <v>23686814.689999998</v>
      </c>
      <c r="C21" s="123">
        <v>0</v>
      </c>
      <c r="D21" s="130">
        <v>0</v>
      </c>
      <c r="E21" s="434">
        <v>5872.1</v>
      </c>
      <c r="F21" s="434">
        <v>29400.7</v>
      </c>
      <c r="G21" s="130">
        <v>193368</v>
      </c>
      <c r="H21" s="130">
        <v>0</v>
      </c>
      <c r="I21" s="130">
        <v>0</v>
      </c>
      <c r="J21" s="130">
        <v>0</v>
      </c>
      <c r="K21" s="130">
        <v>1045</v>
      </c>
      <c r="L21" s="20"/>
      <c r="M21" s="403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>
      <c r="A22" s="3" t="s">
        <v>10</v>
      </c>
      <c r="B22" s="257">
        <f>SUM(C22:K22)+SUM('fed2'!B22:K22)+SUM('fed3'!B22:J22)+SUM('fed4'!B22:L22)+SUM('fed5'!B22:M22)</f>
        <v>5826623.8200000003</v>
      </c>
      <c r="C22" s="123">
        <v>0</v>
      </c>
      <c r="D22" s="130">
        <v>0</v>
      </c>
      <c r="E22" s="434">
        <v>13907.15</v>
      </c>
      <c r="F22" s="432">
        <v>13345.94</v>
      </c>
      <c r="G22" s="130">
        <v>76076</v>
      </c>
      <c r="H22" s="130">
        <v>0</v>
      </c>
      <c r="I22" s="130">
        <v>0</v>
      </c>
      <c r="J22" s="130">
        <v>24969.46</v>
      </c>
      <c r="K22" s="130">
        <v>416</v>
      </c>
      <c r="L22" s="20"/>
      <c r="M22" s="2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>
      <c r="B23" s="257"/>
      <c r="C23" s="353"/>
      <c r="D23" s="341"/>
      <c r="E23" s="433"/>
      <c r="F23" s="433"/>
      <c r="G23" s="341"/>
      <c r="H23" s="341"/>
      <c r="I23" s="341"/>
      <c r="J23" s="341"/>
      <c r="K23" s="341"/>
      <c r="L23" s="2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>
      <c r="A24" s="3" t="s">
        <v>11</v>
      </c>
      <c r="B24" s="206">
        <f>SUM(C24:K24)+SUM('fed2'!B24:K24)+SUM('fed3'!B24:J24)+SUM('fed4'!B24:L24)+SUM('fed5'!B24:M24)</f>
        <v>20523067.359999999</v>
      </c>
      <c r="C24" s="123">
        <v>0</v>
      </c>
      <c r="D24" s="130">
        <v>0</v>
      </c>
      <c r="E24" s="434">
        <v>69843.09</v>
      </c>
      <c r="F24" s="434">
        <v>164400.89000000001</v>
      </c>
      <c r="G24" s="130">
        <v>259688.44</v>
      </c>
      <c r="H24" s="130">
        <v>0</v>
      </c>
      <c r="I24" s="130">
        <v>0</v>
      </c>
      <c r="J24" s="130">
        <v>0</v>
      </c>
      <c r="K24" s="130">
        <v>1412</v>
      </c>
      <c r="L24" s="20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>
      <c r="A25" s="3" t="s">
        <v>12</v>
      </c>
      <c r="B25" s="257">
        <f>SUM(C25:K25)+SUM('fed2'!B25:K25)+SUM('fed3'!B25:J25)+SUM('fed4'!B25:L25)+SUM('fed5'!B25:M25)</f>
        <v>4960972.9499999993</v>
      </c>
      <c r="C25" s="123">
        <v>0</v>
      </c>
      <c r="D25" s="130">
        <v>0</v>
      </c>
      <c r="E25" s="130">
        <v>0</v>
      </c>
      <c r="F25" s="130">
        <v>0</v>
      </c>
      <c r="G25" s="130">
        <v>59400</v>
      </c>
      <c r="H25" s="130">
        <v>0</v>
      </c>
      <c r="I25" s="130">
        <v>0</v>
      </c>
      <c r="J25" s="130">
        <v>0</v>
      </c>
      <c r="K25" s="130">
        <v>321</v>
      </c>
      <c r="L25" s="2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>
      <c r="A26" s="3" t="s">
        <v>13</v>
      </c>
      <c r="B26" s="257">
        <f>SUM(C26:K26)+SUM('fed2'!B26:K26)+SUM('fed3'!B26:J26)+SUM('fed4'!B26:L26)+SUM('fed5'!B26:M26)</f>
        <v>28201621.399999999</v>
      </c>
      <c r="C26" s="123">
        <v>0</v>
      </c>
      <c r="D26" s="130">
        <v>0</v>
      </c>
      <c r="E26" s="434">
        <v>9393.5</v>
      </c>
      <c r="F26" s="434">
        <v>86581.62</v>
      </c>
      <c r="G26" s="323">
        <v>289420</v>
      </c>
      <c r="H26" s="323">
        <v>0</v>
      </c>
      <c r="I26" s="130">
        <v>0</v>
      </c>
      <c r="J26" s="323">
        <v>9991.59</v>
      </c>
      <c r="K26" s="323">
        <v>1565</v>
      </c>
      <c r="L26" s="2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>
      <c r="A27" s="3" t="s">
        <v>14</v>
      </c>
      <c r="B27" s="257">
        <f>SUM(C27:K27)+SUM('fed2'!B27:K27)+SUM('fed3'!B27:J27)+SUM('fed4'!B27:L27)+SUM('fed5'!B27:M27)</f>
        <v>23860226.210000005</v>
      </c>
      <c r="C27" s="123">
        <v>0</v>
      </c>
      <c r="D27" s="130">
        <v>0</v>
      </c>
      <c r="E27" s="434">
        <v>91895.360000000001</v>
      </c>
      <c r="F27" s="434">
        <v>317966.88</v>
      </c>
      <c r="G27" s="323">
        <v>280464.15999999997</v>
      </c>
      <c r="H27" s="323">
        <v>2657.75</v>
      </c>
      <c r="I27" s="130">
        <v>0</v>
      </c>
      <c r="J27" s="323">
        <v>0</v>
      </c>
      <c r="K27" s="323">
        <v>1562</v>
      </c>
      <c r="L27" s="2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>
      <c r="A28" s="3" t="s">
        <v>15</v>
      </c>
      <c r="B28" s="257">
        <f>SUM(C28:K28)+SUM('fed2'!B28:K28)+SUM('fed3'!B28:J28)+SUM('fed4'!B28:L28)+SUM('fed5'!B28:M28)</f>
        <v>3478470.75</v>
      </c>
      <c r="C28" s="123">
        <v>0</v>
      </c>
      <c r="D28" s="123">
        <v>0</v>
      </c>
      <c r="E28" s="434">
        <v>12714.08</v>
      </c>
      <c r="F28" s="434">
        <v>1826.96</v>
      </c>
      <c r="G28" s="323">
        <v>31960.47</v>
      </c>
      <c r="H28" s="323">
        <v>0</v>
      </c>
      <c r="I28" s="323">
        <v>0</v>
      </c>
      <c r="J28" s="323">
        <v>19935.77</v>
      </c>
      <c r="K28" s="323">
        <v>174.55</v>
      </c>
      <c r="L28" s="2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>
      <c r="B29" s="257"/>
      <c r="C29" s="352"/>
      <c r="D29" s="341"/>
      <c r="E29" s="433"/>
      <c r="F29" s="433"/>
      <c r="G29" s="337"/>
      <c r="H29" s="337"/>
      <c r="I29" s="337"/>
      <c r="J29" s="337"/>
      <c r="K29" s="337"/>
      <c r="L29" s="2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>
      <c r="A30" s="3" t="s">
        <v>16</v>
      </c>
      <c r="B30" s="257">
        <f>SUM(C30:K30)+SUM('fed2'!B30:K30)+SUM('fed3'!B30:J30)+SUM('fed4'!B30:L30)+SUM('fed5'!B30:M30)</f>
        <v>109485823.26000001</v>
      </c>
      <c r="C30" s="123">
        <v>0</v>
      </c>
      <c r="D30" s="130">
        <v>0</v>
      </c>
      <c r="E30" s="434">
        <v>3761009.47</v>
      </c>
      <c r="F30" s="130">
        <v>0</v>
      </c>
      <c r="G30" s="129">
        <v>1134193</v>
      </c>
      <c r="H30" s="130">
        <v>0</v>
      </c>
      <c r="I30" s="130">
        <v>0</v>
      </c>
      <c r="J30" s="129">
        <v>58815</v>
      </c>
      <c r="K30" s="129">
        <v>10373.61</v>
      </c>
      <c r="L30" s="2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>
      <c r="A31" s="3" t="s">
        <v>17</v>
      </c>
      <c r="B31" s="257">
        <f>SUM(C31:K31)+SUM('fed2'!B31:K31)+SUM('fed3'!B31:J31)+SUM('fed4'!B31:L31)+SUM('fed5'!B31:M31)</f>
        <v>145385789.04999998</v>
      </c>
      <c r="C31" s="123">
        <v>0</v>
      </c>
      <c r="D31" s="130">
        <v>0</v>
      </c>
      <c r="E31" s="434">
        <v>1827299.02</v>
      </c>
      <c r="F31" s="434">
        <v>948052.77</v>
      </c>
      <c r="G31" s="129">
        <v>986028.84</v>
      </c>
      <c r="H31" s="130">
        <v>0</v>
      </c>
      <c r="I31" s="130">
        <v>0</v>
      </c>
      <c r="J31" s="129">
        <v>0</v>
      </c>
      <c r="K31" s="129">
        <v>3969.48</v>
      </c>
      <c r="L31" s="2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s="54" customFormat="1">
      <c r="A32" s="54" t="s">
        <v>18</v>
      </c>
      <c r="B32" s="257">
        <f>SUM(C32:K32)+SUM('fed2'!B32:K32)+SUM('fed3'!B32:J32)+SUM('fed4'!B32:L32)+SUM('fed5'!B32:M32)</f>
        <v>5533215.1600000001</v>
      </c>
      <c r="C32" s="123">
        <v>0</v>
      </c>
      <c r="D32" s="130">
        <v>0</v>
      </c>
      <c r="E32" s="434">
        <v>18823.03</v>
      </c>
      <c r="F32" s="434">
        <v>19075.29</v>
      </c>
      <c r="G32" s="129">
        <v>62031</v>
      </c>
      <c r="H32" s="130">
        <v>0</v>
      </c>
      <c r="I32" s="130">
        <v>0</v>
      </c>
      <c r="J32" s="129">
        <v>75034.34</v>
      </c>
      <c r="K32" s="129">
        <v>335</v>
      </c>
      <c r="L32" s="66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</row>
    <row r="33" spans="1:37">
      <c r="A33" s="3" t="s">
        <v>19</v>
      </c>
      <c r="B33" s="257">
        <f>SUM(C33:K33)+SUM('fed2'!B33:K33)+SUM('fed3'!B33:J33)+SUM('fed4'!B33:L33)+SUM('fed5'!B33:M33)</f>
        <v>15845580.520000001</v>
      </c>
      <c r="C33" s="123">
        <v>0</v>
      </c>
      <c r="D33" s="130">
        <v>53770</v>
      </c>
      <c r="E33" s="434">
        <v>13727.06</v>
      </c>
      <c r="F33" s="434">
        <v>14809.8</v>
      </c>
      <c r="G33" s="129">
        <v>152677.03</v>
      </c>
      <c r="H33" s="130">
        <v>0</v>
      </c>
      <c r="I33" s="130">
        <v>0</v>
      </c>
      <c r="J33" s="129">
        <v>0</v>
      </c>
      <c r="K33" s="129">
        <v>854</v>
      </c>
      <c r="L33" s="20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>
      <c r="A34" s="3" t="s">
        <v>20</v>
      </c>
      <c r="B34" s="257">
        <f>SUM(C34:K34)+SUM('fed2'!B34:K34)+SUM('fed3'!B34:J34)+SUM('fed4'!B34:L34)+SUM('fed5'!B34:M34)</f>
        <v>5568196.71</v>
      </c>
      <c r="C34" s="123">
        <v>3073.46</v>
      </c>
      <c r="D34" s="130">
        <v>55925</v>
      </c>
      <c r="E34" s="434">
        <v>1348.06</v>
      </c>
      <c r="F34" s="434">
        <v>18118.82</v>
      </c>
      <c r="G34" s="129">
        <v>61851</v>
      </c>
      <c r="H34" s="130">
        <v>0</v>
      </c>
      <c r="I34" s="130">
        <v>0</v>
      </c>
      <c r="J34" s="129">
        <v>0</v>
      </c>
      <c r="K34" s="129">
        <v>334</v>
      </c>
      <c r="L34" s="2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>
      <c r="B35" s="257"/>
      <c r="C35" s="352"/>
      <c r="D35" s="341"/>
      <c r="E35" s="433"/>
      <c r="F35" s="433"/>
      <c r="G35" s="341"/>
      <c r="H35" s="341"/>
      <c r="I35" s="341"/>
      <c r="J35" s="341"/>
      <c r="K35" s="341"/>
      <c r="L35" s="20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>
      <c r="A36" s="3" t="s">
        <v>21</v>
      </c>
      <c r="B36" s="257">
        <f>SUM(C36:K36)+SUM('fed2'!B36:K36)+SUM('fed3'!B36:J36)+SUM('fed4'!B36:L36)+SUM('fed5'!B36:M36)</f>
        <v>3811091.3500000006</v>
      </c>
      <c r="C36" s="123">
        <v>0</v>
      </c>
      <c r="D36" s="130">
        <v>0</v>
      </c>
      <c r="E36" s="434">
        <v>37515.69</v>
      </c>
      <c r="F36" s="434">
        <v>1140.21</v>
      </c>
      <c r="G36" s="323">
        <v>50381.82</v>
      </c>
      <c r="H36" s="130">
        <v>0</v>
      </c>
      <c r="I36" s="323">
        <v>0</v>
      </c>
      <c r="J36" s="323">
        <v>23214.41</v>
      </c>
      <c r="K36" s="323">
        <v>49</v>
      </c>
      <c r="L36" s="20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>
      <c r="A37" s="3" t="s">
        <v>22</v>
      </c>
      <c r="B37" s="257">
        <f>SUM(C37:K37)+SUM('fed2'!B37:K37)+SUM('fed3'!B37:J37)+SUM('fed4'!B37:L37)+SUM('fed5'!B37:M37)</f>
        <v>21793814.910000004</v>
      </c>
      <c r="C37" s="123">
        <v>0</v>
      </c>
      <c r="D37" s="130">
        <v>0</v>
      </c>
      <c r="E37" s="434">
        <v>56882.73</v>
      </c>
      <c r="F37" s="432">
        <v>47503.85</v>
      </c>
      <c r="G37" s="130">
        <v>249845.67</v>
      </c>
      <c r="H37" s="130">
        <v>0</v>
      </c>
      <c r="I37" s="130">
        <v>3.07</v>
      </c>
      <c r="J37" s="130">
        <v>22500</v>
      </c>
      <c r="K37" s="130">
        <v>4263.41</v>
      </c>
      <c r="L37" s="20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>
      <c r="A38" s="3" t="s">
        <v>23</v>
      </c>
      <c r="B38" s="257">
        <f>SUM(C38:K38)+SUM('fed2'!B38:K38)+SUM('fed3'!B38:J38)+SUM('fed4'!B38:L38)+SUM('fed5'!B38:M38)</f>
        <v>16415246.549999999</v>
      </c>
      <c r="C38" s="123">
        <v>0</v>
      </c>
      <c r="D38" s="130">
        <v>0</v>
      </c>
      <c r="E38" s="434">
        <v>8477.7199999999993</v>
      </c>
      <c r="F38" s="434">
        <v>65131.19</v>
      </c>
      <c r="G38" s="130">
        <v>193615</v>
      </c>
      <c r="H38" s="130">
        <v>0</v>
      </c>
      <c r="I38" s="130">
        <v>0</v>
      </c>
      <c r="J38" s="130">
        <v>0</v>
      </c>
      <c r="K38" s="130">
        <v>1047</v>
      </c>
      <c r="L38" s="20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>
      <c r="A39" s="12" t="s">
        <v>24</v>
      </c>
      <c r="B39" s="310">
        <f>SUM(C39:K39)+SUM('fed2'!B39:K39)+SUM('fed3'!B39:J39)+SUM('fed4'!B39:L39)+SUM('fed5'!B39:M39)</f>
        <v>9471823.7299999986</v>
      </c>
      <c r="C39" s="399">
        <v>0</v>
      </c>
      <c r="D39" s="131">
        <v>46839</v>
      </c>
      <c r="E39" s="435">
        <v>14593.34</v>
      </c>
      <c r="F39" s="436">
        <v>14481.09</v>
      </c>
      <c r="G39" s="131">
        <v>86691</v>
      </c>
      <c r="H39" s="131">
        <v>0</v>
      </c>
      <c r="I39" s="131">
        <v>7000</v>
      </c>
      <c r="J39" s="131">
        <v>28272</v>
      </c>
      <c r="K39" s="131">
        <v>469</v>
      </c>
      <c r="L39" s="20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>
      <c r="B40" s="197"/>
      <c r="C40" s="202"/>
      <c r="D40" s="202"/>
      <c r="G40" s="202"/>
      <c r="H40" s="202"/>
      <c r="I40" s="202"/>
      <c r="J40" s="202"/>
      <c r="K40" s="202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>
      <c r="B41" s="224"/>
      <c r="C41" s="203"/>
      <c r="D41" s="202"/>
      <c r="G41" s="202"/>
      <c r="H41" s="202"/>
      <c r="I41" s="202"/>
      <c r="J41" s="202"/>
      <c r="K41" s="202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>
      <c r="D42" s="202"/>
      <c r="G42" s="202"/>
      <c r="H42" s="202"/>
      <c r="I42" s="202"/>
      <c r="J42" s="202"/>
      <c r="K42" s="202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>
      <c r="D43" s="202"/>
      <c r="G43" s="202"/>
      <c r="H43" s="202"/>
      <c r="I43" s="202"/>
      <c r="J43" s="202"/>
      <c r="K43" s="202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>
      <c r="D44" s="202"/>
      <c r="G44" s="202"/>
      <c r="H44" s="202"/>
      <c r="I44" s="202"/>
      <c r="J44" s="202"/>
      <c r="K44" s="202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>
      <c r="D45" s="202"/>
      <c r="G45" s="202"/>
      <c r="H45" s="202"/>
      <c r="I45" s="202"/>
      <c r="J45" s="202"/>
      <c r="K45" s="202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>
      <c r="D46" s="202"/>
      <c r="G46" s="202"/>
      <c r="H46" s="202"/>
      <c r="I46" s="202"/>
      <c r="J46" s="202"/>
      <c r="K46" s="202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>
      <c r="D47" s="202"/>
      <c r="G47" s="202"/>
      <c r="H47" s="202"/>
      <c r="I47" s="202"/>
      <c r="J47" s="202"/>
      <c r="K47" s="202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>
      <c r="D48" s="202"/>
      <c r="G48" s="202"/>
      <c r="H48" s="202"/>
      <c r="I48" s="202"/>
      <c r="J48" s="202"/>
      <c r="K48" s="202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4:37">
      <c r="D49" s="202"/>
      <c r="G49" s="202"/>
      <c r="H49" s="202"/>
      <c r="I49" s="202"/>
      <c r="J49" s="202"/>
      <c r="K49" s="202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4:37">
      <c r="D50" s="202"/>
      <c r="G50" s="202"/>
      <c r="H50" s="202"/>
      <c r="I50" s="202"/>
      <c r="J50" s="202"/>
      <c r="K50" s="202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4:37">
      <c r="D51" s="202"/>
      <c r="G51" s="202"/>
      <c r="H51" s="202"/>
      <c r="I51" s="202"/>
      <c r="J51" s="202"/>
      <c r="K51" s="202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4:37">
      <c r="D52" s="202"/>
      <c r="G52" s="202"/>
      <c r="H52" s="202"/>
      <c r="I52" s="202"/>
      <c r="J52" s="202"/>
      <c r="K52" s="202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4:37">
      <c r="D53" s="202"/>
      <c r="G53" s="202"/>
      <c r="H53" s="202"/>
      <c r="I53" s="202"/>
      <c r="J53" s="202"/>
      <c r="K53" s="202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4:37">
      <c r="D54" s="202"/>
      <c r="G54" s="202"/>
      <c r="H54" s="202"/>
      <c r="I54" s="202"/>
      <c r="J54" s="202"/>
      <c r="K54" s="202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4:37">
      <c r="D55" s="202"/>
      <c r="G55" s="202"/>
      <c r="H55" s="202"/>
      <c r="I55" s="202"/>
      <c r="J55" s="202"/>
      <c r="K55" s="202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4:37">
      <c r="D56" s="202"/>
      <c r="G56" s="202"/>
      <c r="H56" s="202"/>
      <c r="I56" s="202"/>
      <c r="J56" s="202"/>
      <c r="K56" s="202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4:37">
      <c r="D57" s="202"/>
      <c r="G57" s="202"/>
      <c r="H57" s="202"/>
      <c r="I57" s="202"/>
      <c r="J57" s="202"/>
      <c r="K57" s="202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4:37">
      <c r="D58" s="202"/>
      <c r="G58" s="202"/>
      <c r="H58" s="202"/>
      <c r="I58" s="202"/>
      <c r="J58" s="202"/>
      <c r="K58" s="202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4:37">
      <c r="D59" s="202"/>
      <c r="G59" s="202"/>
      <c r="H59" s="202"/>
      <c r="I59" s="202"/>
      <c r="J59" s="202"/>
      <c r="K59" s="202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4:37">
      <c r="D60" s="202"/>
      <c r="G60" s="202"/>
      <c r="H60" s="202"/>
      <c r="I60" s="202"/>
      <c r="J60" s="202"/>
      <c r="K60" s="202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4:37">
      <c r="D61" s="202"/>
      <c r="G61" s="202"/>
      <c r="H61" s="202"/>
      <c r="I61" s="202"/>
      <c r="J61" s="202"/>
      <c r="K61" s="202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4:37">
      <c r="D62" s="202"/>
      <c r="G62" s="202"/>
      <c r="H62" s="202"/>
      <c r="I62" s="202"/>
      <c r="J62" s="202"/>
      <c r="K62" s="202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4:37">
      <c r="D63" s="202"/>
      <c r="G63" s="202"/>
      <c r="H63" s="202"/>
      <c r="I63" s="202"/>
      <c r="J63" s="202"/>
      <c r="K63" s="202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4:37">
      <c r="D64" s="202"/>
      <c r="G64" s="202"/>
      <c r="H64" s="202"/>
      <c r="I64" s="202"/>
      <c r="J64" s="202"/>
      <c r="K64" s="202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4:37">
      <c r="D65" s="202"/>
      <c r="G65" s="202"/>
      <c r="H65" s="202"/>
      <c r="I65" s="202"/>
      <c r="J65" s="202"/>
      <c r="K65" s="202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4:37">
      <c r="D66" s="202"/>
      <c r="G66" s="202"/>
      <c r="H66" s="202"/>
      <c r="I66" s="202"/>
      <c r="J66" s="202"/>
      <c r="K66" s="202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4:37">
      <c r="D67" s="202"/>
      <c r="G67" s="202"/>
      <c r="H67" s="202"/>
      <c r="I67" s="202"/>
      <c r="J67" s="202"/>
      <c r="K67" s="202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4:37">
      <c r="D68" s="202"/>
      <c r="G68" s="202"/>
      <c r="H68" s="202"/>
      <c r="I68" s="202"/>
      <c r="J68" s="202"/>
      <c r="K68" s="202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4:37">
      <c r="D69" s="202"/>
      <c r="G69" s="202"/>
      <c r="H69" s="202"/>
      <c r="I69" s="202"/>
      <c r="J69" s="202"/>
      <c r="K69" s="202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4:37">
      <c r="D70" s="202"/>
      <c r="G70" s="202"/>
      <c r="H70" s="202"/>
      <c r="I70" s="202"/>
      <c r="J70" s="202"/>
      <c r="K70" s="202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4:37">
      <c r="D71" s="202"/>
      <c r="G71" s="202"/>
      <c r="H71" s="202"/>
      <c r="I71" s="202"/>
      <c r="J71" s="202"/>
      <c r="K71" s="202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4:37">
      <c r="D72" s="202"/>
      <c r="G72" s="202"/>
      <c r="H72" s="202"/>
      <c r="I72" s="202"/>
      <c r="J72" s="202"/>
      <c r="K72" s="202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4:37">
      <c r="D73" s="202"/>
      <c r="G73" s="202"/>
      <c r="H73" s="202"/>
      <c r="I73" s="202"/>
      <c r="J73" s="202"/>
      <c r="K73" s="202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4:37">
      <c r="D74" s="202"/>
      <c r="G74" s="202"/>
      <c r="H74" s="202"/>
      <c r="I74" s="202"/>
      <c r="J74" s="202"/>
      <c r="K74" s="202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4:37">
      <c r="D75" s="202"/>
      <c r="G75" s="202"/>
      <c r="H75" s="202"/>
      <c r="I75" s="202"/>
      <c r="J75" s="202"/>
      <c r="K75" s="202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4:37">
      <c r="D76" s="202"/>
      <c r="G76" s="202"/>
      <c r="H76" s="202"/>
      <c r="I76" s="202"/>
      <c r="J76" s="202"/>
      <c r="K76" s="202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</sheetData>
  <sheetProtection password="CAF5" sheet="1" objects="1" scenarios="1"/>
  <mergeCells count="9">
    <mergeCell ref="A1:K1"/>
    <mergeCell ref="G6:K6"/>
    <mergeCell ref="E7:E9"/>
    <mergeCell ref="A2:K2"/>
    <mergeCell ref="G5:K5"/>
    <mergeCell ref="A3:K3"/>
    <mergeCell ref="C7:C9"/>
    <mergeCell ref="J8:J9"/>
    <mergeCell ref="F5:F9"/>
  </mergeCells>
  <phoneticPr fontId="0" type="noConversion"/>
  <printOptions horizontalCentered="1"/>
  <pageMargins left="0.27" right="0.34" top="0.83" bottom="1" header="0.67" footer="0.5"/>
  <pageSetup scale="88" orientation="landscape" r:id="rId1"/>
  <headerFooter alignWithMargins="0">
    <oddFooter xml:space="preserve">&amp;L&amp;"Arial,Italic"&amp;9MSDE - LFRO  12 / 2014
&amp;C- 12 -&amp;R&amp;"Arial,Italic"&amp;9Selected Financial Data-Part 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Normal="100" workbookViewId="0">
      <selection sqref="A1:L1"/>
    </sheetView>
  </sheetViews>
  <sheetFormatPr defaultRowHeight="12.75"/>
  <cols>
    <col min="1" max="1" width="14.42578125" customWidth="1"/>
    <col min="2" max="2" width="15.28515625" customWidth="1"/>
    <col min="3" max="4" width="14.42578125" customWidth="1"/>
    <col min="5" max="5" width="12.28515625" customWidth="1"/>
    <col min="6" max="7" width="14.42578125" customWidth="1"/>
    <col min="8" max="8" width="14.42578125" style="225" customWidth="1"/>
    <col min="9" max="9" width="21.42578125" style="225" customWidth="1"/>
    <col min="10" max="10" width="11.5703125" style="225" customWidth="1"/>
    <col min="11" max="11" width="14" style="225" customWidth="1"/>
    <col min="12" max="12" width="12.85546875" bestFit="1" customWidth="1"/>
  </cols>
  <sheetData>
    <row r="1" spans="1:12">
      <c r="A1" s="520" t="s">
        <v>119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2">
      <c r="A2" s="3"/>
      <c r="B2" s="3"/>
      <c r="C2" s="3"/>
      <c r="D2" s="3"/>
      <c r="E2" s="3"/>
      <c r="F2" s="3"/>
      <c r="G2" s="3"/>
      <c r="H2" s="200"/>
      <c r="I2" s="200"/>
    </row>
    <row r="3" spans="1:12">
      <c r="A3" s="526" t="s">
        <v>269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</row>
    <row r="4" spans="1:12" ht="13.5" thickBot="1">
      <c r="A4" s="3"/>
      <c r="B4" s="3"/>
      <c r="C4" s="3"/>
      <c r="D4" s="3"/>
      <c r="E4" s="3"/>
      <c r="F4" s="3"/>
      <c r="G4" s="3"/>
      <c r="H4" s="200"/>
      <c r="I4" s="200"/>
      <c r="J4" s="200"/>
      <c r="K4" s="200"/>
      <c r="L4" s="3"/>
    </row>
    <row r="5" spans="1:12" ht="15" customHeight="1" thickTop="1">
      <c r="A5" s="6"/>
      <c r="B5" s="284" t="s">
        <v>56</v>
      </c>
      <c r="C5" s="284"/>
      <c r="D5" s="284"/>
      <c r="E5" s="284"/>
      <c r="F5" s="284"/>
      <c r="G5" s="284"/>
      <c r="H5" s="284"/>
      <c r="I5" s="284"/>
      <c r="J5" s="284"/>
      <c r="K5" s="284"/>
    </row>
    <row r="6" spans="1:12" ht="12.75" customHeight="1">
      <c r="A6" s="3"/>
      <c r="B6" s="540" t="s">
        <v>243</v>
      </c>
      <c r="C6" s="541"/>
      <c r="D6" s="541"/>
      <c r="E6" s="541"/>
      <c r="F6" s="541"/>
      <c r="G6" s="541"/>
      <c r="H6" s="541"/>
      <c r="I6" s="542"/>
      <c r="J6" s="217" t="s">
        <v>228</v>
      </c>
      <c r="K6" s="216" t="s">
        <v>228</v>
      </c>
    </row>
    <row r="7" spans="1:12" ht="12.75" customHeight="1">
      <c r="A7" s="3" t="s">
        <v>77</v>
      </c>
      <c r="B7" s="217" t="s">
        <v>62</v>
      </c>
      <c r="C7" s="530" t="s">
        <v>224</v>
      </c>
      <c r="D7" s="538" t="s">
        <v>225</v>
      </c>
      <c r="E7" s="217"/>
      <c r="F7" s="217"/>
      <c r="G7" s="217" t="s">
        <v>145</v>
      </c>
      <c r="H7" s="537" t="s">
        <v>234</v>
      </c>
      <c r="I7" s="313" t="s">
        <v>249</v>
      </c>
      <c r="J7" s="217" t="s">
        <v>230</v>
      </c>
      <c r="K7" s="217" t="s">
        <v>229</v>
      </c>
    </row>
    <row r="8" spans="1:12">
      <c r="A8" s="3" t="s">
        <v>33</v>
      </c>
      <c r="B8" s="217" t="s">
        <v>57</v>
      </c>
      <c r="C8" s="490"/>
      <c r="D8" s="539"/>
      <c r="E8" s="217"/>
      <c r="F8" s="217" t="s">
        <v>59</v>
      </c>
      <c r="G8" s="217" t="s">
        <v>31</v>
      </c>
      <c r="H8" s="538"/>
      <c r="I8" s="534" t="s">
        <v>250</v>
      </c>
      <c r="J8" s="217" t="s">
        <v>26</v>
      </c>
      <c r="K8" s="217" t="s">
        <v>26</v>
      </c>
    </row>
    <row r="9" spans="1:12" ht="13.5" thickBot="1">
      <c r="A9" s="7" t="s">
        <v>132</v>
      </c>
      <c r="B9" s="219" t="s">
        <v>151</v>
      </c>
      <c r="C9" s="491"/>
      <c r="D9" s="518"/>
      <c r="E9" s="219" t="s">
        <v>53</v>
      </c>
      <c r="F9" s="219" t="s">
        <v>60</v>
      </c>
      <c r="G9" s="219" t="s">
        <v>146</v>
      </c>
      <c r="H9" s="518"/>
      <c r="I9" s="535"/>
      <c r="J9" s="219" t="s">
        <v>64</v>
      </c>
      <c r="K9" s="219" t="s">
        <v>64</v>
      </c>
    </row>
    <row r="10" spans="1:12" s="16" customFormat="1">
      <c r="A10" s="48" t="s">
        <v>0</v>
      </c>
      <c r="B10" s="228">
        <f t="shared" ref="B10:G10" si="0">SUM(B12:B39)</f>
        <v>168356207.48999995</v>
      </c>
      <c r="C10" s="228">
        <f t="shared" si="0"/>
        <v>8516841.7199999988</v>
      </c>
      <c r="D10" s="228">
        <f t="shared" si="0"/>
        <v>323445.15000000002</v>
      </c>
      <c r="E10" s="228">
        <f t="shared" si="0"/>
        <v>553087.74</v>
      </c>
      <c r="F10" s="228">
        <f t="shared" si="0"/>
        <v>565925.87</v>
      </c>
      <c r="G10" s="228">
        <f t="shared" si="0"/>
        <v>929856.47999999986</v>
      </c>
      <c r="H10" s="228">
        <f>SUM(H12:H39)</f>
        <v>6816675.1200000001</v>
      </c>
      <c r="I10" s="228">
        <f>SUM(I12:I39)</f>
        <v>14513288.430000002</v>
      </c>
      <c r="J10" s="228">
        <f>SUM(J12:J39)</f>
        <v>1275226.7300000002</v>
      </c>
      <c r="K10" s="305">
        <f>SUM(K12:K39)</f>
        <v>169955.86</v>
      </c>
      <c r="L10" s="3"/>
    </row>
    <row r="11" spans="1:12">
      <c r="A11" s="3"/>
      <c r="B11" s="231"/>
      <c r="C11" s="231"/>
      <c r="D11" s="231"/>
      <c r="E11" s="231"/>
      <c r="F11" s="231"/>
      <c r="G11" s="231"/>
      <c r="H11" s="231"/>
      <c r="I11" s="231"/>
      <c r="J11" s="229"/>
      <c r="K11" s="229"/>
    </row>
    <row r="12" spans="1:12">
      <c r="A12" s="3" t="s">
        <v>1</v>
      </c>
      <c r="B12" s="130">
        <v>2492337.5299999998</v>
      </c>
      <c r="C12" s="130">
        <v>40539.74</v>
      </c>
      <c r="D12" s="379">
        <v>4062</v>
      </c>
      <c r="E12" s="379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26031.31</v>
      </c>
      <c r="L12" s="81"/>
    </row>
    <row r="13" spans="1:12">
      <c r="A13" s="3" t="s">
        <v>2</v>
      </c>
      <c r="B13" s="130">
        <v>10539039.439999999</v>
      </c>
      <c r="C13" s="130">
        <v>0</v>
      </c>
      <c r="D13" s="379">
        <v>4737.47</v>
      </c>
      <c r="E13" s="379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81"/>
    </row>
    <row r="14" spans="1:12" s="23" customFormat="1">
      <c r="A14" s="32" t="s">
        <v>3</v>
      </c>
      <c r="B14" s="130">
        <v>54060314.859999999</v>
      </c>
      <c r="C14" s="379">
        <v>6849319.8899999997</v>
      </c>
      <c r="D14" s="379">
        <v>123560.68</v>
      </c>
      <c r="E14" s="379">
        <v>0</v>
      </c>
      <c r="F14" s="130">
        <v>0</v>
      </c>
      <c r="G14" s="130">
        <v>361350.37</v>
      </c>
      <c r="H14" s="323">
        <v>4147490.37</v>
      </c>
      <c r="I14" s="323">
        <v>9205659.9800000004</v>
      </c>
      <c r="J14" s="130">
        <v>117248.3</v>
      </c>
      <c r="K14" s="130">
        <v>0</v>
      </c>
      <c r="L14" s="77"/>
    </row>
    <row r="15" spans="1:12">
      <c r="A15" s="3" t="s">
        <v>4</v>
      </c>
      <c r="B15" s="130">
        <v>16677252.74</v>
      </c>
      <c r="C15" s="130">
        <v>637800.34</v>
      </c>
      <c r="D15" s="379">
        <v>41194</v>
      </c>
      <c r="E15" s="379">
        <v>0</v>
      </c>
      <c r="F15" s="130">
        <v>0</v>
      </c>
      <c r="G15" s="130">
        <v>145549.82999999999</v>
      </c>
      <c r="H15" s="130">
        <v>0</v>
      </c>
      <c r="I15" s="130">
        <v>0</v>
      </c>
      <c r="J15" s="130">
        <v>150667.76</v>
      </c>
      <c r="K15" s="130">
        <v>0</v>
      </c>
      <c r="L15" s="81"/>
    </row>
    <row r="16" spans="1:12">
      <c r="A16" s="3" t="s">
        <v>5</v>
      </c>
      <c r="B16" s="130">
        <v>1267754.3799999999</v>
      </c>
      <c r="C16" s="130">
        <v>0</v>
      </c>
      <c r="D16" s="379">
        <v>2007</v>
      </c>
      <c r="E16" s="379">
        <v>0</v>
      </c>
      <c r="F16" s="130">
        <v>201757.64</v>
      </c>
      <c r="G16" s="130">
        <v>0</v>
      </c>
      <c r="H16" s="130">
        <v>0</v>
      </c>
      <c r="I16" s="130">
        <v>0</v>
      </c>
      <c r="J16" s="323">
        <v>0</v>
      </c>
      <c r="K16" s="323">
        <v>17906.490000000002</v>
      </c>
      <c r="L16" s="81"/>
    </row>
    <row r="17" spans="1:12">
      <c r="A17" s="3"/>
      <c r="B17" s="341"/>
      <c r="C17" s="348"/>
      <c r="D17" s="348"/>
      <c r="E17" s="341"/>
      <c r="F17" s="341"/>
      <c r="G17" s="341"/>
      <c r="H17" s="341"/>
      <c r="I17" s="341"/>
      <c r="J17" s="339"/>
      <c r="K17" s="339"/>
      <c r="L17" s="81"/>
    </row>
    <row r="18" spans="1:12">
      <c r="A18" s="3" t="s">
        <v>6</v>
      </c>
      <c r="B18" s="130">
        <v>1371708.91</v>
      </c>
      <c r="C18" s="130">
        <v>0</v>
      </c>
      <c r="D18" s="379">
        <v>1848</v>
      </c>
      <c r="E18" s="379">
        <v>0</v>
      </c>
      <c r="F18" s="130">
        <v>0</v>
      </c>
      <c r="G18" s="130">
        <v>0</v>
      </c>
      <c r="H18" s="130">
        <v>0</v>
      </c>
      <c r="I18" s="130">
        <v>0</v>
      </c>
      <c r="J18" s="323">
        <v>0</v>
      </c>
      <c r="K18" s="323">
        <v>3218.94</v>
      </c>
      <c r="L18" s="81"/>
    </row>
    <row r="19" spans="1:12">
      <c r="A19" s="3" t="s">
        <v>7</v>
      </c>
      <c r="B19" s="130">
        <v>1576279.94</v>
      </c>
      <c r="C19" s="130">
        <v>0</v>
      </c>
      <c r="D19" s="398">
        <v>1184</v>
      </c>
      <c r="E19" s="379">
        <v>0</v>
      </c>
      <c r="F19" s="130">
        <v>0</v>
      </c>
      <c r="G19" s="130">
        <v>0</v>
      </c>
      <c r="H19" s="130">
        <v>0</v>
      </c>
      <c r="I19" s="130">
        <v>0</v>
      </c>
      <c r="J19" s="323">
        <v>0</v>
      </c>
      <c r="K19" s="130">
        <v>0</v>
      </c>
      <c r="L19" s="81"/>
    </row>
    <row r="20" spans="1:12">
      <c r="A20" s="3" t="s">
        <v>8</v>
      </c>
      <c r="B20" s="130">
        <v>2420664.92</v>
      </c>
      <c r="C20" s="130">
        <v>0</v>
      </c>
      <c r="D20" s="379">
        <v>4641</v>
      </c>
      <c r="E20" s="379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174735.01</v>
      </c>
      <c r="K20" s="130">
        <v>0</v>
      </c>
      <c r="L20" s="81"/>
    </row>
    <row r="21" spans="1:12">
      <c r="A21" s="3" t="s">
        <v>9</v>
      </c>
      <c r="B21" s="130">
        <v>2430724.62</v>
      </c>
      <c r="C21" s="130">
        <v>0</v>
      </c>
      <c r="D21" s="379">
        <v>4336</v>
      </c>
      <c r="E21" s="379">
        <v>0</v>
      </c>
      <c r="F21" s="130">
        <v>0</v>
      </c>
      <c r="G21" s="130">
        <v>0</v>
      </c>
      <c r="H21" s="130">
        <v>0</v>
      </c>
      <c r="I21" s="130">
        <v>16328.77</v>
      </c>
      <c r="J21" s="130">
        <v>17221.310000000001</v>
      </c>
      <c r="K21" s="130">
        <v>0</v>
      </c>
      <c r="L21" s="81"/>
    </row>
    <row r="22" spans="1:12">
      <c r="A22" s="3" t="s">
        <v>10</v>
      </c>
      <c r="B22" s="130">
        <v>1511273.89</v>
      </c>
      <c r="C22" s="379">
        <v>166973.04</v>
      </c>
      <c r="D22" s="379">
        <v>2192</v>
      </c>
      <c r="E22" s="323">
        <v>71908.58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19686.62</v>
      </c>
      <c r="L22" s="81"/>
    </row>
    <row r="23" spans="1:12">
      <c r="A23" s="3"/>
      <c r="B23" s="341"/>
      <c r="C23" s="348"/>
      <c r="D23" s="348"/>
      <c r="E23" s="341"/>
      <c r="F23" s="341"/>
      <c r="G23" s="341"/>
      <c r="H23" s="341"/>
      <c r="I23" s="341"/>
      <c r="J23" s="341"/>
      <c r="K23" s="341"/>
      <c r="L23" s="81"/>
    </row>
    <row r="24" spans="1:12">
      <c r="A24" s="3" t="s">
        <v>11</v>
      </c>
      <c r="B24" s="130">
        <v>3251631.38</v>
      </c>
      <c r="C24" s="379">
        <v>53223.06</v>
      </c>
      <c r="D24" s="379">
        <v>5876</v>
      </c>
      <c r="E24" s="379">
        <v>0</v>
      </c>
      <c r="F24" s="130">
        <v>0</v>
      </c>
      <c r="G24" s="130">
        <v>0</v>
      </c>
      <c r="H24" s="130">
        <v>0</v>
      </c>
      <c r="I24" s="130">
        <v>90325.42</v>
      </c>
      <c r="J24" s="130">
        <v>0</v>
      </c>
      <c r="K24" s="130">
        <v>0</v>
      </c>
      <c r="L24" s="81"/>
    </row>
    <row r="25" spans="1:12">
      <c r="A25" s="3" t="s">
        <v>12</v>
      </c>
      <c r="B25" s="130">
        <v>1222724.93</v>
      </c>
      <c r="C25" s="379">
        <v>0</v>
      </c>
      <c r="D25" s="379">
        <v>1975</v>
      </c>
      <c r="E25" s="379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10275.92</v>
      </c>
      <c r="L25" s="81"/>
    </row>
    <row r="26" spans="1:12">
      <c r="A26" s="3" t="s">
        <v>13</v>
      </c>
      <c r="B26" s="323">
        <v>3651324.51</v>
      </c>
      <c r="C26" s="379">
        <v>138745.04999999999</v>
      </c>
      <c r="D26" s="379">
        <v>6878</v>
      </c>
      <c r="E26" s="379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16391.87</v>
      </c>
      <c r="K26" s="130">
        <v>0</v>
      </c>
      <c r="L26" s="81"/>
    </row>
    <row r="27" spans="1:12">
      <c r="A27" s="3" t="s">
        <v>14</v>
      </c>
      <c r="B27" s="130">
        <v>1817446.06</v>
      </c>
      <c r="C27" s="379">
        <v>0</v>
      </c>
      <c r="D27" s="379">
        <v>4892</v>
      </c>
      <c r="E27" s="379">
        <v>0</v>
      </c>
      <c r="F27" s="130">
        <v>317985.86</v>
      </c>
      <c r="G27" s="130">
        <v>0</v>
      </c>
      <c r="H27" s="130">
        <v>0</v>
      </c>
      <c r="I27" s="130">
        <v>0</v>
      </c>
      <c r="J27" s="130">
        <v>6685.92</v>
      </c>
      <c r="K27" s="130">
        <v>0</v>
      </c>
      <c r="L27" s="81"/>
    </row>
    <row r="28" spans="1:12">
      <c r="A28" s="3" t="s">
        <v>15</v>
      </c>
      <c r="B28" s="130">
        <v>492073.36</v>
      </c>
      <c r="C28" s="379">
        <v>0</v>
      </c>
      <c r="D28" s="379">
        <v>792</v>
      </c>
      <c r="E28" s="379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81"/>
    </row>
    <row r="29" spans="1:12">
      <c r="A29" s="3"/>
      <c r="B29" s="341"/>
      <c r="C29" s="348"/>
      <c r="D29" s="348"/>
      <c r="E29" s="341"/>
      <c r="F29" s="353"/>
      <c r="G29" s="341"/>
      <c r="H29" s="341"/>
      <c r="I29" s="341"/>
      <c r="J29" s="341"/>
      <c r="K29" s="341"/>
      <c r="L29" s="81"/>
    </row>
    <row r="30" spans="1:12">
      <c r="A30" s="3" t="s">
        <v>16</v>
      </c>
      <c r="B30" s="130">
        <v>19931252.699999999</v>
      </c>
      <c r="C30" s="323">
        <v>133840.26999999999</v>
      </c>
      <c r="D30" s="323">
        <v>31637</v>
      </c>
      <c r="E30" s="379">
        <v>0</v>
      </c>
      <c r="F30" s="130">
        <v>0</v>
      </c>
      <c r="G30" s="130">
        <v>204217.94</v>
      </c>
      <c r="H30" s="130">
        <v>0</v>
      </c>
      <c r="I30" s="130">
        <v>0</v>
      </c>
      <c r="J30" s="130">
        <v>648296.28</v>
      </c>
      <c r="K30" s="130">
        <v>0</v>
      </c>
      <c r="L30" s="81"/>
    </row>
    <row r="31" spans="1:12">
      <c r="A31" s="3" t="s">
        <v>17</v>
      </c>
      <c r="B31" s="130">
        <v>28904175.469999999</v>
      </c>
      <c r="C31" s="379">
        <v>475366.16</v>
      </c>
      <c r="D31" s="379">
        <v>55790</v>
      </c>
      <c r="E31" s="379">
        <v>0</v>
      </c>
      <c r="F31" s="130">
        <v>20372.21</v>
      </c>
      <c r="G31" s="323">
        <v>0</v>
      </c>
      <c r="H31" s="130">
        <v>2669184.75</v>
      </c>
      <c r="I31" s="130">
        <v>5092195.29</v>
      </c>
      <c r="J31" s="130">
        <v>120107.83</v>
      </c>
      <c r="K31" s="130">
        <v>24196.76</v>
      </c>
      <c r="L31" s="81"/>
    </row>
    <row r="32" spans="1:12" s="55" customFormat="1">
      <c r="A32" s="54" t="s">
        <v>18</v>
      </c>
      <c r="B32" s="323">
        <v>671598.94</v>
      </c>
      <c r="C32" s="379">
        <v>0</v>
      </c>
      <c r="D32" s="379">
        <v>1135</v>
      </c>
      <c r="E32" s="130">
        <v>271130.71999999997</v>
      </c>
      <c r="F32" s="323">
        <v>25810.16</v>
      </c>
      <c r="G32" s="323">
        <v>0</v>
      </c>
      <c r="H32" s="130">
        <v>0</v>
      </c>
      <c r="I32" s="130">
        <v>0</v>
      </c>
      <c r="J32" s="130">
        <v>0</v>
      </c>
      <c r="K32" s="130">
        <v>0</v>
      </c>
      <c r="L32" s="319"/>
    </row>
    <row r="33" spans="1:12">
      <c r="A33" s="3" t="s">
        <v>19</v>
      </c>
      <c r="B33" s="130">
        <v>2219140.25</v>
      </c>
      <c r="C33" s="379">
        <v>0</v>
      </c>
      <c r="D33" s="379">
        <v>3796</v>
      </c>
      <c r="E33" s="379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81"/>
    </row>
    <row r="34" spans="1:12">
      <c r="A34" s="3" t="s">
        <v>20</v>
      </c>
      <c r="B34" s="130">
        <v>1443694.25</v>
      </c>
      <c r="C34" s="379">
        <v>0</v>
      </c>
      <c r="D34" s="379">
        <v>2438</v>
      </c>
      <c r="E34" s="130">
        <v>210048.44</v>
      </c>
      <c r="F34" s="130">
        <v>0</v>
      </c>
      <c r="G34" s="130">
        <v>0</v>
      </c>
      <c r="H34" s="130">
        <v>0</v>
      </c>
      <c r="I34" s="130">
        <v>0</v>
      </c>
      <c r="J34" s="130">
        <v>9827.6</v>
      </c>
      <c r="K34" s="130">
        <v>0</v>
      </c>
      <c r="L34" s="81"/>
    </row>
    <row r="35" spans="1:12">
      <c r="A35" s="3"/>
      <c r="B35" s="341"/>
      <c r="C35" s="348"/>
      <c r="D35" s="348"/>
      <c r="E35" s="341"/>
      <c r="F35" s="341"/>
      <c r="G35" s="341"/>
      <c r="H35" s="341"/>
      <c r="I35" s="341"/>
      <c r="J35" s="341"/>
      <c r="K35" s="341"/>
      <c r="L35" s="81"/>
    </row>
    <row r="36" spans="1:12">
      <c r="A36" s="3" t="s">
        <v>21</v>
      </c>
      <c r="B36" s="130">
        <v>721896.39</v>
      </c>
      <c r="C36" s="379">
        <v>0</v>
      </c>
      <c r="D36" s="379">
        <v>1162</v>
      </c>
      <c r="E36" s="379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81"/>
    </row>
    <row r="37" spans="1:12">
      <c r="A37" s="3" t="s">
        <v>22</v>
      </c>
      <c r="B37" s="130">
        <v>4364829.37</v>
      </c>
      <c r="C37" s="130">
        <v>0</v>
      </c>
      <c r="D37" s="379">
        <v>7354</v>
      </c>
      <c r="E37" s="130">
        <v>0</v>
      </c>
      <c r="F37" s="130">
        <v>0</v>
      </c>
      <c r="G37" s="130">
        <v>218738.34</v>
      </c>
      <c r="H37" s="130">
        <v>0</v>
      </c>
      <c r="I37" s="130">
        <v>0</v>
      </c>
      <c r="J37" s="130">
        <v>0</v>
      </c>
      <c r="K37" s="130">
        <v>31659.64</v>
      </c>
      <c r="L37" s="81"/>
    </row>
    <row r="38" spans="1:12">
      <c r="A38" s="3" t="s">
        <v>23</v>
      </c>
      <c r="B38" s="130">
        <v>3705682.92</v>
      </c>
      <c r="C38" s="130">
        <v>21034.17</v>
      </c>
      <c r="D38" s="379">
        <v>7301</v>
      </c>
      <c r="E38" s="130">
        <v>0</v>
      </c>
      <c r="F38" s="130">
        <v>0</v>
      </c>
      <c r="G38" s="130">
        <v>0</v>
      </c>
      <c r="H38" s="130">
        <v>0</v>
      </c>
      <c r="I38" s="130">
        <v>108778.97</v>
      </c>
      <c r="J38" s="130">
        <v>0</v>
      </c>
      <c r="K38" s="130">
        <v>0</v>
      </c>
      <c r="L38" s="81"/>
    </row>
    <row r="39" spans="1:12">
      <c r="A39" s="12" t="s">
        <v>24</v>
      </c>
      <c r="B39" s="131">
        <v>1611385.73</v>
      </c>
      <c r="C39" s="131">
        <v>0</v>
      </c>
      <c r="D39" s="400">
        <v>2657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14044.85</v>
      </c>
      <c r="K39" s="131">
        <v>36980.18</v>
      </c>
      <c r="L39" s="74"/>
    </row>
    <row r="40" spans="1:12">
      <c r="A40" s="3"/>
      <c r="B40" s="32"/>
      <c r="C40" s="32"/>
      <c r="D40" s="32"/>
      <c r="E40" s="32"/>
      <c r="F40" s="32"/>
      <c r="G40" s="32"/>
      <c r="H40" s="32"/>
      <c r="I40" s="32"/>
      <c r="J40" s="50"/>
      <c r="K40" s="50"/>
      <c r="L40" s="15"/>
    </row>
    <row r="41" spans="1:12">
      <c r="A41" s="3"/>
      <c r="B41" s="3"/>
      <c r="C41" s="3"/>
      <c r="D41" s="3"/>
      <c r="E41" s="3"/>
      <c r="F41" s="3"/>
      <c r="G41" s="3"/>
      <c r="H41" s="200"/>
      <c r="I41" s="200"/>
      <c r="J41" s="202"/>
      <c r="K41" s="202"/>
      <c r="L41" s="15"/>
    </row>
    <row r="42" spans="1:12">
      <c r="A42" s="3"/>
      <c r="B42" s="3"/>
      <c r="C42" s="3"/>
      <c r="D42" s="3"/>
      <c r="E42" s="3"/>
      <c r="F42" s="3"/>
      <c r="G42" s="3"/>
      <c r="H42" s="200"/>
      <c r="I42" s="200"/>
      <c r="J42" s="202"/>
      <c r="K42" s="202"/>
      <c r="L42" s="15"/>
    </row>
    <row r="43" spans="1:12">
      <c r="A43" s="3"/>
      <c r="B43" s="3"/>
      <c r="C43" s="3"/>
      <c r="D43" s="3"/>
      <c r="E43" s="3"/>
      <c r="F43" s="3"/>
      <c r="G43" s="3"/>
      <c r="H43" s="200"/>
      <c r="I43" s="200"/>
      <c r="J43" s="202"/>
      <c r="K43" s="202"/>
      <c r="L43" s="15"/>
    </row>
    <row r="44" spans="1:12">
      <c r="A44" s="3"/>
      <c r="B44" s="3"/>
      <c r="C44" s="3"/>
      <c r="D44" s="3"/>
      <c r="E44" s="3"/>
      <c r="F44" s="3"/>
      <c r="G44" s="3"/>
      <c r="H44" s="200"/>
      <c r="I44" s="200"/>
      <c r="J44" s="202"/>
      <c r="K44" s="202"/>
      <c r="L44" s="15"/>
    </row>
    <row r="45" spans="1:12">
      <c r="A45" s="3"/>
      <c r="B45" s="3"/>
      <c r="C45" s="3"/>
      <c r="D45" s="3"/>
      <c r="E45" s="3"/>
      <c r="F45" s="3"/>
      <c r="G45" s="3"/>
      <c r="H45" s="200"/>
      <c r="I45" s="200"/>
      <c r="J45" s="202"/>
      <c r="K45" s="202"/>
      <c r="L45" s="15"/>
    </row>
    <row r="46" spans="1:12">
      <c r="A46" s="3"/>
      <c r="B46" s="3"/>
      <c r="C46" s="3"/>
      <c r="D46" s="3"/>
      <c r="E46" s="3"/>
      <c r="F46" s="3"/>
      <c r="G46" s="3"/>
      <c r="H46" s="200"/>
      <c r="I46" s="200"/>
      <c r="J46" s="202"/>
      <c r="K46" s="202"/>
      <c r="L46" s="15"/>
    </row>
    <row r="47" spans="1:12">
      <c r="A47" s="3"/>
      <c r="B47" s="3"/>
      <c r="C47" s="3"/>
      <c r="D47" s="3"/>
      <c r="E47" s="3"/>
      <c r="F47" s="3"/>
      <c r="G47" s="3"/>
      <c r="H47" s="200"/>
      <c r="I47" s="200"/>
      <c r="J47" s="202"/>
      <c r="K47" s="202"/>
      <c r="L47" s="15"/>
    </row>
    <row r="48" spans="1:12">
      <c r="A48" s="3"/>
      <c r="B48" s="3"/>
      <c r="C48" s="3"/>
      <c r="D48" s="3"/>
      <c r="E48" s="3"/>
      <c r="F48" s="3"/>
      <c r="G48" s="3"/>
      <c r="H48" s="200"/>
      <c r="I48" s="200"/>
      <c r="J48" s="202"/>
      <c r="K48" s="202"/>
      <c r="L48" s="15"/>
    </row>
    <row r="49" spans="1:12">
      <c r="A49" s="3"/>
      <c r="B49" s="3"/>
      <c r="C49" s="3"/>
      <c r="D49" s="3"/>
      <c r="E49" s="3"/>
      <c r="F49" s="3"/>
      <c r="G49" s="3"/>
      <c r="H49" s="200"/>
      <c r="I49" s="200"/>
      <c r="J49" s="202"/>
      <c r="K49" s="202"/>
      <c r="L49" s="15"/>
    </row>
    <row r="50" spans="1:12">
      <c r="A50" s="3"/>
      <c r="B50" s="3"/>
      <c r="C50" s="3"/>
      <c r="D50" s="3"/>
      <c r="E50" s="3"/>
      <c r="F50" s="3"/>
      <c r="G50" s="3"/>
      <c r="H50" s="200"/>
      <c r="I50" s="200"/>
      <c r="J50" s="202"/>
      <c r="K50" s="202"/>
      <c r="L50" s="15"/>
    </row>
    <row r="51" spans="1:12">
      <c r="A51" s="3"/>
      <c r="B51" s="3"/>
      <c r="C51" s="3"/>
      <c r="D51" s="3"/>
      <c r="E51" s="3"/>
      <c r="F51" s="3"/>
      <c r="G51" s="3"/>
      <c r="H51" s="200"/>
      <c r="I51" s="200"/>
      <c r="J51" s="202"/>
      <c r="K51" s="202"/>
      <c r="L51" s="15"/>
    </row>
    <row r="52" spans="1:12">
      <c r="A52" s="3"/>
      <c r="B52" s="3"/>
      <c r="C52" s="3"/>
      <c r="D52" s="3"/>
      <c r="E52" s="3"/>
      <c r="F52" s="3"/>
      <c r="G52" s="3"/>
      <c r="H52" s="200"/>
      <c r="I52" s="200"/>
      <c r="J52" s="202"/>
      <c r="K52" s="202"/>
      <c r="L52" s="15"/>
    </row>
    <row r="53" spans="1:12">
      <c r="A53" s="3"/>
      <c r="B53" s="3"/>
      <c r="C53" s="3"/>
      <c r="D53" s="3"/>
      <c r="E53" s="3"/>
      <c r="F53" s="3"/>
      <c r="G53" s="3"/>
      <c r="H53" s="200"/>
      <c r="I53" s="200"/>
      <c r="J53" s="202"/>
      <c r="K53" s="202"/>
      <c r="L53" s="15"/>
    </row>
    <row r="54" spans="1:12">
      <c r="A54" s="3"/>
      <c r="B54" s="3"/>
      <c r="C54" s="3"/>
      <c r="D54" s="3"/>
      <c r="E54" s="3"/>
      <c r="F54" s="3"/>
      <c r="G54" s="3"/>
      <c r="H54" s="200"/>
      <c r="I54" s="200"/>
      <c r="J54" s="202"/>
      <c r="K54" s="202"/>
      <c r="L54" s="15"/>
    </row>
    <row r="55" spans="1:12">
      <c r="A55" s="3"/>
      <c r="B55" s="3"/>
      <c r="C55" s="3"/>
      <c r="D55" s="3"/>
      <c r="E55" s="3"/>
      <c r="F55" s="3"/>
      <c r="G55" s="3"/>
      <c r="H55" s="200"/>
      <c r="I55" s="200"/>
      <c r="J55" s="202"/>
      <c r="K55" s="202"/>
      <c r="L55" s="15"/>
    </row>
    <row r="56" spans="1:12">
      <c r="A56" s="3"/>
      <c r="B56" s="3"/>
      <c r="C56" s="3"/>
      <c r="D56" s="3"/>
      <c r="E56" s="3"/>
      <c r="F56" s="3"/>
      <c r="G56" s="3"/>
      <c r="H56" s="200"/>
      <c r="I56" s="200"/>
      <c r="J56" s="202"/>
      <c r="K56" s="202"/>
      <c r="L56" s="15"/>
    </row>
    <row r="57" spans="1:12">
      <c r="A57" s="3"/>
      <c r="B57" s="3"/>
      <c r="C57" s="3"/>
      <c r="D57" s="3"/>
      <c r="E57" s="3"/>
      <c r="F57" s="3"/>
      <c r="G57" s="3"/>
      <c r="H57" s="200"/>
      <c r="I57" s="200"/>
      <c r="J57" s="202"/>
      <c r="K57" s="202"/>
      <c r="L57" s="15"/>
    </row>
    <row r="58" spans="1:12">
      <c r="A58" s="3"/>
      <c r="B58" s="3"/>
      <c r="C58" s="3"/>
      <c r="D58" s="3"/>
      <c r="E58" s="3"/>
      <c r="F58" s="3"/>
      <c r="G58" s="3"/>
      <c r="H58" s="200"/>
      <c r="I58" s="200"/>
      <c r="J58" s="202"/>
      <c r="K58" s="202"/>
      <c r="L58" s="15"/>
    </row>
    <row r="59" spans="1:12">
      <c r="A59" s="3"/>
      <c r="B59" s="3"/>
      <c r="C59" s="3"/>
      <c r="D59" s="3"/>
      <c r="E59" s="3"/>
      <c r="F59" s="3"/>
      <c r="G59" s="3"/>
      <c r="H59" s="200"/>
      <c r="I59" s="200"/>
      <c r="J59" s="202"/>
      <c r="K59" s="202"/>
      <c r="L59" s="15"/>
    </row>
    <row r="60" spans="1:12">
      <c r="A60" s="3"/>
      <c r="B60" s="3"/>
      <c r="C60" s="3"/>
      <c r="D60" s="3"/>
      <c r="E60" s="3"/>
      <c r="F60" s="3"/>
      <c r="G60" s="3"/>
      <c r="H60" s="200"/>
      <c r="I60" s="200"/>
      <c r="J60" s="202"/>
      <c r="K60" s="202"/>
    </row>
    <row r="61" spans="1:12">
      <c r="A61" s="3"/>
      <c r="B61" s="3"/>
      <c r="C61" s="3"/>
      <c r="D61" s="3"/>
      <c r="E61" s="3"/>
      <c r="F61" s="3"/>
      <c r="G61" s="3"/>
      <c r="H61" s="200"/>
      <c r="I61" s="200"/>
    </row>
    <row r="62" spans="1:12">
      <c r="A62" s="3"/>
      <c r="B62" s="3"/>
      <c r="C62" s="3"/>
      <c r="D62" s="3"/>
      <c r="E62" s="3"/>
      <c r="F62" s="3"/>
      <c r="G62" s="3"/>
      <c r="H62" s="200"/>
      <c r="I62" s="200"/>
    </row>
    <row r="63" spans="1:12">
      <c r="A63" s="3"/>
      <c r="B63" s="3"/>
      <c r="C63" s="3"/>
      <c r="D63" s="3"/>
      <c r="E63" s="3"/>
      <c r="F63" s="3"/>
      <c r="G63" s="3"/>
      <c r="H63" s="200"/>
      <c r="I63" s="200"/>
    </row>
    <row r="64" spans="1:12">
      <c r="A64" s="3"/>
      <c r="B64" s="3"/>
      <c r="C64" s="3"/>
      <c r="D64" s="3"/>
      <c r="E64" s="3"/>
      <c r="F64" s="3"/>
      <c r="G64" s="3"/>
      <c r="H64" s="200"/>
      <c r="I64" s="200"/>
    </row>
    <row r="65" spans="1:9">
      <c r="A65" s="3"/>
      <c r="B65" s="3"/>
      <c r="C65" s="3"/>
      <c r="D65" s="3"/>
      <c r="E65" s="3"/>
      <c r="F65" s="3"/>
      <c r="G65" s="3"/>
      <c r="H65" s="200"/>
      <c r="I65" s="200"/>
    </row>
    <row r="66" spans="1:9">
      <c r="A66" s="3"/>
      <c r="B66" s="3"/>
      <c r="C66" s="3"/>
      <c r="D66" s="3"/>
      <c r="E66" s="3"/>
      <c r="F66" s="3"/>
      <c r="G66" s="3"/>
      <c r="H66" s="200"/>
      <c r="I66" s="200"/>
    </row>
    <row r="67" spans="1:9">
      <c r="A67" s="3"/>
      <c r="B67" s="3"/>
      <c r="C67" s="3"/>
      <c r="D67" s="3"/>
      <c r="E67" s="3"/>
      <c r="F67" s="3"/>
      <c r="G67" s="3"/>
      <c r="H67" s="200"/>
      <c r="I67" s="200"/>
    </row>
    <row r="68" spans="1:9">
      <c r="A68" s="3"/>
      <c r="B68" s="3"/>
      <c r="C68" s="3"/>
      <c r="D68" s="3"/>
      <c r="E68" s="3"/>
      <c r="F68" s="3"/>
      <c r="G68" s="3"/>
      <c r="H68" s="200"/>
      <c r="I68" s="200"/>
    </row>
    <row r="69" spans="1:9">
      <c r="A69" s="3"/>
      <c r="B69" s="3"/>
      <c r="C69" s="3"/>
      <c r="D69" s="3"/>
      <c r="E69" s="3"/>
      <c r="F69" s="3"/>
      <c r="G69" s="3"/>
      <c r="H69" s="200"/>
      <c r="I69" s="200"/>
    </row>
    <row r="70" spans="1:9">
      <c r="A70" s="3"/>
      <c r="B70" s="3"/>
      <c r="C70" s="3"/>
      <c r="D70" s="3"/>
      <c r="E70" s="3"/>
      <c r="F70" s="3"/>
      <c r="G70" s="3"/>
      <c r="H70" s="200"/>
      <c r="I70" s="200"/>
    </row>
    <row r="71" spans="1:9">
      <c r="A71" s="3"/>
      <c r="B71" s="3"/>
      <c r="C71" s="3"/>
      <c r="D71" s="3"/>
      <c r="E71" s="3"/>
      <c r="F71" s="3"/>
      <c r="G71" s="3"/>
      <c r="H71" s="200"/>
      <c r="I71" s="200"/>
    </row>
    <row r="72" spans="1:9">
      <c r="A72" s="3"/>
      <c r="B72" s="3"/>
      <c r="C72" s="3"/>
      <c r="D72" s="3"/>
      <c r="E72" s="3"/>
      <c r="F72" s="3"/>
      <c r="G72" s="3"/>
      <c r="H72" s="200"/>
      <c r="I72" s="200"/>
    </row>
    <row r="73" spans="1:9">
      <c r="A73" s="3"/>
      <c r="B73" s="3"/>
      <c r="C73" s="3"/>
      <c r="D73" s="3"/>
      <c r="E73" s="3"/>
      <c r="F73" s="3"/>
      <c r="G73" s="3"/>
      <c r="H73" s="200"/>
      <c r="I73" s="200"/>
    </row>
    <row r="74" spans="1:9">
      <c r="A74" s="3"/>
      <c r="B74" s="3"/>
      <c r="C74" s="3"/>
      <c r="D74" s="3"/>
      <c r="E74" s="3"/>
      <c r="F74" s="3"/>
      <c r="G74" s="3"/>
      <c r="H74" s="200"/>
      <c r="I74" s="200"/>
    </row>
    <row r="75" spans="1:9">
      <c r="A75" s="3"/>
      <c r="B75" s="3"/>
      <c r="C75" s="3"/>
      <c r="D75" s="3"/>
      <c r="E75" s="3"/>
      <c r="F75" s="3"/>
      <c r="G75" s="3"/>
      <c r="H75" s="200"/>
      <c r="I75" s="200"/>
    </row>
    <row r="76" spans="1:9">
      <c r="A76" s="3"/>
      <c r="B76" s="3"/>
      <c r="C76" s="3"/>
      <c r="D76" s="3"/>
      <c r="E76" s="3"/>
      <c r="F76" s="3"/>
      <c r="G76" s="3"/>
      <c r="H76" s="200"/>
      <c r="I76" s="200"/>
    </row>
    <row r="77" spans="1:9">
      <c r="A77" s="3"/>
      <c r="B77" s="3"/>
      <c r="C77" s="3"/>
      <c r="D77" s="3"/>
      <c r="E77" s="3"/>
      <c r="F77" s="3"/>
      <c r="G77" s="3"/>
      <c r="H77" s="200"/>
      <c r="I77" s="200"/>
    </row>
    <row r="78" spans="1:9">
      <c r="A78" s="3"/>
      <c r="B78" s="3"/>
      <c r="C78" s="3"/>
      <c r="D78" s="3"/>
      <c r="E78" s="3"/>
      <c r="F78" s="3"/>
      <c r="G78" s="3"/>
      <c r="H78" s="200"/>
      <c r="I78" s="200"/>
    </row>
    <row r="79" spans="1:9">
      <c r="A79" s="3"/>
      <c r="B79" s="3"/>
      <c r="C79" s="3"/>
      <c r="D79" s="3"/>
      <c r="E79" s="3"/>
      <c r="F79" s="3"/>
      <c r="G79" s="3"/>
      <c r="H79" s="200"/>
      <c r="I79" s="200"/>
    </row>
  </sheetData>
  <sheetProtection password="CAF5" sheet="1" objects="1" scenarios="1"/>
  <mergeCells count="7">
    <mergeCell ref="I8:I9"/>
    <mergeCell ref="A1:L1"/>
    <mergeCell ref="A3:L3"/>
    <mergeCell ref="H7:H9"/>
    <mergeCell ref="C7:C9"/>
    <mergeCell ref="D7:D9"/>
    <mergeCell ref="B6:I6"/>
  </mergeCells>
  <phoneticPr fontId="0" type="noConversion"/>
  <printOptions horizontalCentered="1"/>
  <pageMargins left="0.87" right="0.32" top="0.83" bottom="1" header="0.67" footer="0.5"/>
  <pageSetup scale="73" orientation="landscape" r:id="rId1"/>
  <headerFooter alignWithMargins="0">
    <oddHeader xml:space="preserve">&amp;R
</oddHeader>
    <oddFooter>&amp;L&amp;"Arial,Italic"&amp;9MSDE - LFRO  12/ 2014&amp;C- 13 -&amp;R&amp;"Arial,Italic"&amp;9Selected Financial Data-Part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Normal="100" workbookViewId="0">
      <selection sqref="A1:J1"/>
    </sheetView>
  </sheetViews>
  <sheetFormatPr defaultRowHeight="12.75"/>
  <cols>
    <col min="1" max="3" width="14.42578125" customWidth="1"/>
    <col min="4" max="5" width="17" style="225" customWidth="1"/>
    <col min="6" max="6" width="14.85546875" style="225" bestFit="1" customWidth="1"/>
    <col min="7" max="7" width="13.85546875" style="225" bestFit="1" customWidth="1"/>
    <col min="8" max="9" width="13.85546875" style="225" customWidth="1"/>
    <col min="10" max="10" width="15" style="225" bestFit="1" customWidth="1"/>
    <col min="11" max="11" width="16.28515625" customWidth="1"/>
  </cols>
  <sheetData>
    <row r="1" spans="1:11">
      <c r="A1" s="520" t="s">
        <v>119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1">
      <c r="A2" s="3"/>
      <c r="B2" s="3"/>
      <c r="C2" s="3"/>
      <c r="D2" s="200"/>
      <c r="E2" s="200"/>
    </row>
    <row r="3" spans="1:11">
      <c r="A3" s="526" t="s">
        <v>270</v>
      </c>
      <c r="B3" s="527"/>
      <c r="C3" s="527"/>
      <c r="D3" s="520"/>
      <c r="E3" s="520"/>
      <c r="F3" s="520"/>
      <c r="G3" s="520"/>
      <c r="H3" s="520"/>
      <c r="I3" s="520"/>
      <c r="J3" s="520"/>
    </row>
    <row r="4" spans="1:11" ht="13.5" thickBot="1">
      <c r="A4" s="3"/>
      <c r="B4" s="11"/>
      <c r="C4" s="11"/>
      <c r="D4" s="220"/>
      <c r="E4" s="220"/>
      <c r="F4" s="220"/>
      <c r="G4" s="220"/>
      <c r="H4" s="220"/>
      <c r="I4" s="220"/>
      <c r="J4" s="220"/>
    </row>
    <row r="5" spans="1:11" ht="15" customHeight="1" thickTop="1">
      <c r="A5" s="6"/>
      <c r="B5" s="546" t="s">
        <v>56</v>
      </c>
      <c r="C5" s="546"/>
      <c r="D5" s="546"/>
      <c r="E5" s="546"/>
      <c r="F5" s="549" t="s">
        <v>74</v>
      </c>
      <c r="G5" s="545"/>
      <c r="H5" s="550"/>
      <c r="I5" s="551" t="s">
        <v>251</v>
      </c>
      <c r="J5" s="547" t="s">
        <v>176</v>
      </c>
    </row>
    <row r="6" spans="1:11" ht="12.75" customHeight="1">
      <c r="A6" s="3"/>
      <c r="B6" s="297" t="s">
        <v>178</v>
      </c>
      <c r="C6" s="298"/>
      <c r="D6" s="299"/>
      <c r="E6" s="543" t="s">
        <v>189</v>
      </c>
      <c r="F6" s="296" t="s">
        <v>71</v>
      </c>
      <c r="G6" s="543" t="s">
        <v>241</v>
      </c>
      <c r="H6" s="302"/>
      <c r="I6" s="552"/>
      <c r="J6" s="530"/>
    </row>
    <row r="7" spans="1:11" ht="12.75" customHeight="1">
      <c r="A7" s="3" t="s">
        <v>77</v>
      </c>
      <c r="B7" s="538" t="s">
        <v>179</v>
      </c>
      <c r="C7" s="217" t="s">
        <v>137</v>
      </c>
      <c r="D7" s="217" t="s">
        <v>180</v>
      </c>
      <c r="E7" s="538"/>
      <c r="F7" s="300" t="s">
        <v>34</v>
      </c>
      <c r="G7" s="504"/>
      <c r="H7" s="303" t="s">
        <v>72</v>
      </c>
      <c r="I7" s="552"/>
      <c r="J7" s="530"/>
    </row>
    <row r="8" spans="1:11" ht="12.75" customHeight="1">
      <c r="A8" s="3" t="s">
        <v>33</v>
      </c>
      <c r="B8" s="538"/>
      <c r="C8" s="217" t="s">
        <v>135</v>
      </c>
      <c r="D8" s="217" t="s">
        <v>181</v>
      </c>
      <c r="E8" s="538"/>
      <c r="F8" s="300" t="s">
        <v>76</v>
      </c>
      <c r="G8" s="504"/>
      <c r="H8" s="303" t="s">
        <v>143</v>
      </c>
      <c r="I8" s="552"/>
      <c r="J8" s="530"/>
    </row>
    <row r="9" spans="1:11" ht="13.5" thickBot="1">
      <c r="A9" s="7" t="s">
        <v>132</v>
      </c>
      <c r="B9" s="545"/>
      <c r="C9" s="293" t="s">
        <v>33</v>
      </c>
      <c r="D9" s="293"/>
      <c r="E9" s="545"/>
      <c r="F9" s="301" t="s">
        <v>70</v>
      </c>
      <c r="G9" s="544"/>
      <c r="H9" s="304" t="s">
        <v>73</v>
      </c>
      <c r="I9" s="553"/>
      <c r="J9" s="548"/>
    </row>
    <row r="10" spans="1:11" s="306" customFormat="1">
      <c r="A10" s="290" t="s">
        <v>0</v>
      </c>
      <c r="B10" s="228">
        <f t="shared" ref="B10:J10" si="0">SUM(B12:B39)</f>
        <v>626312.85000000009</v>
      </c>
      <c r="C10" s="228">
        <f t="shared" si="0"/>
        <v>49166.46</v>
      </c>
      <c r="D10" s="228">
        <f t="shared" si="0"/>
        <v>0</v>
      </c>
      <c r="E10" s="228">
        <f t="shared" si="0"/>
        <v>124149.74</v>
      </c>
      <c r="F10" s="228">
        <f t="shared" si="0"/>
        <v>191574057.64000002</v>
      </c>
      <c r="G10" s="228">
        <f t="shared" si="0"/>
        <v>0</v>
      </c>
      <c r="H10" s="228">
        <f t="shared" si="0"/>
        <v>13169750.220000001</v>
      </c>
      <c r="I10" s="228">
        <f t="shared" si="0"/>
        <v>3292613.81</v>
      </c>
      <c r="J10" s="305">
        <f t="shared" si="0"/>
        <v>32420047.949999999</v>
      </c>
    </row>
    <row r="11" spans="1:11" ht="15">
      <c r="A11" s="3"/>
      <c r="B11" s="199"/>
      <c r="C11" s="223"/>
      <c r="D11" s="223"/>
      <c r="E11" s="223"/>
      <c r="F11" s="229"/>
      <c r="G11" s="437"/>
      <c r="H11" s="229"/>
      <c r="I11" s="223"/>
      <c r="J11" s="229"/>
    </row>
    <row r="12" spans="1:11">
      <c r="A12" s="3" t="s">
        <v>1</v>
      </c>
      <c r="B12" s="130">
        <v>135230.39000000001</v>
      </c>
      <c r="C12" s="130">
        <v>0</v>
      </c>
      <c r="D12" s="130">
        <v>0</v>
      </c>
      <c r="E12" s="323">
        <v>0</v>
      </c>
      <c r="F12" s="322">
        <v>2767084.92</v>
      </c>
      <c r="G12" s="130">
        <v>0</v>
      </c>
      <c r="H12" s="322">
        <v>351515.91</v>
      </c>
      <c r="I12" s="395">
        <v>390183.43</v>
      </c>
      <c r="J12" s="130">
        <v>668719.18999999994</v>
      </c>
      <c r="K12" s="34"/>
    </row>
    <row r="13" spans="1:11">
      <c r="A13" s="3" t="s">
        <v>2</v>
      </c>
      <c r="B13" s="130">
        <v>0</v>
      </c>
      <c r="C13" s="130">
        <v>0</v>
      </c>
      <c r="D13" s="130">
        <v>0</v>
      </c>
      <c r="E13" s="323">
        <v>0</v>
      </c>
      <c r="F13" s="322">
        <v>11164662</v>
      </c>
      <c r="G13" s="130">
        <v>0</v>
      </c>
      <c r="H13" s="130">
        <v>812873</v>
      </c>
      <c r="I13" s="395">
        <v>52035.02</v>
      </c>
      <c r="J13" s="129">
        <v>2368159.21</v>
      </c>
      <c r="K13" s="34"/>
    </row>
    <row r="14" spans="1:11" s="23" customFormat="1">
      <c r="A14" s="32" t="s">
        <v>3</v>
      </c>
      <c r="B14" s="130">
        <v>0</v>
      </c>
      <c r="C14" s="129">
        <v>0</v>
      </c>
      <c r="D14" s="129">
        <v>0</v>
      </c>
      <c r="E14" s="130">
        <v>0</v>
      </c>
      <c r="F14" s="322">
        <v>34816384.649999999</v>
      </c>
      <c r="G14" s="130">
        <v>0</v>
      </c>
      <c r="H14" s="130">
        <v>0</v>
      </c>
      <c r="I14" s="395">
        <v>0</v>
      </c>
      <c r="J14" s="129">
        <v>8011427.9299999997</v>
      </c>
    </row>
    <row r="15" spans="1:11">
      <c r="A15" s="3" t="s">
        <v>4</v>
      </c>
      <c r="B15" s="130">
        <v>0</v>
      </c>
      <c r="C15" s="130">
        <v>0</v>
      </c>
      <c r="D15" s="130">
        <v>0</v>
      </c>
      <c r="E15" s="130">
        <v>0</v>
      </c>
      <c r="F15" s="322">
        <v>23587287</v>
      </c>
      <c r="G15" s="130">
        <v>0</v>
      </c>
      <c r="H15" s="322">
        <v>2043568</v>
      </c>
      <c r="I15" s="395">
        <v>0</v>
      </c>
      <c r="J15" s="130">
        <v>3815304.29</v>
      </c>
      <c r="K15" s="34"/>
    </row>
    <row r="16" spans="1:11">
      <c r="A16" s="3" t="s">
        <v>5</v>
      </c>
      <c r="B16" s="130">
        <v>0</v>
      </c>
      <c r="C16" s="130">
        <v>0</v>
      </c>
      <c r="D16" s="130">
        <v>0</v>
      </c>
      <c r="E16" s="130">
        <v>0</v>
      </c>
      <c r="F16" s="322">
        <v>1543889</v>
      </c>
      <c r="G16" s="130">
        <v>0</v>
      </c>
      <c r="H16" s="322">
        <v>208302</v>
      </c>
      <c r="I16" s="395">
        <v>0</v>
      </c>
      <c r="J16" s="130">
        <v>420070.93</v>
      </c>
      <c r="K16" s="34"/>
    </row>
    <row r="17" spans="1:11">
      <c r="A17" s="3"/>
      <c r="B17" s="341"/>
      <c r="C17" s="341"/>
      <c r="D17" s="341"/>
      <c r="E17" s="341"/>
      <c r="F17" s="336"/>
      <c r="G17" s="336"/>
      <c r="H17" s="336"/>
      <c r="I17" s="354"/>
      <c r="J17" s="341"/>
      <c r="K17" s="34"/>
    </row>
    <row r="18" spans="1:11">
      <c r="A18" s="3" t="s">
        <v>6</v>
      </c>
      <c r="B18" s="130">
        <v>0</v>
      </c>
      <c r="C18" s="130">
        <v>0</v>
      </c>
      <c r="D18" s="130">
        <v>0</v>
      </c>
      <c r="E18" s="130">
        <v>0</v>
      </c>
      <c r="F18" s="322">
        <v>1723808.63</v>
      </c>
      <c r="G18" s="130">
        <v>0</v>
      </c>
      <c r="H18" s="130">
        <v>0</v>
      </c>
      <c r="I18" s="395">
        <v>248341.09</v>
      </c>
      <c r="J18" s="130">
        <v>304621.84000000003</v>
      </c>
      <c r="K18" s="34"/>
    </row>
    <row r="19" spans="1:11">
      <c r="A19" s="3" t="s">
        <v>7</v>
      </c>
      <c r="B19" s="130">
        <v>0</v>
      </c>
      <c r="C19" s="130">
        <v>0</v>
      </c>
      <c r="D19" s="130">
        <v>0</v>
      </c>
      <c r="E19" s="130">
        <v>0</v>
      </c>
      <c r="F19" s="322">
        <v>2268730.48</v>
      </c>
      <c r="G19" s="130">
        <v>0</v>
      </c>
      <c r="H19" s="322">
        <v>333607.23</v>
      </c>
      <c r="I19" s="395">
        <v>0</v>
      </c>
      <c r="J19" s="130">
        <v>770443.49</v>
      </c>
      <c r="K19" s="34"/>
    </row>
    <row r="20" spans="1:11">
      <c r="A20" s="3" t="s">
        <v>8</v>
      </c>
      <c r="B20" s="130">
        <v>13585.34</v>
      </c>
      <c r="C20" s="130">
        <v>0</v>
      </c>
      <c r="D20" s="130">
        <v>0</v>
      </c>
      <c r="E20" s="130">
        <v>0</v>
      </c>
      <c r="F20" s="322">
        <v>3403074.87</v>
      </c>
      <c r="G20" s="130">
        <v>0</v>
      </c>
      <c r="H20" s="322">
        <v>279155.90000000002</v>
      </c>
      <c r="I20" s="395">
        <v>0</v>
      </c>
      <c r="J20" s="130">
        <v>441625.98</v>
      </c>
      <c r="K20" s="34"/>
    </row>
    <row r="21" spans="1:11">
      <c r="A21" s="3" t="s">
        <v>9</v>
      </c>
      <c r="B21" s="130">
        <v>642.44000000000005</v>
      </c>
      <c r="C21" s="129">
        <v>6190.04</v>
      </c>
      <c r="D21" s="129">
        <v>0</v>
      </c>
      <c r="E21" s="130">
        <v>0</v>
      </c>
      <c r="F21" s="322">
        <v>4858704.01</v>
      </c>
      <c r="G21" s="130">
        <v>0</v>
      </c>
      <c r="H21" s="322">
        <v>59645.07</v>
      </c>
      <c r="I21" s="395">
        <v>0</v>
      </c>
      <c r="J21" s="130">
        <v>863473.39</v>
      </c>
      <c r="K21" s="34"/>
    </row>
    <row r="22" spans="1:11">
      <c r="A22" s="3" t="s">
        <v>10</v>
      </c>
      <c r="B22" s="130">
        <v>0</v>
      </c>
      <c r="C22" s="130">
        <v>0</v>
      </c>
      <c r="D22" s="130">
        <v>0</v>
      </c>
      <c r="E22" s="130">
        <v>0</v>
      </c>
      <c r="F22" s="322">
        <v>1689836</v>
      </c>
      <c r="G22" s="130">
        <v>0</v>
      </c>
      <c r="H22" s="322">
        <v>117197</v>
      </c>
      <c r="I22" s="395">
        <v>0</v>
      </c>
      <c r="J22" s="130">
        <v>303786.38</v>
      </c>
      <c r="K22" s="34"/>
    </row>
    <row r="23" spans="1:11">
      <c r="A23" s="3"/>
      <c r="B23" s="341"/>
      <c r="C23" s="341"/>
      <c r="D23" s="341"/>
      <c r="E23" s="341"/>
      <c r="F23" s="336"/>
      <c r="G23" s="336"/>
      <c r="H23" s="336"/>
      <c r="I23" s="354"/>
      <c r="J23" s="341"/>
      <c r="K23" s="34"/>
    </row>
    <row r="24" spans="1:11">
      <c r="A24" s="3" t="s">
        <v>11</v>
      </c>
      <c r="B24" s="130">
        <v>0</v>
      </c>
      <c r="C24" s="130">
        <v>0</v>
      </c>
      <c r="D24" s="130">
        <v>0</v>
      </c>
      <c r="E24" s="130">
        <v>0</v>
      </c>
      <c r="F24" s="322">
        <v>4505701.84</v>
      </c>
      <c r="G24" s="130">
        <v>0</v>
      </c>
      <c r="H24" s="322">
        <v>529019.21</v>
      </c>
      <c r="I24" s="395">
        <v>61755.87</v>
      </c>
      <c r="J24" s="130">
        <v>1046412.34</v>
      </c>
      <c r="K24" s="34"/>
    </row>
    <row r="25" spans="1:11">
      <c r="A25" s="3" t="s">
        <v>12</v>
      </c>
      <c r="B25" s="130">
        <v>0</v>
      </c>
      <c r="C25" s="130">
        <v>0</v>
      </c>
      <c r="D25" s="130">
        <v>0</v>
      </c>
      <c r="E25" s="130">
        <v>0</v>
      </c>
      <c r="F25" s="322">
        <v>1190769</v>
      </c>
      <c r="G25" s="130">
        <v>0</v>
      </c>
      <c r="H25" s="322">
        <v>103431</v>
      </c>
      <c r="I25" s="395">
        <v>0</v>
      </c>
      <c r="J25" s="130">
        <v>316598.99</v>
      </c>
      <c r="K25" s="34"/>
    </row>
    <row r="26" spans="1:11">
      <c r="A26" s="3" t="s">
        <v>13</v>
      </c>
      <c r="B26" s="130">
        <v>0</v>
      </c>
      <c r="C26" s="130">
        <v>0</v>
      </c>
      <c r="D26" s="130">
        <v>0</v>
      </c>
      <c r="E26" s="130">
        <v>0</v>
      </c>
      <c r="F26" s="322">
        <v>6291882</v>
      </c>
      <c r="G26" s="130">
        <v>0</v>
      </c>
      <c r="H26" s="322">
        <v>847618</v>
      </c>
      <c r="I26" s="395">
        <v>0</v>
      </c>
      <c r="J26" s="130">
        <v>1157234.68</v>
      </c>
      <c r="K26" s="34"/>
    </row>
    <row r="27" spans="1:11">
      <c r="A27" s="3" t="s">
        <v>14</v>
      </c>
      <c r="B27" s="323">
        <v>0</v>
      </c>
      <c r="C27" s="130">
        <v>0</v>
      </c>
      <c r="D27" s="130">
        <v>0</v>
      </c>
      <c r="E27" s="130">
        <v>0</v>
      </c>
      <c r="F27" s="322">
        <v>4492837</v>
      </c>
      <c r="G27" s="130">
        <v>0</v>
      </c>
      <c r="H27" s="322">
        <v>669158</v>
      </c>
      <c r="I27" s="395">
        <v>668671.54</v>
      </c>
      <c r="J27" s="130">
        <v>727637.94</v>
      </c>
      <c r="K27" s="34"/>
    </row>
    <row r="28" spans="1:11">
      <c r="A28" s="3" t="s">
        <v>15</v>
      </c>
      <c r="B28" s="130">
        <v>0</v>
      </c>
      <c r="C28" s="130">
        <v>0</v>
      </c>
      <c r="D28" s="130">
        <v>0</v>
      </c>
      <c r="E28" s="130">
        <v>0</v>
      </c>
      <c r="F28" s="322">
        <v>794552</v>
      </c>
      <c r="G28" s="130">
        <v>0</v>
      </c>
      <c r="H28" s="322">
        <v>76449</v>
      </c>
      <c r="I28" s="395">
        <v>427568.48</v>
      </c>
      <c r="J28" s="130">
        <v>173905.98</v>
      </c>
      <c r="K28" s="34"/>
    </row>
    <row r="29" spans="1:11">
      <c r="A29" s="3"/>
      <c r="B29" s="341"/>
      <c r="C29" s="341"/>
      <c r="D29" s="341"/>
      <c r="E29" s="341"/>
      <c r="F29" s="336"/>
      <c r="G29" s="336"/>
      <c r="H29" s="336"/>
      <c r="I29" s="354"/>
      <c r="J29" s="341"/>
      <c r="K29" s="34"/>
    </row>
    <row r="30" spans="1:11">
      <c r="A30" s="3" t="s">
        <v>16</v>
      </c>
      <c r="B30" s="130">
        <v>0</v>
      </c>
      <c r="C30" s="129">
        <v>42976.42</v>
      </c>
      <c r="D30" s="129">
        <v>0</v>
      </c>
      <c r="E30" s="130">
        <v>0</v>
      </c>
      <c r="F30" s="322">
        <v>27268869</v>
      </c>
      <c r="G30" s="130">
        <v>0</v>
      </c>
      <c r="H30" s="322">
        <v>2363023</v>
      </c>
      <c r="I30" s="395">
        <v>0</v>
      </c>
      <c r="J30" s="130">
        <v>3666354.04</v>
      </c>
      <c r="K30" s="34"/>
    </row>
    <row r="31" spans="1:11">
      <c r="A31" s="3" t="s">
        <v>17</v>
      </c>
      <c r="B31" s="130">
        <v>0</v>
      </c>
      <c r="C31" s="129">
        <v>0</v>
      </c>
      <c r="D31" s="129">
        <v>0</v>
      </c>
      <c r="E31" s="130">
        <v>0</v>
      </c>
      <c r="F31" s="322">
        <v>41035895</v>
      </c>
      <c r="G31" s="130">
        <v>0</v>
      </c>
      <c r="H31" s="322">
        <v>3094797</v>
      </c>
      <c r="I31" s="395">
        <v>0</v>
      </c>
      <c r="J31" s="130">
        <v>4344782.53</v>
      </c>
      <c r="K31" s="34"/>
    </row>
    <row r="32" spans="1:11" s="55" customFormat="1">
      <c r="A32" s="54" t="s">
        <v>18</v>
      </c>
      <c r="B32" s="130">
        <v>0</v>
      </c>
      <c r="C32" s="130">
        <v>0</v>
      </c>
      <c r="D32" s="130">
        <v>0</v>
      </c>
      <c r="E32" s="130">
        <v>0</v>
      </c>
      <c r="F32" s="322">
        <v>893847.73</v>
      </c>
      <c r="G32" s="130">
        <v>0</v>
      </c>
      <c r="H32" s="130">
        <v>0</v>
      </c>
      <c r="I32" s="395">
        <v>647015.68000000005</v>
      </c>
      <c r="J32" s="130">
        <v>268006.99</v>
      </c>
      <c r="K32" s="319"/>
    </row>
    <row r="33" spans="1:11">
      <c r="A33" s="3" t="s">
        <v>19</v>
      </c>
      <c r="B33" s="130">
        <v>0</v>
      </c>
      <c r="C33" s="130">
        <v>0</v>
      </c>
      <c r="D33" s="130">
        <v>0</v>
      </c>
      <c r="E33" s="130">
        <v>0</v>
      </c>
      <c r="F33" s="322">
        <v>2961321.38</v>
      </c>
      <c r="G33" s="130">
        <v>0</v>
      </c>
      <c r="H33" s="322">
        <v>357342.6</v>
      </c>
      <c r="I33" s="395">
        <v>9247.17</v>
      </c>
      <c r="J33" s="130">
        <v>499567.76</v>
      </c>
      <c r="K33" s="34"/>
    </row>
    <row r="34" spans="1:11">
      <c r="A34" s="3" t="s">
        <v>20</v>
      </c>
      <c r="B34" s="130">
        <v>25733.57</v>
      </c>
      <c r="C34" s="130">
        <v>0</v>
      </c>
      <c r="D34" s="130">
        <v>0</v>
      </c>
      <c r="E34" s="130">
        <v>0</v>
      </c>
      <c r="F34" s="322">
        <v>1172393.02</v>
      </c>
      <c r="G34" s="130">
        <v>0</v>
      </c>
      <c r="H34" s="130">
        <v>0</v>
      </c>
      <c r="I34" s="395">
        <v>0</v>
      </c>
      <c r="J34" s="130">
        <v>230671</v>
      </c>
      <c r="K34" s="34"/>
    </row>
    <row r="35" spans="1:11">
      <c r="A35" s="3"/>
      <c r="B35" s="341"/>
      <c r="C35" s="341"/>
      <c r="D35" s="341"/>
      <c r="E35" s="341"/>
      <c r="F35" s="336"/>
      <c r="G35" s="336"/>
      <c r="H35" s="336"/>
      <c r="I35" s="354"/>
      <c r="J35" s="341"/>
      <c r="K35" s="34"/>
    </row>
    <row r="36" spans="1:11">
      <c r="A36" s="3" t="s">
        <v>21</v>
      </c>
      <c r="B36" s="130">
        <v>0</v>
      </c>
      <c r="C36" s="130">
        <v>0</v>
      </c>
      <c r="D36" s="130">
        <v>0</v>
      </c>
      <c r="E36" s="130">
        <v>0</v>
      </c>
      <c r="F36" s="322">
        <v>921553.38</v>
      </c>
      <c r="G36" s="130">
        <v>0</v>
      </c>
      <c r="H36" s="130">
        <v>71235.850000000006</v>
      </c>
      <c r="I36" s="395">
        <v>0</v>
      </c>
      <c r="J36" s="130">
        <v>186797.2</v>
      </c>
      <c r="K36" s="34"/>
    </row>
    <row r="37" spans="1:11">
      <c r="A37" s="3" t="s">
        <v>22</v>
      </c>
      <c r="B37" s="130">
        <v>190892.21</v>
      </c>
      <c r="C37" s="130">
        <v>0</v>
      </c>
      <c r="D37" s="130">
        <v>0</v>
      </c>
      <c r="E37" s="130">
        <v>124149.74</v>
      </c>
      <c r="F37" s="322">
        <v>6035816.1100000003</v>
      </c>
      <c r="G37" s="130">
        <v>0</v>
      </c>
      <c r="H37" s="322">
        <v>558890.05000000005</v>
      </c>
      <c r="I37" s="395">
        <v>0</v>
      </c>
      <c r="J37" s="130">
        <v>819670.5</v>
      </c>
      <c r="K37" s="34"/>
    </row>
    <row r="38" spans="1:11">
      <c r="A38" s="3" t="s">
        <v>23</v>
      </c>
      <c r="B38" s="130">
        <v>232881.64</v>
      </c>
      <c r="C38" s="130">
        <v>0</v>
      </c>
      <c r="D38" s="130">
        <v>0</v>
      </c>
      <c r="E38" s="130">
        <v>0</v>
      </c>
      <c r="F38" s="322">
        <v>4458071.8499999996</v>
      </c>
      <c r="G38" s="130">
        <v>0</v>
      </c>
      <c r="H38" s="130">
        <v>292922.40000000002</v>
      </c>
      <c r="I38" s="395">
        <v>360605.09</v>
      </c>
      <c r="J38" s="130">
        <v>295787.26</v>
      </c>
      <c r="K38" s="34"/>
    </row>
    <row r="39" spans="1:11">
      <c r="A39" s="12" t="s">
        <v>24</v>
      </c>
      <c r="B39" s="131">
        <v>27347.26</v>
      </c>
      <c r="C39" s="131">
        <v>0</v>
      </c>
      <c r="D39" s="401">
        <v>0</v>
      </c>
      <c r="E39" s="131">
        <v>0</v>
      </c>
      <c r="F39" s="324">
        <v>1727086.77</v>
      </c>
      <c r="G39" s="131">
        <v>0</v>
      </c>
      <c r="H39" s="131">
        <v>0</v>
      </c>
      <c r="I39" s="402">
        <v>427190.44</v>
      </c>
      <c r="J39" s="131">
        <v>718988.11</v>
      </c>
      <c r="K39" s="34"/>
    </row>
    <row r="40" spans="1:11">
      <c r="A40" s="3"/>
      <c r="B40" s="3"/>
      <c r="C40" s="3"/>
      <c r="D40" s="231"/>
      <c r="E40" s="231"/>
      <c r="F40" s="197"/>
      <c r="G40" s="197"/>
      <c r="H40" s="197"/>
      <c r="I40" s="197"/>
      <c r="J40" s="230"/>
      <c r="K40" s="34"/>
    </row>
    <row r="41" spans="1:11">
      <c r="A41" s="3"/>
      <c r="B41" s="3"/>
      <c r="C41" s="3"/>
      <c r="D41" s="231"/>
      <c r="E41" s="231"/>
      <c r="F41" s="197"/>
      <c r="G41" s="197"/>
      <c r="H41" s="197"/>
      <c r="I41" s="197"/>
      <c r="J41" s="230"/>
    </row>
    <row r="42" spans="1:11">
      <c r="A42" s="3"/>
      <c r="B42" s="3"/>
      <c r="C42" s="3"/>
      <c r="D42" s="231"/>
      <c r="E42" s="231"/>
      <c r="F42" s="197"/>
      <c r="G42" s="197"/>
      <c r="H42" s="230"/>
      <c r="I42" s="230"/>
      <c r="J42" s="34"/>
    </row>
    <row r="43" spans="1:11">
      <c r="A43" s="3"/>
      <c r="B43" s="3"/>
      <c r="C43" s="3"/>
      <c r="D43" s="231"/>
      <c r="E43" s="231"/>
      <c r="F43" s="197"/>
      <c r="G43" s="197"/>
      <c r="H43" s="230"/>
      <c r="I43" s="230"/>
      <c r="J43" s="34"/>
    </row>
    <row r="44" spans="1:11">
      <c r="A44" s="3"/>
      <c r="B44" s="3"/>
      <c r="C44" s="3"/>
      <c r="D44" s="231"/>
      <c r="E44" s="231"/>
      <c r="F44" s="197"/>
      <c r="G44" s="197"/>
      <c r="H44" s="230"/>
      <c r="I44" s="230"/>
      <c r="J44" s="34"/>
    </row>
    <row r="45" spans="1:11">
      <c r="A45" s="3"/>
      <c r="B45" s="3"/>
      <c r="C45" s="3"/>
      <c r="D45" s="231"/>
      <c r="E45" s="231"/>
      <c r="F45" s="197"/>
      <c r="G45" s="197"/>
      <c r="H45" s="230"/>
      <c r="I45" s="230"/>
      <c r="J45" s="34"/>
    </row>
    <row r="46" spans="1:11">
      <c r="A46" s="3"/>
      <c r="B46" s="3"/>
      <c r="C46" s="3"/>
      <c r="D46" s="231"/>
      <c r="E46" s="231"/>
      <c r="F46" s="197"/>
      <c r="G46" s="197"/>
      <c r="H46" s="230"/>
      <c r="I46" s="230"/>
      <c r="J46" s="34"/>
    </row>
    <row r="47" spans="1:11">
      <c r="A47" s="3"/>
      <c r="B47" s="3"/>
      <c r="C47" s="3"/>
      <c r="D47" s="200"/>
      <c r="E47" s="200"/>
      <c r="F47" s="202"/>
      <c r="G47" s="202"/>
      <c r="J47" s="34"/>
    </row>
    <row r="48" spans="1:11">
      <c r="A48" s="3"/>
      <c r="B48" s="3"/>
      <c r="C48" s="3"/>
      <c r="D48" s="200"/>
      <c r="E48" s="200"/>
      <c r="F48" s="202"/>
      <c r="G48" s="202"/>
      <c r="J48"/>
    </row>
    <row r="49" spans="1:10">
      <c r="A49" s="3"/>
      <c r="B49" s="3"/>
      <c r="C49" s="3"/>
      <c r="D49" s="200"/>
      <c r="E49" s="200"/>
      <c r="F49" s="202"/>
      <c r="G49" s="202"/>
      <c r="J49"/>
    </row>
    <row r="50" spans="1:10">
      <c r="A50" s="3"/>
      <c r="B50" s="3"/>
      <c r="C50" s="3"/>
      <c r="D50" s="200"/>
      <c r="E50" s="200"/>
      <c r="F50" s="202"/>
      <c r="G50" s="202"/>
      <c r="J50"/>
    </row>
    <row r="51" spans="1:10">
      <c r="A51" s="3"/>
      <c r="B51" s="3"/>
      <c r="C51" s="3"/>
      <c r="D51" s="200"/>
      <c r="E51" s="200"/>
      <c r="F51" s="202"/>
      <c r="G51" s="202"/>
      <c r="J51"/>
    </row>
    <row r="52" spans="1:10">
      <c r="J52"/>
    </row>
    <row r="53" spans="1:10">
      <c r="A53" s="3"/>
      <c r="B53" s="3"/>
      <c r="C53" s="3"/>
      <c r="D53" s="200"/>
      <c r="E53" s="200"/>
      <c r="F53" s="202"/>
      <c r="G53" s="202"/>
      <c r="J53"/>
    </row>
    <row r="54" spans="1:10">
      <c r="A54" s="3"/>
      <c r="B54" s="3"/>
      <c r="C54" s="3"/>
      <c r="D54" s="200"/>
      <c r="E54" s="200"/>
      <c r="F54" s="202"/>
      <c r="G54" s="202"/>
      <c r="J54"/>
    </row>
    <row r="55" spans="1:10">
      <c r="A55" s="3"/>
      <c r="B55" s="3"/>
      <c r="C55" s="3"/>
      <c r="D55" s="200"/>
      <c r="E55" s="200"/>
      <c r="J55"/>
    </row>
    <row r="56" spans="1:10">
      <c r="A56" s="3"/>
      <c r="B56" s="3"/>
      <c r="C56" s="3"/>
      <c r="D56" s="200"/>
      <c r="E56" s="200"/>
      <c r="J56"/>
    </row>
    <row r="57" spans="1:10">
      <c r="A57" s="3"/>
      <c r="B57" s="3"/>
      <c r="C57" s="3"/>
      <c r="D57" s="200"/>
      <c r="E57" s="200"/>
      <c r="J57"/>
    </row>
    <row r="58" spans="1:10">
      <c r="A58" s="3"/>
      <c r="B58" s="3"/>
      <c r="C58" s="3"/>
      <c r="D58" s="200"/>
      <c r="E58" s="200"/>
      <c r="J58"/>
    </row>
    <row r="59" spans="1:10">
      <c r="A59" s="3"/>
      <c r="B59" s="3"/>
      <c r="C59" s="3"/>
      <c r="D59" s="200"/>
      <c r="E59" s="200"/>
      <c r="J59"/>
    </row>
    <row r="60" spans="1:10">
      <c r="A60" s="3"/>
      <c r="B60" s="3"/>
      <c r="C60" s="3"/>
      <c r="D60" s="200"/>
      <c r="E60" s="200"/>
      <c r="J60"/>
    </row>
    <row r="61" spans="1:10">
      <c r="A61" s="3"/>
      <c r="B61" s="3"/>
      <c r="C61" s="3"/>
      <c r="D61" s="200"/>
      <c r="E61" s="200"/>
      <c r="J61"/>
    </row>
    <row r="62" spans="1:10">
      <c r="A62" s="3"/>
      <c r="B62" s="3"/>
      <c r="C62" s="3"/>
      <c r="D62" s="200"/>
      <c r="E62" s="200"/>
      <c r="J62"/>
    </row>
    <row r="63" spans="1:10">
      <c r="A63" s="3"/>
      <c r="B63" s="3"/>
      <c r="C63" s="3"/>
      <c r="D63" s="200"/>
      <c r="E63" s="200"/>
      <c r="J63"/>
    </row>
    <row r="64" spans="1:10">
      <c r="A64" s="3"/>
      <c r="B64" s="3"/>
      <c r="C64" s="3"/>
      <c r="D64" s="200"/>
      <c r="E64" s="200"/>
      <c r="J64"/>
    </row>
    <row r="65" spans="1:10">
      <c r="A65" s="3"/>
      <c r="B65" s="3"/>
      <c r="C65" s="3"/>
      <c r="D65" s="200"/>
      <c r="E65" s="200"/>
      <c r="J65"/>
    </row>
    <row r="66" spans="1:10">
      <c r="A66" s="3"/>
      <c r="B66" s="3"/>
      <c r="C66" s="3"/>
      <c r="D66" s="200"/>
      <c r="E66" s="200"/>
      <c r="F66" s="197"/>
    </row>
    <row r="67" spans="1:10">
      <c r="A67" s="3"/>
      <c r="B67" s="3"/>
      <c r="C67" s="3"/>
      <c r="D67" s="200"/>
      <c r="E67" s="200"/>
      <c r="F67" s="197"/>
    </row>
    <row r="68" spans="1:10">
      <c r="A68" s="3"/>
      <c r="B68" s="3"/>
      <c r="C68" s="3"/>
      <c r="D68" s="200"/>
      <c r="E68" s="200"/>
      <c r="F68" s="197"/>
    </row>
    <row r="69" spans="1:10">
      <c r="A69" s="3"/>
      <c r="B69" s="3"/>
      <c r="C69" s="3"/>
      <c r="D69" s="200"/>
      <c r="E69" s="200"/>
      <c r="F69" s="197"/>
    </row>
    <row r="70" spans="1:10">
      <c r="A70" s="3"/>
      <c r="B70" s="3"/>
      <c r="C70" s="3"/>
      <c r="D70" s="200"/>
      <c r="E70" s="200"/>
      <c r="F70" s="285"/>
    </row>
    <row r="71" spans="1:10">
      <c r="A71" s="3"/>
      <c r="B71" s="3"/>
      <c r="C71" s="3"/>
      <c r="D71" s="200"/>
      <c r="E71" s="200"/>
    </row>
    <row r="72" spans="1:10">
      <c r="A72" s="3"/>
      <c r="B72" s="3"/>
      <c r="C72" s="3"/>
      <c r="D72" s="200"/>
      <c r="E72" s="200"/>
    </row>
    <row r="73" spans="1:10">
      <c r="A73" s="3"/>
      <c r="B73" s="3"/>
      <c r="C73" s="3"/>
      <c r="D73" s="200"/>
      <c r="E73" s="200"/>
    </row>
    <row r="74" spans="1:10">
      <c r="A74" s="3"/>
      <c r="B74" s="3"/>
      <c r="C74" s="3"/>
      <c r="D74" s="200"/>
      <c r="E74" s="200"/>
    </row>
    <row r="75" spans="1:10">
      <c r="A75" s="3"/>
      <c r="B75" s="3"/>
      <c r="C75" s="3"/>
      <c r="D75" s="200"/>
      <c r="E75" s="200"/>
    </row>
    <row r="76" spans="1:10">
      <c r="A76" s="3"/>
      <c r="B76" s="3"/>
      <c r="C76" s="3"/>
      <c r="D76" s="200"/>
      <c r="E76" s="200"/>
    </row>
    <row r="77" spans="1:10">
      <c r="A77" s="3"/>
      <c r="B77" s="3"/>
      <c r="C77" s="3"/>
      <c r="D77" s="200"/>
      <c r="E77" s="200"/>
    </row>
    <row r="78" spans="1:10">
      <c r="A78" s="3"/>
      <c r="B78" s="3"/>
      <c r="C78" s="3"/>
      <c r="D78" s="200"/>
      <c r="E78" s="200"/>
    </row>
    <row r="79" spans="1:10">
      <c r="A79" s="3"/>
      <c r="B79" s="3"/>
      <c r="C79" s="3"/>
      <c r="D79" s="200"/>
      <c r="E79" s="200"/>
    </row>
    <row r="80" spans="1:10">
      <c r="A80" s="3"/>
      <c r="B80" s="3"/>
      <c r="C80" s="3"/>
      <c r="D80" s="200"/>
      <c r="E80" s="200"/>
    </row>
    <row r="81" spans="1:5">
      <c r="A81" s="3"/>
      <c r="B81" s="3"/>
      <c r="C81" s="3"/>
      <c r="D81" s="200"/>
      <c r="E81" s="200"/>
    </row>
    <row r="82" spans="1:5">
      <c r="A82" s="3"/>
      <c r="B82" s="3"/>
      <c r="C82" s="3"/>
      <c r="D82" s="200"/>
      <c r="E82" s="200"/>
    </row>
    <row r="83" spans="1:5">
      <c r="A83" s="3"/>
      <c r="B83" s="3"/>
      <c r="C83" s="3"/>
      <c r="D83" s="200"/>
      <c r="E83" s="200"/>
    </row>
    <row r="84" spans="1:5">
      <c r="A84" s="3"/>
      <c r="B84" s="3"/>
      <c r="C84" s="3"/>
      <c r="D84" s="200"/>
      <c r="E84" s="200"/>
    </row>
  </sheetData>
  <sheetProtection password="CAF5" sheet="1" objects="1" scenarios="1"/>
  <mergeCells count="9">
    <mergeCell ref="G6:G9"/>
    <mergeCell ref="B7:B9"/>
    <mergeCell ref="B5:E5"/>
    <mergeCell ref="A1:J1"/>
    <mergeCell ref="A3:J3"/>
    <mergeCell ref="J5:J9"/>
    <mergeCell ref="F5:H5"/>
    <mergeCell ref="E6:E9"/>
    <mergeCell ref="I5:I9"/>
  </mergeCells>
  <phoneticPr fontId="0" type="noConversion"/>
  <printOptions horizontalCentered="1"/>
  <pageMargins left="0.45" right="0.52" top="0.83" bottom="1" header="0.67" footer="0.5"/>
  <pageSetup scale="87" orientation="landscape" r:id="rId1"/>
  <headerFooter alignWithMargins="0">
    <oddFooter xml:space="preserve">&amp;L&amp;"Arial,Italic"&amp;9MSDE - LFRO  12 / 2014&amp;C- 14 -&amp;R&amp;"Arial,Italic"&amp;9Selected Financial Data-Part 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Normal="100" workbookViewId="0">
      <selection sqref="A1:L1"/>
    </sheetView>
  </sheetViews>
  <sheetFormatPr defaultRowHeight="12.75"/>
  <cols>
    <col min="1" max="8" width="17.5703125" customWidth="1"/>
    <col min="9" max="9" width="14.28515625" style="225" customWidth="1"/>
    <col min="10" max="10" width="12.85546875" style="225" customWidth="1"/>
    <col min="11" max="11" width="13" style="225" customWidth="1"/>
    <col min="12" max="12" width="12.7109375" style="225" customWidth="1"/>
    <col min="13" max="13" width="13.140625" customWidth="1"/>
  </cols>
  <sheetData>
    <row r="1" spans="1:17">
      <c r="A1" s="520" t="s">
        <v>119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7">
      <c r="A2" s="3"/>
      <c r="B2" s="3"/>
      <c r="C2" s="3"/>
      <c r="D2" s="3"/>
      <c r="E2" s="3"/>
      <c r="F2" s="3"/>
      <c r="G2" s="3"/>
      <c r="H2" s="3"/>
      <c r="I2" s="200"/>
      <c r="J2" s="200"/>
      <c r="K2" s="200"/>
    </row>
    <row r="3" spans="1:17">
      <c r="A3" s="526" t="s">
        <v>270</v>
      </c>
      <c r="B3" s="527"/>
      <c r="C3" s="527"/>
      <c r="D3" s="527"/>
      <c r="E3" s="527"/>
      <c r="F3" s="527"/>
      <c r="G3" s="527"/>
      <c r="H3" s="527"/>
      <c r="I3" s="520"/>
      <c r="J3" s="520"/>
      <c r="K3" s="520"/>
      <c r="L3" s="520"/>
    </row>
    <row r="4" spans="1:17" ht="15" customHeight="1" thickBot="1">
      <c r="A4" s="3"/>
      <c r="B4" s="3"/>
      <c r="C4" s="3"/>
      <c r="D4" s="3"/>
      <c r="E4" s="3"/>
      <c r="F4" s="3"/>
      <c r="G4" s="3"/>
      <c r="H4" s="3"/>
      <c r="I4" s="200"/>
      <c r="J4" s="200"/>
      <c r="K4" s="200"/>
      <c r="L4" s="200"/>
      <c r="Q4" s="3"/>
    </row>
    <row r="5" spans="1:17" ht="17.25" customHeight="1" thickTop="1">
      <c r="A5" s="6"/>
      <c r="B5" s="554" t="s">
        <v>66</v>
      </c>
      <c r="C5" s="555"/>
      <c r="D5" s="555"/>
      <c r="E5" s="555"/>
      <c r="F5" s="555"/>
      <c r="G5" s="556"/>
      <c r="H5" s="557"/>
      <c r="I5" s="201"/>
      <c r="J5" s="221"/>
      <c r="K5" s="221"/>
      <c r="L5" s="221"/>
      <c r="P5" s="3"/>
    </row>
    <row r="6" spans="1:17" ht="12.75" customHeight="1">
      <c r="A6" s="3"/>
      <c r="B6" s="315"/>
      <c r="C6" s="225"/>
      <c r="D6" s="225"/>
      <c r="E6" s="216" t="s">
        <v>139</v>
      </c>
      <c r="F6" s="216" t="s">
        <v>231</v>
      </c>
      <c r="G6" s="216" t="s">
        <v>231</v>
      </c>
      <c r="H6" s="314" t="s">
        <v>231</v>
      </c>
      <c r="I6" s="200"/>
      <c r="J6" s="217" t="s">
        <v>140</v>
      </c>
      <c r="K6" s="523" t="s">
        <v>177</v>
      </c>
      <c r="L6" s="538" t="s">
        <v>254</v>
      </c>
      <c r="P6" s="3"/>
    </row>
    <row r="7" spans="1:17">
      <c r="A7" s="3" t="s">
        <v>77</v>
      </c>
      <c r="B7" s="316"/>
      <c r="C7" s="217"/>
      <c r="D7" s="538" t="s">
        <v>255</v>
      </c>
      <c r="E7" s="217" t="s">
        <v>120</v>
      </c>
      <c r="F7" s="538" t="s">
        <v>246</v>
      </c>
      <c r="G7" s="538" t="s">
        <v>242</v>
      </c>
      <c r="H7" s="558" t="s">
        <v>247</v>
      </c>
      <c r="I7" s="200"/>
      <c r="J7" s="217" t="s">
        <v>35</v>
      </c>
      <c r="K7" s="539"/>
      <c r="L7" s="505"/>
      <c r="P7" s="3"/>
    </row>
    <row r="8" spans="1:17">
      <c r="A8" s="3" t="s">
        <v>33</v>
      </c>
      <c r="B8" s="317" t="s">
        <v>138</v>
      </c>
      <c r="C8" s="217" t="s">
        <v>138</v>
      </c>
      <c r="D8" s="505"/>
      <c r="E8" s="217" t="s">
        <v>31</v>
      </c>
      <c r="F8" s="505"/>
      <c r="G8" s="505"/>
      <c r="H8" s="559"/>
      <c r="I8" s="217" t="s">
        <v>184</v>
      </c>
      <c r="J8" s="217" t="s">
        <v>65</v>
      </c>
      <c r="K8" s="539"/>
      <c r="L8" s="505"/>
      <c r="P8" s="3"/>
    </row>
    <row r="9" spans="1:17" ht="16.5" customHeight="1" thickBot="1">
      <c r="A9" s="7" t="s">
        <v>132</v>
      </c>
      <c r="B9" s="318" t="s">
        <v>144</v>
      </c>
      <c r="C9" s="219" t="s">
        <v>54</v>
      </c>
      <c r="D9" s="506"/>
      <c r="E9" s="219" t="s">
        <v>121</v>
      </c>
      <c r="F9" s="506"/>
      <c r="G9" s="506"/>
      <c r="H9" s="560"/>
      <c r="I9" s="219" t="s">
        <v>34</v>
      </c>
      <c r="J9" s="219" t="s">
        <v>55</v>
      </c>
      <c r="K9" s="518"/>
      <c r="L9" s="506"/>
      <c r="P9" s="3"/>
    </row>
    <row r="10" spans="1:17" s="44" customFormat="1">
      <c r="A10" s="48" t="s">
        <v>0</v>
      </c>
      <c r="B10" s="305">
        <f t="shared" ref="B10:H10" si="0">SUM(B12:B39)</f>
        <v>188405632.66000003</v>
      </c>
      <c r="C10" s="228">
        <f t="shared" si="0"/>
        <v>5877726.9199999981</v>
      </c>
      <c r="D10" s="228">
        <f t="shared" si="0"/>
        <v>122434.14</v>
      </c>
      <c r="E10" s="228">
        <f t="shared" si="0"/>
        <v>3365901.9800000004</v>
      </c>
      <c r="F10" s="228">
        <f t="shared" si="0"/>
        <v>15569843.92</v>
      </c>
      <c r="G10" s="228">
        <f t="shared" si="0"/>
        <v>1295959.3299999998</v>
      </c>
      <c r="H10" s="228">
        <f t="shared" si="0"/>
        <v>1949238.3800000001</v>
      </c>
      <c r="I10" s="305">
        <f>SUM(I12:I39)</f>
        <v>161621.56</v>
      </c>
      <c r="J10" s="305">
        <f>SUM(J12:J39)</f>
        <v>33366.53</v>
      </c>
      <c r="K10" s="228">
        <f>SUM(K12:K39)</f>
        <v>3679139.11</v>
      </c>
      <c r="L10" s="228">
        <f>SUM(L12:L39)</f>
        <v>58618.520000000004</v>
      </c>
      <c r="P10" s="16"/>
    </row>
    <row r="11" spans="1:17">
      <c r="A11" s="3"/>
      <c r="B11" s="3"/>
      <c r="C11" s="3"/>
      <c r="D11" s="3"/>
      <c r="E11" s="3"/>
      <c r="F11" s="3"/>
      <c r="G11" s="3"/>
      <c r="H11" s="3"/>
      <c r="I11" s="200"/>
      <c r="J11" s="223"/>
      <c r="K11" s="223"/>
      <c r="L11" s="223"/>
      <c r="P11" s="3"/>
    </row>
    <row r="12" spans="1:17">
      <c r="A12" s="3" t="s">
        <v>1</v>
      </c>
      <c r="B12" s="130">
        <v>2784476.8</v>
      </c>
      <c r="C12" s="130">
        <v>194415.44</v>
      </c>
      <c r="D12" s="130">
        <v>0</v>
      </c>
      <c r="E12" s="130">
        <v>76272</v>
      </c>
      <c r="F12" s="130">
        <v>386520.41</v>
      </c>
      <c r="G12" s="130">
        <v>32906.870000000003</v>
      </c>
      <c r="H12" s="130">
        <v>41891.339999999997</v>
      </c>
      <c r="I12" s="130">
        <v>0</v>
      </c>
      <c r="J12" s="323">
        <v>0</v>
      </c>
      <c r="K12" s="130">
        <v>368005.51</v>
      </c>
      <c r="L12" s="130">
        <v>16908.21</v>
      </c>
      <c r="P12" s="15"/>
    </row>
    <row r="13" spans="1:17">
      <c r="A13" s="3" t="s">
        <v>2</v>
      </c>
      <c r="B13" s="130">
        <v>16613882.08</v>
      </c>
      <c r="C13" s="130">
        <v>484879.42</v>
      </c>
      <c r="D13" s="130">
        <v>0</v>
      </c>
      <c r="E13" s="130">
        <v>691051.6</v>
      </c>
      <c r="F13" s="130">
        <v>1880404.42</v>
      </c>
      <c r="G13" s="130">
        <v>54315.83</v>
      </c>
      <c r="H13" s="130">
        <v>660941.46</v>
      </c>
      <c r="I13" s="130">
        <v>0</v>
      </c>
      <c r="J13" s="396">
        <v>11994.53</v>
      </c>
      <c r="K13" s="130">
        <v>265118.01</v>
      </c>
      <c r="L13" s="397">
        <v>0</v>
      </c>
      <c r="P13" s="15"/>
    </row>
    <row r="14" spans="1:17" s="23" customFormat="1">
      <c r="A14" s="32" t="s">
        <v>3</v>
      </c>
      <c r="B14" s="130">
        <v>26991696.75</v>
      </c>
      <c r="C14" s="130">
        <v>914892.73</v>
      </c>
      <c r="D14" s="130">
        <v>0</v>
      </c>
      <c r="E14" s="323">
        <v>0</v>
      </c>
      <c r="F14" s="323">
        <v>1990432.81</v>
      </c>
      <c r="G14" s="130">
        <v>191864.12</v>
      </c>
      <c r="H14" s="130">
        <v>40985.74</v>
      </c>
      <c r="I14" s="130">
        <v>161621.56</v>
      </c>
      <c r="J14" s="323">
        <v>0</v>
      </c>
      <c r="K14" s="130">
        <v>0</v>
      </c>
      <c r="L14" s="130">
        <v>0</v>
      </c>
      <c r="P14" s="50"/>
    </row>
    <row r="15" spans="1:17">
      <c r="A15" s="3" t="s">
        <v>4</v>
      </c>
      <c r="B15" s="130">
        <v>23246536.27</v>
      </c>
      <c r="C15" s="130">
        <v>800176.21</v>
      </c>
      <c r="D15" s="130">
        <v>0</v>
      </c>
      <c r="E15" s="130">
        <v>951786.35</v>
      </c>
      <c r="F15" s="130">
        <v>425594.16</v>
      </c>
      <c r="G15" s="130">
        <v>178888.12</v>
      </c>
      <c r="H15" s="130">
        <v>252201.38</v>
      </c>
      <c r="I15" s="130">
        <v>0</v>
      </c>
      <c r="J15" s="130">
        <v>0</v>
      </c>
      <c r="K15" s="130">
        <v>0</v>
      </c>
      <c r="L15" s="130">
        <v>0</v>
      </c>
      <c r="P15" s="15"/>
    </row>
    <row r="16" spans="1:17">
      <c r="A16" s="3" t="s">
        <v>5</v>
      </c>
      <c r="B16" s="130">
        <v>3202383.43</v>
      </c>
      <c r="C16" s="130">
        <v>102912.1</v>
      </c>
      <c r="D16" s="130">
        <v>0</v>
      </c>
      <c r="E16" s="130">
        <v>136193.51999999999</v>
      </c>
      <c r="F16" s="130">
        <v>636930.46</v>
      </c>
      <c r="G16" s="323">
        <v>84046.04</v>
      </c>
      <c r="H16" s="323">
        <v>77297.960000000006</v>
      </c>
      <c r="I16" s="130">
        <v>0</v>
      </c>
      <c r="J16" s="130">
        <v>0</v>
      </c>
      <c r="K16" s="130">
        <v>0</v>
      </c>
      <c r="L16" s="130">
        <v>0</v>
      </c>
      <c r="P16" s="15"/>
    </row>
    <row r="17" spans="1:16">
      <c r="A17" s="3"/>
      <c r="B17" s="341"/>
      <c r="C17" s="341"/>
      <c r="D17" s="341"/>
      <c r="E17" s="341"/>
      <c r="F17" s="341"/>
      <c r="G17" s="341"/>
      <c r="H17" s="341"/>
      <c r="I17" s="353"/>
      <c r="J17" s="341"/>
      <c r="K17" s="341"/>
      <c r="L17" s="341"/>
      <c r="P17" s="15"/>
    </row>
    <row r="18" spans="1:16">
      <c r="A18" s="3" t="s">
        <v>6</v>
      </c>
      <c r="B18" s="130">
        <v>1242081.3600000001</v>
      </c>
      <c r="C18" s="130">
        <v>54244.36</v>
      </c>
      <c r="D18" s="130">
        <v>0</v>
      </c>
      <c r="E18" s="130">
        <v>36170.42</v>
      </c>
      <c r="F18" s="130">
        <v>61408.21</v>
      </c>
      <c r="G18" s="130">
        <v>24494.95</v>
      </c>
      <c r="H18" s="130">
        <v>7925.26</v>
      </c>
      <c r="I18" s="130">
        <v>0</v>
      </c>
      <c r="J18" s="130">
        <v>0</v>
      </c>
      <c r="K18" s="130">
        <v>311471.78000000003</v>
      </c>
      <c r="L18" s="130">
        <v>0</v>
      </c>
      <c r="P18" s="15"/>
    </row>
    <row r="19" spans="1:16">
      <c r="A19" s="3" t="s">
        <v>7</v>
      </c>
      <c r="B19" s="323">
        <v>6899661.1100000003</v>
      </c>
      <c r="C19" s="130">
        <v>313342.90000000002</v>
      </c>
      <c r="D19" s="130">
        <v>0</v>
      </c>
      <c r="E19" s="130">
        <v>267127.46000000002</v>
      </c>
      <c r="F19" s="130">
        <v>0</v>
      </c>
      <c r="G19" s="130">
        <v>0</v>
      </c>
      <c r="H19" s="130">
        <v>0</v>
      </c>
      <c r="I19" s="130">
        <v>0</v>
      </c>
      <c r="J19" s="130">
        <v>11763.35</v>
      </c>
      <c r="K19" s="130">
        <v>0</v>
      </c>
      <c r="L19" s="130">
        <v>0</v>
      </c>
      <c r="P19" s="15"/>
    </row>
    <row r="20" spans="1:16">
      <c r="A20" s="3" t="s">
        <v>8</v>
      </c>
      <c r="B20" s="130">
        <v>3768427.26</v>
      </c>
      <c r="C20" s="130">
        <v>114036.14</v>
      </c>
      <c r="D20" s="130">
        <v>0</v>
      </c>
      <c r="E20" s="130">
        <v>127983.41</v>
      </c>
      <c r="F20" s="130">
        <v>0</v>
      </c>
      <c r="G20" s="130">
        <v>0</v>
      </c>
      <c r="H20" s="130">
        <v>48595.22</v>
      </c>
      <c r="I20" s="130">
        <v>0</v>
      </c>
      <c r="J20" s="130">
        <v>1865.27</v>
      </c>
      <c r="K20" s="130">
        <v>0</v>
      </c>
      <c r="L20" s="130">
        <v>0</v>
      </c>
      <c r="P20" s="15"/>
    </row>
    <row r="21" spans="1:16">
      <c r="A21" s="3" t="s">
        <v>9</v>
      </c>
      <c r="B21" s="130">
        <v>5219800.08</v>
      </c>
      <c r="C21" s="130">
        <v>74596.600000000006</v>
      </c>
      <c r="D21" s="130">
        <v>122434.14</v>
      </c>
      <c r="E21" s="130">
        <v>0</v>
      </c>
      <c r="F21" s="130">
        <v>472902.37</v>
      </c>
      <c r="G21" s="130">
        <v>57286.76</v>
      </c>
      <c r="H21" s="130">
        <v>76675.41</v>
      </c>
      <c r="I21" s="130">
        <v>0</v>
      </c>
      <c r="J21" s="130">
        <v>0</v>
      </c>
      <c r="K21" s="130">
        <v>0</v>
      </c>
      <c r="L21" s="130">
        <v>0</v>
      </c>
      <c r="P21" s="15"/>
    </row>
    <row r="22" spans="1:16">
      <c r="A22" s="3" t="s">
        <v>10</v>
      </c>
      <c r="B22" s="130">
        <v>1078465.43</v>
      </c>
      <c r="C22" s="130">
        <v>38121</v>
      </c>
      <c r="D22" s="130">
        <v>0</v>
      </c>
      <c r="E22" s="130">
        <v>39093.370000000003</v>
      </c>
      <c r="F22" s="130">
        <v>13351.9</v>
      </c>
      <c r="G22" s="130">
        <v>2605.7600000000002</v>
      </c>
      <c r="H22" s="130">
        <v>2609.5500000000002</v>
      </c>
      <c r="I22" s="130">
        <v>0</v>
      </c>
      <c r="J22" s="130">
        <v>4758.18</v>
      </c>
      <c r="K22" s="130">
        <v>0</v>
      </c>
      <c r="L22" s="130">
        <v>0</v>
      </c>
      <c r="P22" s="15"/>
    </row>
    <row r="23" spans="1:16">
      <c r="A23" s="3"/>
      <c r="B23" s="341"/>
      <c r="C23" s="341"/>
      <c r="D23" s="341"/>
      <c r="E23" s="341"/>
      <c r="F23" s="341"/>
      <c r="G23" s="341"/>
      <c r="H23" s="341"/>
      <c r="I23" s="353"/>
      <c r="J23" s="341"/>
      <c r="K23" s="341"/>
      <c r="L23" s="341"/>
      <c r="P23" s="15"/>
    </row>
    <row r="24" spans="1:16">
      <c r="A24" s="3" t="s">
        <v>11</v>
      </c>
      <c r="B24" s="130">
        <v>7193321.3799999999</v>
      </c>
      <c r="C24" s="130">
        <v>143049.87</v>
      </c>
      <c r="D24" s="130">
        <v>0</v>
      </c>
      <c r="E24" s="130">
        <v>0</v>
      </c>
      <c r="F24" s="130">
        <v>376263.79</v>
      </c>
      <c r="G24" s="130">
        <v>13137.44</v>
      </c>
      <c r="H24" s="130">
        <v>0</v>
      </c>
      <c r="I24" s="130">
        <v>0</v>
      </c>
      <c r="J24" s="130">
        <v>0</v>
      </c>
      <c r="K24" s="130">
        <v>298771.77</v>
      </c>
      <c r="L24" s="130">
        <v>0</v>
      </c>
      <c r="P24" s="15"/>
    </row>
    <row r="25" spans="1:16">
      <c r="A25" s="3" t="s">
        <v>12</v>
      </c>
      <c r="B25" s="130">
        <v>1083693.52</v>
      </c>
      <c r="C25" s="130">
        <v>59800.04</v>
      </c>
      <c r="D25" s="130">
        <v>0</v>
      </c>
      <c r="E25" s="130">
        <v>22152.36</v>
      </c>
      <c r="F25" s="130">
        <v>125247.71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386">
        <v>15407.38</v>
      </c>
      <c r="P25" s="15"/>
    </row>
    <row r="26" spans="1:16">
      <c r="A26" s="3" t="s">
        <v>13</v>
      </c>
      <c r="B26" s="130">
        <v>9504181.0099999998</v>
      </c>
      <c r="C26" s="130">
        <v>337796.03</v>
      </c>
      <c r="D26" s="130">
        <v>0</v>
      </c>
      <c r="E26" s="130">
        <v>330830.13</v>
      </c>
      <c r="F26" s="130">
        <v>29404.7</v>
      </c>
      <c r="G26" s="130">
        <v>0</v>
      </c>
      <c r="H26" s="130">
        <v>26759.15</v>
      </c>
      <c r="I26" s="130">
        <v>0</v>
      </c>
      <c r="J26" s="130">
        <v>0</v>
      </c>
      <c r="K26" s="130">
        <v>65999.89</v>
      </c>
      <c r="L26" s="130">
        <v>0</v>
      </c>
      <c r="P26" s="15"/>
    </row>
    <row r="27" spans="1:16">
      <c r="A27" s="3" t="s">
        <v>14</v>
      </c>
      <c r="B27" s="130">
        <v>8713266.9700000007</v>
      </c>
      <c r="C27" s="130">
        <v>252979.29</v>
      </c>
      <c r="D27" s="130">
        <v>0</v>
      </c>
      <c r="E27" s="130">
        <v>295646.89</v>
      </c>
      <c r="F27" s="130">
        <v>1190758.75</v>
      </c>
      <c r="G27" s="130">
        <v>280395.75</v>
      </c>
      <c r="H27" s="130">
        <v>177276.14</v>
      </c>
      <c r="I27" s="130">
        <v>0</v>
      </c>
      <c r="J27" s="130">
        <v>0</v>
      </c>
      <c r="K27" s="130">
        <v>645624.4</v>
      </c>
      <c r="L27" s="130">
        <v>0</v>
      </c>
      <c r="P27" s="15"/>
    </row>
    <row r="28" spans="1:16">
      <c r="A28" s="3" t="s">
        <v>15</v>
      </c>
      <c r="B28" s="130">
        <v>575707.04</v>
      </c>
      <c r="C28" s="130">
        <v>21686.44</v>
      </c>
      <c r="D28" s="130">
        <v>0</v>
      </c>
      <c r="E28" s="130">
        <v>1898.89</v>
      </c>
      <c r="F28" s="130">
        <v>0</v>
      </c>
      <c r="G28" s="130">
        <v>0</v>
      </c>
      <c r="H28" s="130">
        <v>17581</v>
      </c>
      <c r="I28" s="130">
        <v>0</v>
      </c>
      <c r="J28" s="130">
        <v>0</v>
      </c>
      <c r="K28" s="130">
        <v>0</v>
      </c>
      <c r="L28" s="130">
        <v>0</v>
      </c>
      <c r="P28" s="15"/>
    </row>
    <row r="29" spans="1:16">
      <c r="A29" s="3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P29" s="15"/>
    </row>
    <row r="30" spans="1:16">
      <c r="A30" s="3" t="s">
        <v>16</v>
      </c>
      <c r="B30" s="130">
        <v>27590225.52</v>
      </c>
      <c r="C30" s="130">
        <v>771244.56</v>
      </c>
      <c r="D30" s="130">
        <v>0</v>
      </c>
      <c r="E30" s="130">
        <v>0</v>
      </c>
      <c r="F30" s="130">
        <v>3334767.16</v>
      </c>
      <c r="G30" s="130">
        <v>777</v>
      </c>
      <c r="H30" s="130">
        <v>228621.89</v>
      </c>
      <c r="I30" s="130">
        <v>0</v>
      </c>
      <c r="J30" s="130">
        <v>0</v>
      </c>
      <c r="K30" s="130">
        <v>314448.78999999998</v>
      </c>
      <c r="L30" s="130">
        <v>0</v>
      </c>
      <c r="P30" s="15"/>
    </row>
    <row r="31" spans="1:16">
      <c r="A31" s="3" t="s">
        <v>17</v>
      </c>
      <c r="B31" s="130">
        <v>26159840.93</v>
      </c>
      <c r="C31" s="130">
        <v>727557.37</v>
      </c>
      <c r="D31" s="130">
        <v>0</v>
      </c>
      <c r="E31" s="130">
        <v>0</v>
      </c>
      <c r="F31" s="130">
        <v>2992051.47</v>
      </c>
      <c r="G31" s="130">
        <v>238145.85</v>
      </c>
      <c r="H31" s="130">
        <v>26799.47</v>
      </c>
      <c r="I31" s="130">
        <v>0</v>
      </c>
      <c r="J31" s="130">
        <v>0</v>
      </c>
      <c r="K31" s="130">
        <v>0</v>
      </c>
      <c r="L31" s="130">
        <v>844.87</v>
      </c>
      <c r="P31" s="15"/>
    </row>
    <row r="32" spans="1:16" s="55" customFormat="1">
      <c r="A32" s="54" t="s">
        <v>18</v>
      </c>
      <c r="B32" s="130">
        <v>1510309.63</v>
      </c>
      <c r="C32" s="130">
        <v>45972.02</v>
      </c>
      <c r="D32" s="130">
        <v>0</v>
      </c>
      <c r="E32" s="130">
        <v>49956.03</v>
      </c>
      <c r="F32" s="130">
        <v>0</v>
      </c>
      <c r="G32" s="130">
        <v>1706.16</v>
      </c>
      <c r="H32" s="130">
        <v>64566.46</v>
      </c>
      <c r="I32" s="130">
        <v>0</v>
      </c>
      <c r="J32" s="130">
        <v>0</v>
      </c>
      <c r="K32" s="130">
        <v>0</v>
      </c>
      <c r="L32" s="130">
        <v>0</v>
      </c>
      <c r="M32" s="67"/>
      <c r="P32" s="320"/>
    </row>
    <row r="33" spans="1:17">
      <c r="A33" s="3" t="s">
        <v>19</v>
      </c>
      <c r="B33" s="130">
        <v>3499669.35</v>
      </c>
      <c r="C33" s="130">
        <v>123155.31</v>
      </c>
      <c r="D33" s="130">
        <v>0</v>
      </c>
      <c r="E33" s="130">
        <v>0</v>
      </c>
      <c r="F33" s="130">
        <v>715620.09</v>
      </c>
      <c r="G33" s="130">
        <v>76719.97</v>
      </c>
      <c r="H33" s="130">
        <v>0</v>
      </c>
      <c r="I33" s="130">
        <v>0</v>
      </c>
      <c r="J33" s="130">
        <v>0</v>
      </c>
      <c r="K33" s="130">
        <v>300060.7</v>
      </c>
      <c r="L33" s="130">
        <v>0</v>
      </c>
      <c r="P33" s="15"/>
    </row>
    <row r="34" spans="1:17">
      <c r="A34" s="3" t="s">
        <v>20</v>
      </c>
      <c r="B34" s="130">
        <v>816557.51</v>
      </c>
      <c r="C34" s="130">
        <v>32335.33</v>
      </c>
      <c r="D34" s="130">
        <v>0</v>
      </c>
      <c r="E34" s="130">
        <v>15228.37</v>
      </c>
      <c r="F34" s="130">
        <v>38832.589999999997</v>
      </c>
      <c r="G34" s="130">
        <v>186.41</v>
      </c>
      <c r="H34" s="130">
        <v>30000</v>
      </c>
      <c r="I34" s="130">
        <v>0</v>
      </c>
      <c r="J34" s="130">
        <v>0</v>
      </c>
      <c r="K34" s="130">
        <v>0</v>
      </c>
      <c r="L34" s="130">
        <v>7196.57</v>
      </c>
      <c r="P34" s="15"/>
    </row>
    <row r="35" spans="1:17">
      <c r="A35" s="3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P35" s="15"/>
    </row>
    <row r="36" spans="1:17">
      <c r="A36" s="3" t="s">
        <v>21</v>
      </c>
      <c r="B36" s="130">
        <v>1158553.81</v>
      </c>
      <c r="C36" s="130">
        <v>35967.800000000003</v>
      </c>
      <c r="D36" s="130">
        <v>0</v>
      </c>
      <c r="E36" s="130">
        <v>29902.35</v>
      </c>
      <c r="F36" s="130">
        <v>603</v>
      </c>
      <c r="G36" s="130">
        <v>205</v>
      </c>
      <c r="H36" s="130">
        <v>26323.11</v>
      </c>
      <c r="I36" s="130">
        <v>0</v>
      </c>
      <c r="J36" s="130">
        <v>0</v>
      </c>
      <c r="K36" s="130">
        <v>0</v>
      </c>
      <c r="L36" s="130">
        <v>0</v>
      </c>
      <c r="P36" s="15"/>
    </row>
    <row r="37" spans="1:17">
      <c r="A37" s="3" t="s">
        <v>22</v>
      </c>
      <c r="B37" s="130">
        <v>4574384.8099999996</v>
      </c>
      <c r="C37" s="130">
        <v>87270.85</v>
      </c>
      <c r="D37" s="130">
        <v>0</v>
      </c>
      <c r="E37" s="130">
        <v>189227.3</v>
      </c>
      <c r="F37" s="130">
        <v>607221.19999999995</v>
      </c>
      <c r="G37" s="130">
        <v>37123.129999999997</v>
      </c>
      <c r="H37" s="130">
        <v>65910.83</v>
      </c>
      <c r="I37" s="130">
        <v>0</v>
      </c>
      <c r="J37" s="130">
        <v>0</v>
      </c>
      <c r="K37" s="130">
        <v>0</v>
      </c>
      <c r="L37" s="130">
        <v>0</v>
      </c>
      <c r="P37" s="15"/>
    </row>
    <row r="38" spans="1:17">
      <c r="A38" s="3" t="s">
        <v>23</v>
      </c>
      <c r="B38" s="130">
        <v>3088177.74</v>
      </c>
      <c r="C38" s="130">
        <v>106670.1</v>
      </c>
      <c r="D38" s="130">
        <v>0</v>
      </c>
      <c r="E38" s="130">
        <v>93693.83</v>
      </c>
      <c r="F38" s="130">
        <v>102545.77</v>
      </c>
      <c r="G38" s="130">
        <v>8068.82</v>
      </c>
      <c r="H38" s="130">
        <v>67573.25</v>
      </c>
      <c r="I38" s="130">
        <v>0</v>
      </c>
      <c r="J38" s="130">
        <v>2985.2</v>
      </c>
      <c r="K38" s="130">
        <v>602805.46</v>
      </c>
      <c r="L38" s="130">
        <v>18261.490000000002</v>
      </c>
      <c r="P38" s="15"/>
    </row>
    <row r="39" spans="1:17">
      <c r="A39" s="12" t="s">
        <v>24</v>
      </c>
      <c r="B39" s="131">
        <v>1890332.87</v>
      </c>
      <c r="C39" s="400">
        <v>40625.01</v>
      </c>
      <c r="D39" s="131">
        <v>0</v>
      </c>
      <c r="E39" s="131">
        <v>11687.7</v>
      </c>
      <c r="F39" s="131">
        <v>188982.95</v>
      </c>
      <c r="G39" s="131">
        <v>13085.35</v>
      </c>
      <c r="H39" s="131">
        <v>8703.76</v>
      </c>
      <c r="I39" s="131">
        <v>0</v>
      </c>
      <c r="J39" s="131">
        <v>0</v>
      </c>
      <c r="K39" s="131">
        <v>506832.8</v>
      </c>
      <c r="L39" s="131">
        <v>0</v>
      </c>
      <c r="P39" s="15"/>
    </row>
    <row r="40" spans="1:17">
      <c r="A40" s="3"/>
      <c r="B40" s="32"/>
      <c r="C40" s="32"/>
      <c r="D40" s="32"/>
      <c r="E40" s="32"/>
      <c r="F40" s="32"/>
      <c r="G40" s="32"/>
      <c r="H40" s="32"/>
      <c r="I40" s="32"/>
      <c r="J40" s="50"/>
      <c r="K40" s="23"/>
      <c r="L40" s="50"/>
      <c r="P40" s="15"/>
    </row>
    <row r="41" spans="1:17">
      <c r="A41" s="3"/>
      <c r="B41" s="32"/>
      <c r="C41" s="32"/>
      <c r="D41" s="32"/>
      <c r="E41" s="32"/>
      <c r="F41" s="32"/>
      <c r="G41" s="32"/>
      <c r="H41" s="32"/>
      <c r="I41" s="32"/>
      <c r="J41" s="32"/>
      <c r="K41" s="23"/>
      <c r="L41" s="50"/>
      <c r="Q41" s="15"/>
    </row>
    <row r="42" spans="1:17">
      <c r="A42" s="3"/>
      <c r="B42" s="3"/>
      <c r="C42" s="3"/>
      <c r="D42" s="3"/>
      <c r="E42" s="3"/>
      <c r="F42" s="3"/>
      <c r="G42" s="3"/>
      <c r="H42" s="3"/>
      <c r="I42" s="200"/>
      <c r="J42" s="200"/>
      <c r="L42" s="202"/>
      <c r="Q42" s="15"/>
    </row>
    <row r="43" spans="1:17">
      <c r="A43" s="3"/>
      <c r="B43" s="3"/>
      <c r="C43" s="3"/>
      <c r="D43" s="3"/>
      <c r="E43" s="3"/>
      <c r="F43" s="3"/>
      <c r="G43" s="3"/>
      <c r="H43" s="3"/>
      <c r="I43" s="200"/>
      <c r="J43" s="200"/>
      <c r="L43" s="202"/>
      <c r="Q43" s="15"/>
    </row>
    <row r="44" spans="1:17">
      <c r="A44" s="3"/>
      <c r="B44" s="3"/>
      <c r="C44" s="3"/>
      <c r="D44" s="3"/>
      <c r="E44" s="3"/>
      <c r="F44" s="3"/>
      <c r="G44" s="3"/>
      <c r="H44" s="3"/>
      <c r="I44" s="200"/>
      <c r="J44" s="200"/>
      <c r="K44" s="285"/>
      <c r="L44" s="202"/>
      <c r="Q44" s="15"/>
    </row>
    <row r="45" spans="1:17">
      <c r="A45" s="3"/>
      <c r="B45" s="3"/>
      <c r="C45" s="3"/>
      <c r="D45" s="3"/>
      <c r="E45" s="3"/>
      <c r="F45" s="3"/>
      <c r="G45" s="3"/>
      <c r="H45" s="3"/>
      <c r="I45" s="200"/>
      <c r="J45" s="200"/>
      <c r="L45" s="202"/>
      <c r="Q45" s="15"/>
    </row>
    <row r="46" spans="1:17">
      <c r="A46" s="3"/>
      <c r="B46" s="3"/>
      <c r="C46" s="3"/>
      <c r="D46" s="3"/>
      <c r="E46" s="3"/>
      <c r="F46" s="3"/>
      <c r="G46" s="3"/>
      <c r="H46" s="3"/>
      <c r="I46" s="200"/>
      <c r="J46" s="200"/>
      <c r="L46" s="202"/>
      <c r="Q46" s="15"/>
    </row>
    <row r="47" spans="1:17">
      <c r="A47" s="3"/>
      <c r="B47" s="3"/>
      <c r="C47" s="3"/>
      <c r="D47" s="3"/>
      <c r="E47" s="3"/>
      <c r="F47" s="3"/>
      <c r="G47" s="3"/>
      <c r="H47" s="3"/>
      <c r="I47" s="200"/>
      <c r="J47" s="200"/>
      <c r="L47" s="202"/>
      <c r="Q47" s="15"/>
    </row>
    <row r="48" spans="1:17">
      <c r="A48" s="3"/>
      <c r="B48" s="3"/>
      <c r="C48" s="3"/>
      <c r="D48" s="3"/>
      <c r="E48" s="3"/>
      <c r="F48" s="3"/>
      <c r="G48" s="3"/>
      <c r="H48" s="3"/>
      <c r="I48" s="200"/>
      <c r="J48" s="200"/>
      <c r="L48" s="202"/>
      <c r="Q48" s="15"/>
    </row>
    <row r="49" spans="1:17">
      <c r="A49" s="3"/>
      <c r="B49" s="3"/>
      <c r="C49" s="3"/>
      <c r="D49" s="3"/>
      <c r="E49" s="3"/>
      <c r="F49" s="3"/>
      <c r="G49" s="3"/>
      <c r="H49" s="3"/>
      <c r="I49" s="200"/>
      <c r="J49" s="200"/>
      <c r="L49" s="202"/>
      <c r="Q49" s="15"/>
    </row>
    <row r="50" spans="1:17">
      <c r="A50" s="3"/>
      <c r="B50" s="3"/>
      <c r="C50" s="3"/>
      <c r="D50" s="3"/>
      <c r="E50" s="3"/>
      <c r="F50" s="3"/>
      <c r="G50" s="3"/>
      <c r="H50" s="3"/>
      <c r="I50" s="200"/>
      <c r="J50" s="200"/>
      <c r="K50" s="200"/>
      <c r="L50" s="202"/>
      <c r="Q50" s="15"/>
    </row>
    <row r="51" spans="1:17">
      <c r="A51" s="3"/>
      <c r="B51" s="3"/>
      <c r="C51" s="3"/>
      <c r="D51" s="3"/>
      <c r="E51" s="3"/>
      <c r="F51" s="3"/>
      <c r="G51" s="3"/>
      <c r="H51" s="3"/>
      <c r="I51" s="200"/>
      <c r="J51" s="200"/>
      <c r="K51" s="200"/>
      <c r="L51" s="202"/>
      <c r="Q51" s="15"/>
    </row>
    <row r="52" spans="1:17">
      <c r="A52" s="3"/>
      <c r="B52" s="3"/>
      <c r="C52" s="3"/>
      <c r="D52" s="3"/>
      <c r="E52" s="3"/>
      <c r="F52" s="3"/>
      <c r="G52" s="3"/>
      <c r="H52" s="3"/>
      <c r="I52" s="200"/>
      <c r="J52" s="200"/>
      <c r="K52" s="200"/>
    </row>
    <row r="53" spans="1:17">
      <c r="A53" s="3"/>
      <c r="B53" s="3"/>
      <c r="C53" s="3"/>
      <c r="D53" s="3"/>
      <c r="E53" s="3"/>
      <c r="F53" s="3"/>
      <c r="G53" s="3"/>
      <c r="H53" s="3"/>
      <c r="I53" s="200"/>
      <c r="J53" s="200"/>
      <c r="K53" s="200"/>
    </row>
    <row r="54" spans="1:17">
      <c r="A54" s="3"/>
      <c r="B54" s="3"/>
      <c r="C54" s="3"/>
      <c r="D54" s="3"/>
      <c r="E54" s="3"/>
      <c r="F54" s="3"/>
      <c r="G54" s="3"/>
      <c r="H54" s="3"/>
      <c r="I54" s="200"/>
      <c r="J54" s="200"/>
      <c r="K54" s="200"/>
    </row>
    <row r="55" spans="1:17">
      <c r="A55" s="3"/>
      <c r="B55" s="3"/>
      <c r="C55" s="3"/>
      <c r="D55" s="3"/>
      <c r="E55" s="3"/>
      <c r="F55" s="3"/>
      <c r="G55" s="3"/>
      <c r="H55" s="3"/>
      <c r="I55" s="200"/>
      <c r="J55" s="200"/>
      <c r="K55" s="200"/>
    </row>
    <row r="56" spans="1:17">
      <c r="A56" s="3"/>
      <c r="B56" s="3"/>
      <c r="C56" s="3"/>
      <c r="D56" s="3"/>
      <c r="E56" s="3"/>
      <c r="F56" s="3"/>
      <c r="G56" s="3"/>
      <c r="H56" s="3"/>
      <c r="I56" s="200"/>
      <c r="J56" s="200"/>
      <c r="K56" s="200"/>
    </row>
    <row r="57" spans="1:17">
      <c r="A57" s="3"/>
      <c r="B57" s="3"/>
      <c r="C57" s="3"/>
      <c r="D57" s="3"/>
      <c r="E57" s="3"/>
      <c r="F57" s="3"/>
      <c r="G57" s="3"/>
      <c r="H57" s="3"/>
      <c r="I57" s="200"/>
      <c r="J57" s="200"/>
      <c r="K57" s="200"/>
    </row>
    <row r="58" spans="1:17">
      <c r="A58" s="3"/>
      <c r="B58" s="3"/>
      <c r="C58" s="3"/>
      <c r="D58" s="3"/>
      <c r="E58" s="3"/>
      <c r="F58" s="3"/>
      <c r="G58" s="3"/>
      <c r="H58" s="3"/>
      <c r="I58" s="200"/>
      <c r="J58" s="200"/>
      <c r="K58" s="200"/>
    </row>
    <row r="59" spans="1:17">
      <c r="A59" s="3"/>
      <c r="B59" s="3"/>
      <c r="C59" s="3"/>
      <c r="D59" s="3"/>
      <c r="E59" s="3"/>
      <c r="F59" s="3"/>
      <c r="G59" s="3"/>
      <c r="H59" s="3"/>
      <c r="I59" s="200"/>
      <c r="J59" s="200"/>
      <c r="K59" s="200"/>
    </row>
    <row r="60" spans="1:17">
      <c r="A60" s="3"/>
      <c r="B60" s="3"/>
      <c r="C60" s="3"/>
      <c r="D60" s="3"/>
      <c r="E60" s="3"/>
      <c r="F60" s="3"/>
      <c r="G60" s="3"/>
      <c r="H60" s="3"/>
      <c r="I60" s="200"/>
      <c r="J60" s="200"/>
      <c r="K60" s="200"/>
    </row>
    <row r="61" spans="1:17">
      <c r="A61" s="3"/>
      <c r="B61" s="3"/>
      <c r="C61" s="3"/>
      <c r="D61" s="3"/>
      <c r="E61" s="3"/>
      <c r="F61" s="3"/>
      <c r="G61" s="3"/>
      <c r="H61" s="3"/>
      <c r="I61" s="200"/>
      <c r="J61" s="200"/>
      <c r="K61" s="200"/>
    </row>
    <row r="62" spans="1:17">
      <c r="A62" s="3"/>
      <c r="B62" s="3"/>
      <c r="C62" s="3"/>
      <c r="D62" s="3"/>
      <c r="E62" s="3"/>
      <c r="F62" s="3"/>
      <c r="G62" s="3"/>
      <c r="H62" s="3"/>
      <c r="I62" s="200"/>
      <c r="J62" s="200"/>
      <c r="K62" s="200"/>
    </row>
    <row r="63" spans="1:17">
      <c r="A63" s="3"/>
      <c r="B63" s="3"/>
      <c r="C63" s="3"/>
      <c r="D63" s="3"/>
      <c r="E63" s="3"/>
      <c r="F63" s="3"/>
      <c r="G63" s="3"/>
      <c r="H63" s="3"/>
      <c r="I63" s="200"/>
      <c r="J63" s="200"/>
      <c r="K63" s="200"/>
    </row>
    <row r="64" spans="1:17">
      <c r="A64" s="3"/>
      <c r="B64" s="3"/>
      <c r="C64" s="3"/>
      <c r="D64" s="3"/>
      <c r="E64" s="3"/>
      <c r="F64" s="3"/>
      <c r="G64" s="3"/>
      <c r="H64" s="3"/>
      <c r="I64" s="200"/>
      <c r="J64" s="200"/>
      <c r="K64" s="200"/>
    </row>
    <row r="65" spans="1:11">
      <c r="A65" s="3"/>
      <c r="B65" s="3"/>
      <c r="C65" s="3"/>
      <c r="D65" s="3"/>
      <c r="E65" s="3"/>
      <c r="F65" s="3"/>
      <c r="G65" s="3"/>
      <c r="H65" s="3"/>
      <c r="I65" s="200"/>
      <c r="J65" s="200"/>
      <c r="K65" s="200"/>
    </row>
    <row r="66" spans="1:11">
      <c r="A66" s="3"/>
      <c r="B66" s="3"/>
      <c r="C66" s="3"/>
      <c r="D66" s="3"/>
      <c r="E66" s="3"/>
      <c r="F66" s="3"/>
      <c r="G66" s="3"/>
      <c r="H66" s="3"/>
      <c r="I66" s="200"/>
      <c r="J66" s="200"/>
    </row>
    <row r="67" spans="1:11">
      <c r="A67" s="3"/>
      <c r="B67" s="3"/>
      <c r="C67" s="3"/>
      <c r="D67" s="3"/>
      <c r="E67" s="3"/>
      <c r="F67" s="3"/>
      <c r="G67" s="3"/>
      <c r="H67" s="3"/>
      <c r="I67" s="200"/>
      <c r="J67" s="200"/>
    </row>
    <row r="68" spans="1:11">
      <c r="A68" s="3"/>
      <c r="B68" s="3"/>
      <c r="C68" s="3"/>
      <c r="D68" s="3"/>
      <c r="E68" s="3"/>
      <c r="F68" s="3"/>
      <c r="G68" s="3"/>
      <c r="H68" s="3"/>
      <c r="I68" s="200"/>
      <c r="J68" s="200"/>
    </row>
    <row r="69" spans="1:11">
      <c r="A69" s="3"/>
      <c r="B69" s="3"/>
      <c r="C69" s="3"/>
      <c r="D69" s="3"/>
      <c r="E69" s="3"/>
      <c r="F69" s="3"/>
      <c r="G69" s="3"/>
      <c r="H69" s="3"/>
      <c r="I69" s="200"/>
      <c r="J69" s="200"/>
      <c r="K69" s="200"/>
    </row>
    <row r="70" spans="1:11">
      <c r="A70" s="3"/>
      <c r="B70" s="3"/>
      <c r="C70" s="3"/>
      <c r="D70" s="3"/>
      <c r="E70" s="3"/>
      <c r="F70" s="3"/>
      <c r="G70" s="3"/>
      <c r="H70" s="3"/>
      <c r="I70" s="200"/>
      <c r="J70" s="200"/>
      <c r="K70" s="200"/>
    </row>
    <row r="71" spans="1:11">
      <c r="A71" s="3"/>
      <c r="B71" s="3"/>
      <c r="C71" s="3"/>
      <c r="D71" s="3"/>
      <c r="E71" s="3"/>
      <c r="F71" s="3"/>
      <c r="G71" s="3"/>
      <c r="H71" s="3"/>
      <c r="I71" s="200"/>
      <c r="J71" s="200"/>
      <c r="K71" s="200"/>
    </row>
    <row r="72" spans="1:11">
      <c r="A72" s="3"/>
      <c r="B72" s="3"/>
      <c r="C72" s="3"/>
      <c r="D72" s="3"/>
      <c r="E72" s="3"/>
      <c r="F72" s="3"/>
      <c r="G72" s="3"/>
      <c r="H72" s="3"/>
      <c r="I72" s="200"/>
      <c r="J72" s="200"/>
      <c r="K72" s="200"/>
    </row>
    <row r="73" spans="1:11">
      <c r="A73" s="3"/>
      <c r="B73" s="3"/>
      <c r="C73" s="3"/>
      <c r="D73" s="3"/>
      <c r="E73" s="3"/>
      <c r="F73" s="3"/>
      <c r="G73" s="3"/>
      <c r="H73" s="3"/>
      <c r="I73" s="200"/>
      <c r="J73" s="200"/>
      <c r="K73" s="200"/>
    </row>
    <row r="74" spans="1:11">
      <c r="A74" s="3"/>
      <c r="B74" s="3"/>
      <c r="C74" s="3"/>
      <c r="D74" s="3"/>
      <c r="E74" s="3"/>
      <c r="F74" s="3"/>
      <c r="G74" s="3"/>
      <c r="H74" s="3"/>
      <c r="I74" s="200"/>
      <c r="J74" s="200"/>
      <c r="K74" s="200"/>
    </row>
    <row r="75" spans="1:11">
      <c r="A75" s="3"/>
      <c r="B75" s="3"/>
      <c r="C75" s="3"/>
      <c r="D75" s="3"/>
      <c r="E75" s="3"/>
      <c r="F75" s="3"/>
      <c r="G75" s="3"/>
      <c r="H75" s="3"/>
      <c r="I75" s="200"/>
      <c r="J75" s="200"/>
      <c r="K75" s="200"/>
    </row>
    <row r="76" spans="1:11">
      <c r="A76" s="3"/>
      <c r="B76" s="3"/>
      <c r="C76" s="3"/>
      <c r="D76" s="3"/>
      <c r="E76" s="3"/>
      <c r="F76" s="3"/>
      <c r="G76" s="3"/>
      <c r="H76" s="3"/>
      <c r="I76" s="200"/>
      <c r="J76" s="200"/>
      <c r="K76" s="200"/>
    </row>
    <row r="77" spans="1:11">
      <c r="A77" s="3"/>
      <c r="B77" s="3"/>
      <c r="C77" s="3"/>
      <c r="D77" s="3"/>
      <c r="E77" s="3"/>
      <c r="F77" s="3"/>
      <c r="G77" s="3"/>
      <c r="H77" s="3"/>
      <c r="I77" s="200"/>
      <c r="J77" s="200"/>
      <c r="K77" s="200"/>
    </row>
    <row r="78" spans="1:11">
      <c r="A78" s="3"/>
      <c r="B78" s="3"/>
      <c r="C78" s="3"/>
      <c r="D78" s="3"/>
      <c r="E78" s="3"/>
      <c r="F78" s="3"/>
      <c r="G78" s="3"/>
      <c r="H78" s="3"/>
      <c r="I78" s="200"/>
      <c r="J78" s="200"/>
      <c r="K78" s="200"/>
    </row>
    <row r="79" spans="1:11">
      <c r="A79" s="3"/>
      <c r="B79" s="3"/>
      <c r="C79" s="3"/>
      <c r="D79" s="3"/>
      <c r="E79" s="3"/>
      <c r="F79" s="3"/>
      <c r="G79" s="3"/>
      <c r="H79" s="3"/>
      <c r="I79" s="200"/>
      <c r="J79" s="200"/>
      <c r="K79" s="200"/>
    </row>
  </sheetData>
  <sheetProtection password="CAF5" sheet="1" objects="1" scenarios="1"/>
  <mergeCells count="9">
    <mergeCell ref="A1:L1"/>
    <mergeCell ref="A3:L3"/>
    <mergeCell ref="K6:K9"/>
    <mergeCell ref="B5:H5"/>
    <mergeCell ref="G7:G9"/>
    <mergeCell ref="H7:H9"/>
    <mergeCell ref="F7:F9"/>
    <mergeCell ref="L6:L9"/>
    <mergeCell ref="D7:D9"/>
  </mergeCells>
  <phoneticPr fontId="0" type="noConversion"/>
  <printOptions horizontalCentered="1"/>
  <pageMargins left="0.56000000000000005" right="0.49" top="0.83" bottom="1.07" header="0.67" footer="0.5"/>
  <pageSetup scale="67" orientation="landscape" r:id="rId1"/>
  <headerFooter alignWithMargins="0">
    <oddHeader xml:space="preserve">&amp;R
</oddHeader>
    <oddFooter>&amp;L&amp;"Arial,Italic"&amp;9MSDE - LFRO  12 / 2014
&amp;C- 15 -&amp;R&amp;"Arial,Italic"&amp;9Selected Financial Data-Part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90" zoomScaleNormal="90" workbookViewId="0">
      <selection sqref="A1:M1"/>
    </sheetView>
  </sheetViews>
  <sheetFormatPr defaultRowHeight="12.75"/>
  <cols>
    <col min="1" max="1" width="17.28515625" customWidth="1"/>
    <col min="2" max="2" width="15" customWidth="1"/>
    <col min="3" max="3" width="17.28515625" customWidth="1"/>
    <col min="4" max="4" width="12.85546875" style="225" customWidth="1"/>
    <col min="5" max="5" width="14.85546875" style="225" customWidth="1"/>
    <col min="6" max="6" width="12.28515625" style="225" customWidth="1"/>
    <col min="7" max="7" width="14.85546875" style="225" customWidth="1"/>
    <col min="8" max="8" width="14.5703125" style="225" customWidth="1"/>
    <col min="9" max="9" width="15.28515625" style="225" customWidth="1"/>
    <col min="10" max="11" width="16.42578125" style="225" customWidth="1"/>
    <col min="12" max="12" width="13.7109375" style="225" customWidth="1"/>
    <col min="13" max="13" width="14.5703125" style="225" customWidth="1"/>
    <col min="14" max="14" width="14" customWidth="1"/>
    <col min="16" max="16" width="16.140625" bestFit="1" customWidth="1"/>
    <col min="17" max="17" width="24" customWidth="1"/>
    <col min="18" max="18" width="16.42578125" customWidth="1"/>
  </cols>
  <sheetData>
    <row r="1" spans="1:13">
      <c r="A1" s="520" t="s">
        <v>119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</row>
    <row r="2" spans="1:13">
      <c r="A2" s="3"/>
      <c r="B2" s="3"/>
      <c r="C2" s="3"/>
    </row>
    <row r="3" spans="1:13">
      <c r="A3" s="526" t="s">
        <v>270</v>
      </c>
      <c r="B3" s="527"/>
      <c r="C3" s="527"/>
      <c r="D3" s="520"/>
      <c r="E3" s="520"/>
      <c r="F3" s="520"/>
      <c r="G3" s="520"/>
      <c r="H3" s="520"/>
      <c r="I3" s="520"/>
      <c r="J3" s="520"/>
      <c r="K3" s="520"/>
      <c r="L3" s="520"/>
      <c r="M3" s="520"/>
    </row>
    <row r="4" spans="1:13" ht="13.5" thickBot="1">
      <c r="A4" s="11"/>
      <c r="B4" s="11"/>
      <c r="C4" s="11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3.5" thickTop="1">
      <c r="A5" s="3"/>
      <c r="B5" s="561" t="s">
        <v>152</v>
      </c>
      <c r="C5" s="538" t="s">
        <v>185</v>
      </c>
      <c r="D5" s="200"/>
      <c r="E5" s="200"/>
      <c r="F5" s="200"/>
      <c r="G5" s="201"/>
      <c r="H5" s="564" t="s">
        <v>231</v>
      </c>
      <c r="I5" s="544"/>
      <c r="J5" s="544"/>
      <c r="K5" s="544"/>
      <c r="L5" s="565"/>
      <c r="M5" s="200"/>
    </row>
    <row r="6" spans="1:13" ht="15" customHeight="1">
      <c r="A6" s="3"/>
      <c r="B6" s="562"/>
      <c r="C6" s="504"/>
      <c r="D6" s="530" t="s">
        <v>188</v>
      </c>
      <c r="E6" s="530" t="s">
        <v>186</v>
      </c>
      <c r="F6" s="530" t="s">
        <v>187</v>
      </c>
      <c r="G6" s="200"/>
      <c r="H6" s="538" t="s">
        <v>252</v>
      </c>
      <c r="I6" s="538" t="s">
        <v>253</v>
      </c>
      <c r="J6" s="538" t="s">
        <v>244</v>
      </c>
      <c r="K6" s="538" t="s">
        <v>245</v>
      </c>
      <c r="L6" s="538" t="s">
        <v>248</v>
      </c>
      <c r="M6" s="217" t="s">
        <v>36</v>
      </c>
    </row>
    <row r="7" spans="1:13">
      <c r="A7" s="3" t="s">
        <v>77</v>
      </c>
      <c r="B7" s="562"/>
      <c r="C7" s="505"/>
      <c r="D7" s="490"/>
      <c r="E7" s="490"/>
      <c r="F7" s="490"/>
      <c r="G7" s="538" t="s">
        <v>183</v>
      </c>
      <c r="H7" s="505"/>
      <c r="I7" s="505"/>
      <c r="J7" s="505"/>
      <c r="K7" s="505"/>
      <c r="L7" s="505"/>
      <c r="M7" s="217" t="s">
        <v>52</v>
      </c>
    </row>
    <row r="8" spans="1:13">
      <c r="A8" s="3" t="s">
        <v>33</v>
      </c>
      <c r="B8" s="562"/>
      <c r="C8" s="505"/>
      <c r="D8" s="490"/>
      <c r="E8" s="490"/>
      <c r="F8" s="490"/>
      <c r="G8" s="539"/>
      <c r="H8" s="505"/>
      <c r="I8" s="505"/>
      <c r="J8" s="505"/>
      <c r="K8" s="505"/>
      <c r="L8" s="505"/>
      <c r="M8" s="217" t="s">
        <v>51</v>
      </c>
    </row>
    <row r="9" spans="1:13" ht="13.5" thickBot="1">
      <c r="A9" s="7" t="s">
        <v>132</v>
      </c>
      <c r="B9" s="563"/>
      <c r="C9" s="506"/>
      <c r="D9" s="491"/>
      <c r="E9" s="491"/>
      <c r="F9" s="491"/>
      <c r="G9" s="518"/>
      <c r="H9" s="506"/>
      <c r="I9" s="506"/>
      <c r="J9" s="506"/>
      <c r="K9" s="506"/>
      <c r="L9" s="506"/>
      <c r="M9" s="227" t="s">
        <v>63</v>
      </c>
    </row>
    <row r="10" spans="1:13" s="306" customFormat="1">
      <c r="A10" s="290" t="s">
        <v>0</v>
      </c>
      <c r="B10" s="228">
        <f>SUM(B12:B39)</f>
        <v>324174.27</v>
      </c>
      <c r="C10" s="228">
        <f>SUM(C12:C39)</f>
        <v>49586.3</v>
      </c>
      <c r="D10" s="228">
        <f t="shared" ref="D10:M10" si="0">SUM(D12:D39)</f>
        <v>455395.9</v>
      </c>
      <c r="E10" s="305">
        <f t="shared" si="0"/>
        <v>15547979.639999997</v>
      </c>
      <c r="F10" s="228">
        <f t="shared" si="0"/>
        <v>731832.21000000008</v>
      </c>
      <c r="G10" s="228">
        <f>SUM(G12:G39)</f>
        <v>27857460.609999999</v>
      </c>
      <c r="H10" s="228">
        <f>SUM(H12:H39)</f>
        <v>4899738.1399999997</v>
      </c>
      <c r="I10" s="228">
        <f>SUM(I12:I39)</f>
        <v>27588399.569999997</v>
      </c>
      <c r="J10" s="228">
        <f t="shared" si="0"/>
        <v>36554148.909999996</v>
      </c>
      <c r="K10" s="228">
        <f t="shared" si="0"/>
        <v>2126400.2400000002</v>
      </c>
      <c r="L10" s="228">
        <f t="shared" si="0"/>
        <v>5291357.0999999996</v>
      </c>
      <c r="M10" s="228">
        <f t="shared" si="0"/>
        <v>55366074.079999998</v>
      </c>
    </row>
    <row r="11" spans="1:13">
      <c r="A11" s="3"/>
      <c r="B11" s="3"/>
      <c r="C11" s="3"/>
      <c r="D11" s="223"/>
      <c r="E11" s="223"/>
      <c r="F11" s="223"/>
      <c r="G11" s="229"/>
      <c r="H11" s="229"/>
      <c r="I11" s="229"/>
      <c r="J11" s="223"/>
      <c r="K11" s="223"/>
      <c r="L11" s="223"/>
      <c r="M11" s="223" t="s">
        <v>256</v>
      </c>
    </row>
    <row r="12" spans="1:13">
      <c r="A12" s="200" t="s">
        <v>1</v>
      </c>
      <c r="B12" s="130">
        <v>0</v>
      </c>
      <c r="C12" s="130">
        <v>3625.14</v>
      </c>
      <c r="D12" s="130">
        <v>0</v>
      </c>
      <c r="E12" s="130">
        <v>0</v>
      </c>
      <c r="F12" s="130">
        <v>0</v>
      </c>
      <c r="G12" s="130">
        <v>437652.62</v>
      </c>
      <c r="H12" s="130">
        <v>0</v>
      </c>
      <c r="I12" s="130">
        <v>627750</v>
      </c>
      <c r="J12" s="130">
        <v>445868</v>
      </c>
      <c r="K12" s="130">
        <v>0</v>
      </c>
      <c r="L12" s="130">
        <v>0</v>
      </c>
      <c r="M12" s="130">
        <v>1171938.26</v>
      </c>
    </row>
    <row r="13" spans="1:13">
      <c r="A13" s="200" t="s">
        <v>2</v>
      </c>
      <c r="B13" s="130">
        <v>0</v>
      </c>
      <c r="C13" s="130">
        <v>3996.13</v>
      </c>
      <c r="D13" s="130">
        <v>0</v>
      </c>
      <c r="E13" s="130">
        <v>0</v>
      </c>
      <c r="F13" s="130">
        <v>72130.45</v>
      </c>
      <c r="G13" s="130">
        <v>2484820</v>
      </c>
      <c r="H13" s="130">
        <v>0</v>
      </c>
      <c r="I13" s="130">
        <v>25000</v>
      </c>
      <c r="J13" s="130">
        <v>1534684.63</v>
      </c>
      <c r="K13" s="130">
        <v>236390.69</v>
      </c>
      <c r="L13" s="130">
        <v>0</v>
      </c>
      <c r="M13" s="130">
        <f>4413120.03+18990.8</f>
        <v>4432110.83</v>
      </c>
    </row>
    <row r="14" spans="1:13" s="23" customFormat="1">
      <c r="A14" s="32" t="s">
        <v>3</v>
      </c>
      <c r="B14" s="130">
        <v>274181.45</v>
      </c>
      <c r="C14" s="130">
        <v>0</v>
      </c>
      <c r="D14" s="129">
        <v>0</v>
      </c>
      <c r="E14" s="130">
        <v>0</v>
      </c>
      <c r="F14" s="130">
        <v>96143.1</v>
      </c>
      <c r="G14" s="130">
        <v>18228773.649999999</v>
      </c>
      <c r="H14" s="130">
        <v>4899738.1399999997</v>
      </c>
      <c r="I14" s="130">
        <v>2890783.63</v>
      </c>
      <c r="J14" s="130">
        <v>12385224.48</v>
      </c>
      <c r="K14" s="130">
        <v>461888.19</v>
      </c>
      <c r="L14" s="130">
        <v>0</v>
      </c>
      <c r="M14" s="130">
        <v>14293130.99</v>
      </c>
    </row>
    <row r="15" spans="1:13">
      <c r="A15" s="200" t="s">
        <v>4</v>
      </c>
      <c r="B15" s="130">
        <v>0</v>
      </c>
      <c r="C15" s="130">
        <v>7980.54</v>
      </c>
      <c r="D15" s="130">
        <v>104649.62</v>
      </c>
      <c r="E15" s="130">
        <v>6988205.2999999998</v>
      </c>
      <c r="F15" s="130">
        <v>86071.14</v>
      </c>
      <c r="G15" s="323">
        <v>201525</v>
      </c>
      <c r="H15" s="323">
        <v>0</v>
      </c>
      <c r="I15" s="323">
        <v>4129953</v>
      </c>
      <c r="J15" s="130">
        <v>3273789.79</v>
      </c>
      <c r="K15" s="130">
        <v>35696.800000000003</v>
      </c>
      <c r="L15" s="130">
        <v>0</v>
      </c>
      <c r="M15" s="130">
        <v>1449115.64</v>
      </c>
    </row>
    <row r="16" spans="1:13">
      <c r="A16" s="200" t="s">
        <v>5</v>
      </c>
      <c r="B16" s="130">
        <v>0</v>
      </c>
      <c r="C16" s="130">
        <v>0</v>
      </c>
      <c r="D16" s="129">
        <v>0</v>
      </c>
      <c r="E16" s="323">
        <v>64716.67</v>
      </c>
      <c r="F16" s="130">
        <v>18480.37</v>
      </c>
      <c r="G16" s="130">
        <v>288445.88</v>
      </c>
      <c r="H16" s="130">
        <v>0</v>
      </c>
      <c r="I16" s="130">
        <v>417482.46</v>
      </c>
      <c r="J16" s="130">
        <v>715062.94</v>
      </c>
      <c r="K16" s="130">
        <v>21349.89</v>
      </c>
      <c r="L16" s="130">
        <v>248613.19</v>
      </c>
      <c r="M16" s="130">
        <v>367601</v>
      </c>
    </row>
    <row r="17" spans="1:14">
      <c r="A17" s="202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55"/>
    </row>
    <row r="18" spans="1:14">
      <c r="A18" s="200" t="s">
        <v>6</v>
      </c>
      <c r="B18" s="130">
        <v>15874.5</v>
      </c>
      <c r="C18" s="130">
        <v>0</v>
      </c>
      <c r="D18" s="130">
        <v>0</v>
      </c>
      <c r="E18" s="130">
        <v>466225.14</v>
      </c>
      <c r="F18" s="130">
        <v>0</v>
      </c>
      <c r="G18" s="130">
        <v>0</v>
      </c>
      <c r="H18" s="130">
        <v>0</v>
      </c>
      <c r="I18" s="130">
        <v>324110</v>
      </c>
      <c r="J18" s="130">
        <v>543907.6</v>
      </c>
      <c r="K18" s="130">
        <v>121356.95</v>
      </c>
      <c r="L18" s="130">
        <v>0</v>
      </c>
      <c r="M18" s="130">
        <v>173789.08</v>
      </c>
    </row>
    <row r="19" spans="1:14">
      <c r="A19" s="200" t="s">
        <v>7</v>
      </c>
      <c r="B19" s="130">
        <v>0</v>
      </c>
      <c r="C19" s="130">
        <v>1925.23</v>
      </c>
      <c r="D19" s="130">
        <v>5740.65</v>
      </c>
      <c r="E19" s="130">
        <v>0</v>
      </c>
      <c r="F19" s="130">
        <v>9006.48</v>
      </c>
      <c r="G19" s="130">
        <v>0</v>
      </c>
      <c r="H19" s="130">
        <v>0</v>
      </c>
      <c r="I19" s="130">
        <v>5289083</v>
      </c>
      <c r="J19" s="130">
        <v>453679.14</v>
      </c>
      <c r="K19" s="130">
        <v>88360.12</v>
      </c>
      <c r="L19" s="130">
        <v>0</v>
      </c>
      <c r="M19" s="130">
        <v>1291320.3500000001</v>
      </c>
    </row>
    <row r="20" spans="1:14">
      <c r="A20" s="200" t="s">
        <v>8</v>
      </c>
      <c r="B20" s="130">
        <v>0</v>
      </c>
      <c r="C20" s="130">
        <v>886.44</v>
      </c>
      <c r="D20" s="130">
        <v>0</v>
      </c>
      <c r="E20" s="130">
        <v>1369246.04</v>
      </c>
      <c r="F20" s="130">
        <v>0</v>
      </c>
      <c r="G20" s="130">
        <v>0</v>
      </c>
      <c r="H20" s="130">
        <v>0</v>
      </c>
      <c r="I20" s="130">
        <v>779827.82</v>
      </c>
      <c r="J20" s="130">
        <v>692338.79</v>
      </c>
      <c r="K20" s="130">
        <v>132188</v>
      </c>
      <c r="L20" s="130">
        <v>13335</v>
      </c>
      <c r="M20" s="130">
        <v>3934</v>
      </c>
    </row>
    <row r="21" spans="1:14">
      <c r="A21" s="200" t="s">
        <v>9</v>
      </c>
      <c r="B21" s="130">
        <v>0</v>
      </c>
      <c r="C21" s="130">
        <v>4158.97</v>
      </c>
      <c r="D21" s="130">
        <v>0</v>
      </c>
      <c r="E21" s="130">
        <v>0</v>
      </c>
      <c r="F21" s="130">
        <v>45674.82</v>
      </c>
      <c r="G21" s="323">
        <v>1024493.87</v>
      </c>
      <c r="H21" s="323">
        <v>0</v>
      </c>
      <c r="I21" s="323">
        <v>5535520.3099999996</v>
      </c>
      <c r="J21" s="130">
        <v>2141694.71</v>
      </c>
      <c r="K21" s="130">
        <v>9999.8700000000008</v>
      </c>
      <c r="L21" s="130">
        <v>0</v>
      </c>
      <c r="M21" s="130">
        <v>414625.33</v>
      </c>
    </row>
    <row r="22" spans="1:14">
      <c r="A22" s="200" t="s">
        <v>10</v>
      </c>
      <c r="B22" s="130">
        <v>0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16898</v>
      </c>
      <c r="J22" s="130">
        <v>369943.43</v>
      </c>
      <c r="K22" s="130">
        <v>82669.929999999993</v>
      </c>
      <c r="L22" s="130">
        <v>0</v>
      </c>
      <c r="M22" s="130">
        <v>166539.21</v>
      </c>
    </row>
    <row r="23" spans="1:14">
      <c r="A23" s="200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55"/>
    </row>
    <row r="24" spans="1:14">
      <c r="A24" s="200" t="s">
        <v>11</v>
      </c>
      <c r="B24" s="130">
        <v>0</v>
      </c>
      <c r="C24" s="130">
        <v>0</v>
      </c>
      <c r="D24" s="130">
        <v>0</v>
      </c>
      <c r="E24" s="130">
        <v>0</v>
      </c>
      <c r="F24" s="130">
        <v>55911.53</v>
      </c>
      <c r="G24" s="130">
        <v>184042.6</v>
      </c>
      <c r="H24" s="130">
        <v>0</v>
      </c>
      <c r="I24" s="130">
        <v>472725.86</v>
      </c>
      <c r="J24" s="130">
        <v>631337.34</v>
      </c>
      <c r="K24" s="130">
        <v>59500.01</v>
      </c>
      <c r="L24" s="130">
        <v>6962.53</v>
      </c>
      <c r="M24" s="130">
        <v>1048753.7</v>
      </c>
    </row>
    <row r="25" spans="1:14">
      <c r="A25" s="200" t="s">
        <v>12</v>
      </c>
      <c r="B25" s="130">
        <v>2925</v>
      </c>
      <c r="C25" s="130">
        <v>9149.4</v>
      </c>
      <c r="D25" s="130">
        <v>0</v>
      </c>
      <c r="E25" s="130">
        <v>334890.90999999997</v>
      </c>
      <c r="F25" s="130">
        <v>0</v>
      </c>
      <c r="G25" s="130">
        <v>0</v>
      </c>
      <c r="H25" s="130">
        <v>0</v>
      </c>
      <c r="I25" s="130">
        <v>13292</v>
      </c>
      <c r="J25" s="130">
        <v>174463.61</v>
      </c>
      <c r="K25" s="130">
        <v>0</v>
      </c>
      <c r="L25" s="130">
        <v>150582.72</v>
      </c>
      <c r="M25" s="130">
        <v>63872.46</v>
      </c>
    </row>
    <row r="26" spans="1:14">
      <c r="A26" s="200" t="s">
        <v>13</v>
      </c>
      <c r="B26" s="130">
        <v>0</v>
      </c>
      <c r="C26" s="130">
        <v>0</v>
      </c>
      <c r="D26" s="130">
        <v>0</v>
      </c>
      <c r="E26" s="130">
        <v>0</v>
      </c>
      <c r="F26" s="130">
        <v>24000</v>
      </c>
      <c r="G26" s="130">
        <v>1345206.67</v>
      </c>
      <c r="H26" s="130">
        <v>0</v>
      </c>
      <c r="I26" s="130">
        <v>0</v>
      </c>
      <c r="J26" s="130">
        <v>1188195.44</v>
      </c>
      <c r="K26" s="130">
        <v>23652.89</v>
      </c>
      <c r="L26" s="130">
        <v>2579396.58</v>
      </c>
      <c r="M26" s="130">
        <v>239173.09</v>
      </c>
    </row>
    <row r="27" spans="1:14">
      <c r="A27" s="200" t="s">
        <v>14</v>
      </c>
      <c r="B27" s="130">
        <v>0</v>
      </c>
      <c r="C27" s="130">
        <v>0</v>
      </c>
      <c r="D27" s="130">
        <v>0</v>
      </c>
      <c r="E27" s="130">
        <v>0</v>
      </c>
      <c r="F27" s="130">
        <v>78683.33</v>
      </c>
      <c r="G27" s="130">
        <v>141391</v>
      </c>
      <c r="H27" s="130">
        <v>0</v>
      </c>
      <c r="I27" s="130">
        <v>126235</v>
      </c>
      <c r="J27" s="130">
        <v>623498.79</v>
      </c>
      <c r="K27" s="130">
        <v>432922.98</v>
      </c>
      <c r="L27" s="130">
        <v>564039</v>
      </c>
      <c r="M27" s="130">
        <v>937647.45</v>
      </c>
    </row>
    <row r="28" spans="1:14">
      <c r="A28" s="200" t="s">
        <v>15</v>
      </c>
      <c r="B28" s="130">
        <v>0</v>
      </c>
      <c r="C28" s="130">
        <v>0</v>
      </c>
      <c r="D28" s="130">
        <v>0</v>
      </c>
      <c r="E28" s="130">
        <v>103622.42</v>
      </c>
      <c r="F28" s="130">
        <v>0</v>
      </c>
      <c r="G28" s="130">
        <v>81438.09</v>
      </c>
      <c r="H28" s="130">
        <v>0</v>
      </c>
      <c r="I28" s="130">
        <v>371730</v>
      </c>
      <c r="J28" s="130">
        <v>129862.67</v>
      </c>
      <c r="K28" s="130">
        <v>8972.74</v>
      </c>
      <c r="L28" s="130">
        <v>0</v>
      </c>
      <c r="M28" s="130">
        <v>134018.81</v>
      </c>
    </row>
    <row r="29" spans="1:14">
      <c r="A29" s="200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55"/>
    </row>
    <row r="30" spans="1:14">
      <c r="A30" s="200" t="s">
        <v>16</v>
      </c>
      <c r="B30" s="130">
        <v>0</v>
      </c>
      <c r="C30" s="130">
        <v>0</v>
      </c>
      <c r="D30" s="130">
        <v>0</v>
      </c>
      <c r="E30" s="130">
        <v>4271635.66</v>
      </c>
      <c r="F30" s="323">
        <v>84723.59</v>
      </c>
      <c r="G30" s="130">
        <v>448477.21</v>
      </c>
      <c r="H30" s="130">
        <v>0</v>
      </c>
      <c r="I30" s="130">
        <v>4377655</v>
      </c>
      <c r="J30" s="130">
        <v>2150786.2400000002</v>
      </c>
      <c r="K30" s="130">
        <v>10780.07</v>
      </c>
      <c r="L30" s="130">
        <v>1608855.05</v>
      </c>
      <c r="M30" s="130">
        <v>5037967.79</v>
      </c>
    </row>
    <row r="31" spans="1:14">
      <c r="A31" s="200" t="s">
        <v>17</v>
      </c>
      <c r="B31" s="130">
        <v>0</v>
      </c>
      <c r="C31" s="130">
        <v>14864.45</v>
      </c>
      <c r="D31" s="130">
        <v>0</v>
      </c>
      <c r="E31" s="130">
        <v>0</v>
      </c>
      <c r="F31" s="323">
        <v>79928.98</v>
      </c>
      <c r="G31" s="130">
        <v>109453.65</v>
      </c>
      <c r="H31" s="130">
        <v>0</v>
      </c>
      <c r="I31" s="130">
        <v>468638.02</v>
      </c>
      <c r="J31" s="130">
        <v>4864870.1100000003</v>
      </c>
      <c r="K31" s="130">
        <v>0</v>
      </c>
      <c r="L31" s="130">
        <v>0</v>
      </c>
      <c r="M31" s="130">
        <v>20100580.77</v>
      </c>
    </row>
    <row r="32" spans="1:14" s="55" customFormat="1">
      <c r="A32" s="231" t="s">
        <v>18</v>
      </c>
      <c r="B32" s="130">
        <v>0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254253</v>
      </c>
      <c r="J32" s="130">
        <v>132798.81</v>
      </c>
      <c r="K32" s="130">
        <v>0</v>
      </c>
      <c r="L32" s="130">
        <v>0</v>
      </c>
      <c r="M32" s="130">
        <v>519809.17</v>
      </c>
      <c r="N32" s="321"/>
    </row>
    <row r="33" spans="1:13">
      <c r="A33" s="200" t="s">
        <v>19</v>
      </c>
      <c r="B33" s="130">
        <v>0</v>
      </c>
      <c r="C33" s="130">
        <v>0</v>
      </c>
      <c r="D33" s="130">
        <v>0</v>
      </c>
      <c r="E33" s="130">
        <v>0</v>
      </c>
      <c r="F33" s="130">
        <v>13627.89</v>
      </c>
      <c r="G33" s="130">
        <v>2842897.77</v>
      </c>
      <c r="H33" s="130">
        <v>0</v>
      </c>
      <c r="I33" s="130">
        <v>51420</v>
      </c>
      <c r="J33" s="130">
        <v>1045509.19</v>
      </c>
      <c r="K33" s="130">
        <v>229275.95</v>
      </c>
      <c r="L33" s="130">
        <v>64163.22</v>
      </c>
      <c r="M33" s="130">
        <v>597208.03</v>
      </c>
    </row>
    <row r="34" spans="1:13">
      <c r="A34" s="200" t="s">
        <v>20</v>
      </c>
      <c r="B34" s="130">
        <v>1193.32</v>
      </c>
      <c r="C34" s="130">
        <v>0</v>
      </c>
      <c r="D34" s="130">
        <v>0</v>
      </c>
      <c r="E34" s="130">
        <v>483500.44</v>
      </c>
      <c r="F34" s="130">
        <v>11254.28</v>
      </c>
      <c r="G34" s="130">
        <v>0</v>
      </c>
      <c r="H34" s="130">
        <v>0</v>
      </c>
      <c r="I34" s="130">
        <v>182619.98</v>
      </c>
      <c r="J34" s="130">
        <v>441317.16</v>
      </c>
      <c r="K34" s="130">
        <v>114649.53</v>
      </c>
      <c r="L34" s="130">
        <v>0</v>
      </c>
      <c r="M34" s="130">
        <v>157869</v>
      </c>
    </row>
    <row r="35" spans="1:13">
      <c r="A35" s="200"/>
      <c r="B35" s="341"/>
      <c r="C35" s="338"/>
      <c r="D35" s="341"/>
      <c r="E35" s="341"/>
      <c r="F35" s="341"/>
      <c r="G35" s="341"/>
      <c r="H35" s="341"/>
      <c r="I35" s="341"/>
      <c r="J35" s="341"/>
      <c r="K35" s="341"/>
      <c r="L35" s="341"/>
      <c r="M35" s="355"/>
    </row>
    <row r="36" spans="1:13">
      <c r="A36" s="200" t="s">
        <v>21</v>
      </c>
      <c r="B36" s="130">
        <v>0</v>
      </c>
      <c r="C36" s="130">
        <v>0</v>
      </c>
      <c r="D36" s="130">
        <v>0</v>
      </c>
      <c r="E36" s="130">
        <v>294491.11</v>
      </c>
      <c r="F36" s="130">
        <v>0</v>
      </c>
      <c r="G36" s="130">
        <v>0</v>
      </c>
      <c r="H36" s="130">
        <v>0</v>
      </c>
      <c r="I36" s="130">
        <v>99516</v>
      </c>
      <c r="J36" s="130">
        <v>127119.22</v>
      </c>
      <c r="K36" s="130">
        <v>0</v>
      </c>
      <c r="L36" s="130">
        <v>0</v>
      </c>
      <c r="M36" s="130">
        <v>23464</v>
      </c>
    </row>
    <row r="37" spans="1:13">
      <c r="A37" s="200" t="s">
        <v>22</v>
      </c>
      <c r="B37" s="130">
        <v>30000</v>
      </c>
      <c r="C37" s="130">
        <v>0</v>
      </c>
      <c r="D37" s="130">
        <v>345005.63</v>
      </c>
      <c r="E37" s="130">
        <v>867240.5</v>
      </c>
      <c r="F37" s="130">
        <v>0</v>
      </c>
      <c r="G37" s="386">
        <v>38842.6</v>
      </c>
      <c r="H37" s="130">
        <v>0</v>
      </c>
      <c r="I37" s="386">
        <v>76430</v>
      </c>
      <c r="J37" s="130">
        <v>1268016.52</v>
      </c>
      <c r="K37" s="130">
        <v>0</v>
      </c>
      <c r="L37" s="130">
        <v>0</v>
      </c>
      <c r="M37" s="130">
        <v>874142.85</v>
      </c>
    </row>
    <row r="38" spans="1:13">
      <c r="A38" s="200" t="s">
        <v>23</v>
      </c>
      <c r="B38" s="130">
        <v>0</v>
      </c>
      <c r="C38" s="130">
        <v>0</v>
      </c>
      <c r="D38" s="130">
        <v>0</v>
      </c>
      <c r="E38" s="130">
        <v>0</v>
      </c>
      <c r="F38" s="130">
        <v>56196.25</v>
      </c>
      <c r="G38" s="130">
        <v>0</v>
      </c>
      <c r="H38" s="130">
        <v>0</v>
      </c>
      <c r="I38" s="130">
        <v>1010252.08</v>
      </c>
      <c r="J38" s="130">
        <v>617906.32999999996</v>
      </c>
      <c r="K38" s="130">
        <v>56745.63</v>
      </c>
      <c r="L38" s="130">
        <v>0</v>
      </c>
      <c r="M38" s="130">
        <f>849260.29-17231.9</f>
        <v>832028.39</v>
      </c>
    </row>
    <row r="39" spans="1:13">
      <c r="A39" s="307" t="s">
        <v>24</v>
      </c>
      <c r="B39" s="131">
        <v>0</v>
      </c>
      <c r="C39" s="131">
        <v>3000</v>
      </c>
      <c r="D39" s="131">
        <v>0</v>
      </c>
      <c r="E39" s="131">
        <v>304205.45</v>
      </c>
      <c r="F39" s="131">
        <v>0</v>
      </c>
      <c r="G39" s="131">
        <v>0</v>
      </c>
      <c r="H39" s="131">
        <v>0</v>
      </c>
      <c r="I39" s="28">
        <v>47224.41</v>
      </c>
      <c r="J39" s="131">
        <v>602273.97</v>
      </c>
      <c r="K39" s="131">
        <v>0</v>
      </c>
      <c r="L39" s="131">
        <v>55409.81</v>
      </c>
      <c r="M39" s="131">
        <v>1035433.88</v>
      </c>
    </row>
    <row r="40" spans="1:13">
      <c r="A40" s="3"/>
      <c r="B40" s="3"/>
      <c r="C40" s="3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1:13">
      <c r="A41" s="3"/>
      <c r="B41" s="3"/>
      <c r="C41" s="3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1:13">
      <c r="A42" s="3"/>
      <c r="B42" s="3"/>
      <c r="C42" s="3"/>
      <c r="D42" s="202"/>
      <c r="E42" s="202"/>
      <c r="F42" s="202"/>
      <c r="G42" s="202"/>
      <c r="H42" s="202"/>
      <c r="I42" s="202"/>
      <c r="J42" s="202"/>
      <c r="K42" s="202"/>
      <c r="L42" s="202"/>
      <c r="M42" s="202"/>
    </row>
    <row r="43" spans="1:13">
      <c r="A43" s="3"/>
      <c r="B43" s="3"/>
      <c r="C43" s="3"/>
      <c r="D43" s="202"/>
      <c r="E43" s="202"/>
      <c r="F43" s="202"/>
      <c r="G43" s="202"/>
      <c r="H43" s="202"/>
      <c r="I43" s="202"/>
      <c r="J43" s="202"/>
      <c r="K43" s="202"/>
      <c r="L43" s="202"/>
      <c r="M43" s="202"/>
    </row>
    <row r="44" spans="1:13">
      <c r="A44" s="3"/>
      <c r="B44" s="3"/>
      <c r="C44" s="3"/>
    </row>
    <row r="45" spans="1:13">
      <c r="A45" s="3"/>
      <c r="B45" s="3"/>
      <c r="C45" s="3"/>
    </row>
    <row r="46" spans="1:13">
      <c r="A46" s="3"/>
      <c r="B46" s="3"/>
      <c r="C46" s="3"/>
    </row>
    <row r="47" spans="1:13">
      <c r="A47" s="3"/>
      <c r="B47" s="3"/>
      <c r="C47" s="3"/>
    </row>
    <row r="48" spans="1:13">
      <c r="A48" s="3"/>
      <c r="B48" s="3"/>
      <c r="C48" s="3"/>
    </row>
    <row r="49" spans="1:3">
      <c r="A49" s="3"/>
      <c r="B49" s="3"/>
      <c r="C49" s="3"/>
    </row>
    <row r="50" spans="1:3">
      <c r="A50" s="3"/>
      <c r="B50" s="3"/>
      <c r="C50" s="3"/>
    </row>
    <row r="51" spans="1:3">
      <c r="A51" s="3"/>
      <c r="B51" s="3"/>
      <c r="C51" s="3"/>
    </row>
    <row r="52" spans="1:3">
      <c r="A52" s="3"/>
      <c r="B52" s="3"/>
      <c r="C52" s="3"/>
    </row>
    <row r="53" spans="1:3">
      <c r="A53" s="3"/>
      <c r="B53" s="3"/>
      <c r="C53" s="3"/>
    </row>
    <row r="54" spans="1:3">
      <c r="A54" s="3"/>
      <c r="B54" s="3"/>
      <c r="C54" s="3"/>
    </row>
    <row r="55" spans="1:3">
      <c r="A55" s="3"/>
      <c r="B55" s="3"/>
      <c r="C55" s="3"/>
    </row>
    <row r="56" spans="1:3">
      <c r="A56" s="3"/>
      <c r="B56" s="3"/>
      <c r="C56" s="3"/>
    </row>
    <row r="57" spans="1:3">
      <c r="A57" s="3"/>
      <c r="B57" s="3"/>
      <c r="C57" s="3"/>
    </row>
    <row r="58" spans="1:3">
      <c r="A58" s="3"/>
      <c r="B58" s="3"/>
      <c r="C58" s="3"/>
    </row>
    <row r="59" spans="1:3">
      <c r="A59" s="3"/>
      <c r="B59" s="3"/>
      <c r="C59" s="3"/>
    </row>
    <row r="60" spans="1:3">
      <c r="A60" s="3"/>
      <c r="B60" s="3"/>
      <c r="C60" s="3"/>
    </row>
    <row r="61" spans="1:3">
      <c r="A61" s="3"/>
      <c r="B61" s="3"/>
      <c r="C61" s="3"/>
    </row>
    <row r="62" spans="1:3">
      <c r="A62" s="3"/>
      <c r="B62" s="3"/>
      <c r="C62" s="3"/>
    </row>
    <row r="63" spans="1:3">
      <c r="A63" s="3"/>
      <c r="B63" s="3"/>
      <c r="C63" s="3"/>
    </row>
    <row r="64" spans="1:3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</sheetData>
  <sheetProtection password="CAF5" sheet="1" objects="1" scenarios="1"/>
  <mergeCells count="14">
    <mergeCell ref="K6:K9"/>
    <mergeCell ref="L6:L9"/>
    <mergeCell ref="B5:B9"/>
    <mergeCell ref="C5:C9"/>
    <mergeCell ref="A1:M1"/>
    <mergeCell ref="A3:M3"/>
    <mergeCell ref="E6:E9"/>
    <mergeCell ref="F6:F9"/>
    <mergeCell ref="D6:D9"/>
    <mergeCell ref="G7:G9"/>
    <mergeCell ref="J6:J9"/>
    <mergeCell ref="H6:H9"/>
    <mergeCell ref="H5:L5"/>
    <mergeCell ref="I6:I9"/>
  </mergeCells>
  <phoneticPr fontId="0" type="noConversion"/>
  <printOptions horizontalCentered="1"/>
  <pageMargins left="0.69" right="0.65" top="0.83" bottom="1.2" header="0.67" footer="0.5"/>
  <pageSetup scale="64" orientation="landscape" r:id="rId1"/>
  <headerFooter alignWithMargins="0">
    <oddHeader xml:space="preserve">&amp;R
</oddHeader>
    <oddFooter>&amp;L&amp;"Arial,Italic"&amp;9MSDE - LFRO  12 / 2014
&amp;C- 16 -&amp;R&amp;"Arial,Italic"&amp;9Selected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zoomScaleNormal="100" workbookViewId="0"/>
  </sheetViews>
  <sheetFormatPr defaultColWidth="11.42578125" defaultRowHeight="12.75"/>
  <cols>
    <col min="1" max="1" width="17.85546875" style="24" customWidth="1"/>
    <col min="2" max="2" width="13.5703125" style="183" customWidth="1"/>
    <col min="3" max="3" width="17.7109375" style="183" customWidth="1"/>
    <col min="4" max="4" width="17.5703125" style="183" bestFit="1" customWidth="1"/>
    <col min="5" max="5" width="14.140625" style="183" customWidth="1"/>
    <col min="6" max="6" width="14" style="183" customWidth="1"/>
    <col min="7" max="7" width="15.5703125" style="183" customWidth="1"/>
    <col min="8" max="8" width="17.42578125" style="183" customWidth="1"/>
    <col min="9" max="11" width="14.7109375" style="183" customWidth="1"/>
    <col min="12" max="12" width="12.5703125" style="183" customWidth="1"/>
    <col min="13" max="16384" width="11.42578125" style="24"/>
  </cols>
  <sheetData>
    <row r="1" spans="1:12">
      <c r="A1" s="22" t="s">
        <v>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>
      <c r="A2" s="22"/>
      <c r="B2" s="233"/>
      <c r="C2" s="233"/>
      <c r="D2" s="233"/>
      <c r="E2" s="233"/>
      <c r="F2" s="233"/>
      <c r="G2" s="233"/>
      <c r="H2" s="233"/>
      <c r="I2" s="233"/>
      <c r="J2" s="246"/>
      <c r="K2" s="246"/>
      <c r="L2" s="233"/>
    </row>
    <row r="3" spans="1:12">
      <c r="A3" s="335" t="s">
        <v>271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3.5" thickBot="1">
      <c r="A4" s="47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15" customHeight="1" thickTop="1">
      <c r="A5" s="566" t="s">
        <v>164</v>
      </c>
      <c r="B5" s="569" t="s">
        <v>290</v>
      </c>
      <c r="C5" s="573" t="s">
        <v>190</v>
      </c>
      <c r="D5" s="573" t="s">
        <v>166</v>
      </c>
      <c r="E5" s="569" t="s">
        <v>215</v>
      </c>
      <c r="F5" s="569" t="s">
        <v>275</v>
      </c>
      <c r="G5" s="567" t="s">
        <v>94</v>
      </c>
      <c r="H5" s="567"/>
      <c r="I5" s="567"/>
      <c r="J5" s="567"/>
      <c r="K5" s="567"/>
      <c r="L5" s="567"/>
    </row>
    <row r="6" spans="1:12" ht="12.75" customHeight="1">
      <c r="A6" s="505"/>
      <c r="B6" s="570"/>
      <c r="C6" s="497"/>
      <c r="D6" s="497"/>
      <c r="E6" s="570"/>
      <c r="F6" s="570"/>
      <c r="G6" s="568" t="s">
        <v>167</v>
      </c>
      <c r="H6" s="572" t="s">
        <v>216</v>
      </c>
      <c r="I6" s="568" t="s">
        <v>212</v>
      </c>
      <c r="J6" s="568" t="s">
        <v>191</v>
      </c>
      <c r="K6" s="568" t="s">
        <v>163</v>
      </c>
      <c r="L6" s="568" t="s">
        <v>165</v>
      </c>
    </row>
    <row r="7" spans="1:12">
      <c r="A7" s="505"/>
      <c r="B7" s="570"/>
      <c r="C7" s="497"/>
      <c r="D7" s="497"/>
      <c r="E7" s="570"/>
      <c r="F7" s="570"/>
      <c r="G7" s="497"/>
      <c r="H7" s="570"/>
      <c r="I7" s="488"/>
      <c r="J7" s="488"/>
      <c r="K7" s="497"/>
      <c r="L7" s="497"/>
    </row>
    <row r="8" spans="1:12">
      <c r="A8" s="505"/>
      <c r="B8" s="570"/>
      <c r="C8" s="497"/>
      <c r="D8" s="497"/>
      <c r="E8" s="570"/>
      <c r="F8" s="570"/>
      <c r="G8" s="497"/>
      <c r="H8" s="570"/>
      <c r="I8" s="488"/>
      <c r="J8" s="488"/>
      <c r="K8" s="497"/>
      <c r="L8" s="497"/>
    </row>
    <row r="9" spans="1:12" ht="13.5" thickBot="1">
      <c r="A9" s="506"/>
      <c r="B9" s="571"/>
      <c r="C9" s="489"/>
      <c r="D9" s="489"/>
      <c r="E9" s="571"/>
      <c r="F9" s="571"/>
      <c r="G9" s="489"/>
      <c r="H9" s="571"/>
      <c r="I9" s="489"/>
      <c r="J9" s="489"/>
      <c r="K9" s="489"/>
      <c r="L9" s="489"/>
    </row>
    <row r="10" spans="1:12">
      <c r="A10" s="32" t="s">
        <v>0</v>
      </c>
      <c r="B10" s="224">
        <f>SUM(B12:B39)</f>
        <v>821105.5</v>
      </c>
      <c r="C10" s="237">
        <f>SUM(C12:C39)</f>
        <v>414949292750</v>
      </c>
      <c r="D10" s="238">
        <f>+C10/B10</f>
        <v>505354.4188292491</v>
      </c>
      <c r="E10" s="237">
        <f>SUM(E12:E39)+5</f>
        <v>5496480222</v>
      </c>
      <c r="F10" s="237">
        <f>SUM(F12:F39)-1</f>
        <v>2748250659.8125248</v>
      </c>
      <c r="G10" s="237">
        <f>SUM(G12:G39)+4</f>
        <v>2748229562.1874752</v>
      </c>
      <c r="H10" s="237">
        <f>SUM(H12:H39)</f>
        <v>824472032.54999995</v>
      </c>
      <c r="I10" s="237">
        <f>SUM(I12:I39)+4</f>
        <v>2773083702.2863054</v>
      </c>
      <c r="J10" s="247">
        <f>SUM(J12:J39)</f>
        <v>127328154</v>
      </c>
      <c r="K10" s="237">
        <f>SUM(K12:K39)+4</f>
        <v>2900411856.2863054</v>
      </c>
      <c r="L10" s="237">
        <f>K10/B10</f>
        <v>3532.3254518284257</v>
      </c>
    </row>
    <row r="11" spans="1:12">
      <c r="A11" s="23"/>
      <c r="B11" s="214"/>
      <c r="C11" s="214"/>
      <c r="D11" s="239"/>
      <c r="E11" s="214"/>
      <c r="F11" s="242"/>
      <c r="G11" s="214"/>
      <c r="H11" s="214"/>
      <c r="I11" s="214"/>
      <c r="J11" s="248"/>
      <c r="K11" s="214"/>
      <c r="L11" s="278"/>
    </row>
    <row r="12" spans="1:12">
      <c r="A12" s="23" t="s">
        <v>1</v>
      </c>
      <c r="B12" s="365">
        <v>8515.25</v>
      </c>
      <c r="C12" s="179">
        <v>2468865720</v>
      </c>
      <c r="D12" s="239">
        <f>+C12/B12</f>
        <v>289934.61378115736</v>
      </c>
      <c r="E12" s="211">
        <f>(B12*6694)</f>
        <v>57001083.5</v>
      </c>
      <c r="F12" s="214">
        <f>C12*0.66231%</f>
        <v>16351544.550131999</v>
      </c>
      <c r="G12" s="214">
        <f>+E12-F12</f>
        <v>40649538.949868001</v>
      </c>
      <c r="H12" s="244">
        <f>E12*0.15</f>
        <v>8550162.5250000004</v>
      </c>
      <c r="I12" s="356">
        <f>IF(G12&gt;H12,G12,H12)</f>
        <v>40649538.949868001</v>
      </c>
      <c r="J12" s="366">
        <v>0</v>
      </c>
      <c r="K12" s="211">
        <f>I12+J12</f>
        <v>40649538.949868001</v>
      </c>
      <c r="L12" s="278">
        <f>K12/B12</f>
        <v>4773.7340594660172</v>
      </c>
    </row>
    <row r="13" spans="1:12">
      <c r="A13" s="23" t="s">
        <v>2</v>
      </c>
      <c r="B13" s="365">
        <v>73654.75</v>
      </c>
      <c r="C13" s="179">
        <v>46243270853</v>
      </c>
      <c r="D13" s="239">
        <f>+C13/B13</f>
        <v>627838.27048493142</v>
      </c>
      <c r="E13" s="211">
        <f>(B13*6694)</f>
        <v>493044896.5</v>
      </c>
      <c r="F13" s="214">
        <f t="shared" ref="F13:F39" si="0">C13*0.66231%</f>
        <v>306273807.1865043</v>
      </c>
      <c r="G13" s="214">
        <f>+E13-F13</f>
        <v>186771089.3134957</v>
      </c>
      <c r="H13" s="244">
        <f>E13*0.15</f>
        <v>73956734.474999994</v>
      </c>
      <c r="I13" s="356">
        <f>IF(G13&gt;H13,G13,H13)</f>
        <v>186771089.3134957</v>
      </c>
      <c r="J13" s="367">
        <v>8874808</v>
      </c>
      <c r="K13" s="211">
        <f>I13+J13</f>
        <v>195645897.3134957</v>
      </c>
      <c r="L13" s="278">
        <f>K13/B13</f>
        <v>2656.2563488912215</v>
      </c>
    </row>
    <row r="14" spans="1:12">
      <c r="A14" s="23" t="s">
        <v>3</v>
      </c>
      <c r="B14" s="365">
        <v>78618</v>
      </c>
      <c r="C14" s="179">
        <v>22879264268</v>
      </c>
      <c r="D14" s="239">
        <f>+C14/B14</f>
        <v>291018.14174870896</v>
      </c>
      <c r="E14" s="211">
        <f>(B14*6694)</f>
        <v>526268892</v>
      </c>
      <c r="F14" s="214">
        <f t="shared" si="0"/>
        <v>151531655.17339081</v>
      </c>
      <c r="G14" s="214">
        <f>+E14-F14</f>
        <v>374737236.82660919</v>
      </c>
      <c r="H14" s="244">
        <f>E14*0.15</f>
        <v>78940333.799999997</v>
      </c>
      <c r="I14" s="356">
        <f>IF(G14&gt;H14,G14,H14)</f>
        <v>374737236.82660919</v>
      </c>
      <c r="J14" s="367">
        <v>22103293</v>
      </c>
      <c r="K14" s="211">
        <f>I14+J14</f>
        <v>396840529.82660919</v>
      </c>
      <c r="L14" s="278">
        <f>K14/B14</f>
        <v>5047.7057394821695</v>
      </c>
    </row>
    <row r="15" spans="1:12">
      <c r="A15" s="23" t="s">
        <v>4</v>
      </c>
      <c r="B15" s="366">
        <v>100329.25</v>
      </c>
      <c r="C15" s="179">
        <v>51461173550</v>
      </c>
      <c r="D15" s="239">
        <f>+C15/B15</f>
        <v>512922.93673081382</v>
      </c>
      <c r="E15" s="211">
        <f>(B15*6694)</f>
        <v>671603999.5</v>
      </c>
      <c r="F15" s="214">
        <f t="shared" si="0"/>
        <v>340832498.53900498</v>
      </c>
      <c r="G15" s="214">
        <f>+E15-F15</f>
        <v>330771500.96099502</v>
      </c>
      <c r="H15" s="244">
        <f>E15*0.15</f>
        <v>100740599.925</v>
      </c>
      <c r="I15" s="356">
        <f>IF(G15&gt;H15,G15,H15)</f>
        <v>330771500.96099502</v>
      </c>
      <c r="J15" s="367">
        <v>5372832</v>
      </c>
      <c r="K15" s="211">
        <f>I15+J15</f>
        <v>336144332.96099502</v>
      </c>
      <c r="L15" s="278">
        <f>K15/B15</f>
        <v>3350.4120977780162</v>
      </c>
    </row>
    <row r="16" spans="1:12">
      <c r="A16" s="23" t="s">
        <v>5</v>
      </c>
      <c r="B16" s="365">
        <v>16375</v>
      </c>
      <c r="C16" s="179">
        <v>7691795604</v>
      </c>
      <c r="D16" s="239">
        <f>+C16/B16</f>
        <v>469727.97581679391</v>
      </c>
      <c r="E16" s="211">
        <f>(B16*6694)</f>
        <v>109614250</v>
      </c>
      <c r="F16" s="214">
        <f t="shared" si="0"/>
        <v>50943531.4648524</v>
      </c>
      <c r="G16" s="214">
        <f>+E16-F16</f>
        <v>58670718.5351476</v>
      </c>
      <c r="H16" s="244">
        <f>E16*0.15</f>
        <v>16442137.5</v>
      </c>
      <c r="I16" s="356">
        <f>IF(G16&gt;H16,G16,H16)</f>
        <v>58670718.5351476</v>
      </c>
      <c r="J16" s="367">
        <v>2301899</v>
      </c>
      <c r="K16" s="211">
        <f>I16+J16</f>
        <v>60972617.5351476</v>
      </c>
      <c r="L16" s="278">
        <f>K16/B16</f>
        <v>3723.5186281006168</v>
      </c>
    </row>
    <row r="17" spans="1:12">
      <c r="A17" s="23"/>
      <c r="C17" s="179"/>
      <c r="D17" s="240"/>
      <c r="E17" s="241"/>
      <c r="F17" s="214"/>
      <c r="G17" s="214"/>
      <c r="H17" s="244"/>
      <c r="J17" s="367"/>
      <c r="K17" s="214"/>
      <c r="L17" s="278"/>
    </row>
    <row r="18" spans="1:12">
      <c r="A18" s="23" t="s">
        <v>6</v>
      </c>
      <c r="B18" s="365">
        <v>5173.5</v>
      </c>
      <c r="C18" s="179">
        <v>1676775965</v>
      </c>
      <c r="D18" s="239">
        <f>+C18/B18</f>
        <v>324108.62375567795</v>
      </c>
      <c r="E18" s="211">
        <f>(B18*6694)</f>
        <v>34631409</v>
      </c>
      <c r="F18" s="214">
        <f t="shared" si="0"/>
        <v>11105454.8937915</v>
      </c>
      <c r="G18" s="214">
        <f>+E18-F18</f>
        <v>23525954.1062085</v>
      </c>
      <c r="H18" s="244">
        <f>E18*0.15</f>
        <v>5194711.3499999996</v>
      </c>
      <c r="I18" s="356">
        <f>IF(G18&gt;H18,G18,H18)</f>
        <v>23525954.1062085</v>
      </c>
      <c r="J18" s="366">
        <v>0</v>
      </c>
      <c r="K18" s="211">
        <f>I18+J18</f>
        <v>23525954.1062085</v>
      </c>
      <c r="L18" s="278">
        <f>K18/B18</f>
        <v>4547.3961740037694</v>
      </c>
    </row>
    <row r="19" spans="1:12">
      <c r="A19" s="23" t="s">
        <v>7</v>
      </c>
      <c r="B19" s="365">
        <v>27060.75</v>
      </c>
      <c r="C19" s="179">
        <v>11880459028</v>
      </c>
      <c r="D19" s="239">
        <f>+C19/B19</f>
        <v>439029.18536995462</v>
      </c>
      <c r="E19" s="211">
        <f>(B19*6694)</f>
        <v>181144660.5</v>
      </c>
      <c r="F19" s="214">
        <f t="shared" si="0"/>
        <v>78685468.188346803</v>
      </c>
      <c r="G19" s="214">
        <f>+E19-F19</f>
        <v>102459192.3116532</v>
      </c>
      <c r="H19" s="244">
        <f>E19*0.15</f>
        <v>27171699.074999999</v>
      </c>
      <c r="I19" s="356">
        <f>IF(G19&gt;H19,G19,H19)</f>
        <v>102459192.3116532</v>
      </c>
      <c r="J19" s="367">
        <v>2536025</v>
      </c>
      <c r="K19" s="211">
        <f>I19+J19</f>
        <v>104995217.3116532</v>
      </c>
      <c r="L19" s="278">
        <f>K19/B19</f>
        <v>3879.9817932486421</v>
      </c>
    </row>
    <row r="20" spans="1:12">
      <c r="A20" s="23" t="s">
        <v>8</v>
      </c>
      <c r="B20" s="365">
        <v>15347</v>
      </c>
      <c r="C20" s="179">
        <v>6045110935</v>
      </c>
      <c r="D20" s="239">
        <f>+C20/B20</f>
        <v>393895.28474620444</v>
      </c>
      <c r="E20" s="211">
        <f>(B20*6694)</f>
        <v>102732818</v>
      </c>
      <c r="F20" s="214">
        <f t="shared" si="0"/>
        <v>40037374.2335985</v>
      </c>
      <c r="G20" s="214">
        <f>+E20-F20</f>
        <v>62695443.7664015</v>
      </c>
      <c r="H20" s="244">
        <f>E20*0.15</f>
        <v>15409922.699999999</v>
      </c>
      <c r="I20" s="356">
        <f>IF(G20&gt;H20,G20,H20)</f>
        <v>62695443.7664015</v>
      </c>
      <c r="J20" s="366">
        <v>0</v>
      </c>
      <c r="K20" s="211">
        <f>I20+J20</f>
        <v>62695443.7664015</v>
      </c>
      <c r="L20" s="278">
        <f>K20/B20</f>
        <v>4085.1921395974132</v>
      </c>
    </row>
    <row r="21" spans="1:12">
      <c r="A21" s="23" t="s">
        <v>9</v>
      </c>
      <c r="B21" s="365">
        <v>25954.5</v>
      </c>
      <c r="C21" s="179">
        <v>10310587146</v>
      </c>
      <c r="D21" s="239">
        <f>+C21/B21</f>
        <v>397256.24250130035</v>
      </c>
      <c r="E21" s="211">
        <f>(B21*6694)</f>
        <v>173739423</v>
      </c>
      <c r="F21" s="214">
        <f t="shared" si="0"/>
        <v>68288049.726672605</v>
      </c>
      <c r="G21" s="214">
        <f>+E21-F21</f>
        <v>105451373.2733274</v>
      </c>
      <c r="H21" s="244">
        <f>E21*0.15</f>
        <v>26060913.449999999</v>
      </c>
      <c r="I21" s="356">
        <f>IF(G21&gt;H21,G21,H21)</f>
        <v>105451373.2733274</v>
      </c>
      <c r="J21" s="367">
        <v>3474788</v>
      </c>
      <c r="K21" s="211">
        <f>I21+J21</f>
        <v>108926161.2733274</v>
      </c>
      <c r="L21" s="278">
        <f>K21/B21</f>
        <v>4196.8121625663143</v>
      </c>
    </row>
    <row r="22" spans="1:12">
      <c r="A22" s="23" t="s">
        <v>10</v>
      </c>
      <c r="B22" s="365">
        <v>4372</v>
      </c>
      <c r="C22" s="179">
        <v>1802306673</v>
      </c>
      <c r="D22" s="239">
        <f>+C22/B22</f>
        <v>412238.48879231472</v>
      </c>
      <c r="E22" s="211">
        <f>(B22*6694)</f>
        <v>29266168</v>
      </c>
      <c r="F22" s="214">
        <f t="shared" si="0"/>
        <v>11936857.325946299</v>
      </c>
      <c r="G22" s="214">
        <f>+E22-F22</f>
        <v>17329310.674053699</v>
      </c>
      <c r="H22" s="244">
        <f>E22*0.15</f>
        <v>4389925.2</v>
      </c>
      <c r="I22" s="356">
        <f>IF(G22&gt;H22,G22,H22)</f>
        <v>17329310.674053699</v>
      </c>
      <c r="J22" s="366">
        <v>0</v>
      </c>
      <c r="K22" s="211">
        <f>I22+J22</f>
        <v>17329310.674053699</v>
      </c>
      <c r="L22" s="278">
        <f>K22/B22</f>
        <v>3963.7032648796198</v>
      </c>
    </row>
    <row r="23" spans="1:12">
      <c r="A23" s="23"/>
      <c r="B23" s="365"/>
      <c r="C23" s="179"/>
      <c r="D23" s="239"/>
      <c r="E23" s="241"/>
      <c r="F23" s="214"/>
      <c r="G23" s="214"/>
      <c r="H23" s="244"/>
      <c r="I23" s="179"/>
      <c r="J23" s="367"/>
      <c r="K23" s="214"/>
      <c r="L23" s="278"/>
    </row>
    <row r="24" spans="1:12">
      <c r="A24" s="23" t="s">
        <v>11</v>
      </c>
      <c r="B24" s="365">
        <v>39163</v>
      </c>
      <c r="C24" s="179">
        <v>16774341059</v>
      </c>
      <c r="D24" s="239">
        <f>+C24/B24</f>
        <v>428321.14646477543</v>
      </c>
      <c r="E24" s="211">
        <f>(B24*6694)</f>
        <v>262157122</v>
      </c>
      <c r="F24" s="214">
        <f t="shared" si="0"/>
        <v>111098138.2678629</v>
      </c>
      <c r="G24" s="214">
        <f>+E24-F24+1</f>
        <v>151058984.73213708</v>
      </c>
      <c r="H24" s="244">
        <f>E24*0.15</f>
        <v>39323568.299999997</v>
      </c>
      <c r="I24" s="356">
        <f>IF(G24&gt;H24,G24,H24)</f>
        <v>151058984.73213708</v>
      </c>
      <c r="J24" s="367">
        <v>6291771</v>
      </c>
      <c r="K24" s="211">
        <f>I24+J24</f>
        <v>157350755.73213708</v>
      </c>
      <c r="L24" s="278">
        <f>K24/B24</f>
        <v>4017.842242221921</v>
      </c>
    </row>
    <row r="25" spans="1:12">
      <c r="A25" s="23" t="s">
        <v>12</v>
      </c>
      <c r="B25" s="365">
        <v>4084</v>
      </c>
      <c r="C25" s="179">
        <v>2381510065</v>
      </c>
      <c r="D25" s="239">
        <f>+C25/B25</f>
        <v>583131.74951028405</v>
      </c>
      <c r="E25" s="211">
        <f>(B25*6694)</f>
        <v>27338296</v>
      </c>
      <c r="F25" s="214">
        <f t="shared" si="0"/>
        <v>15772979.311501499</v>
      </c>
      <c r="G25" s="214">
        <f>+E25-F25+1</f>
        <v>11565317.688498501</v>
      </c>
      <c r="H25" s="244">
        <f>E25*0.15</f>
        <v>4100744.4</v>
      </c>
      <c r="I25" s="356">
        <f>IF(G25&gt;H25,G25,H25)</f>
        <v>11565317.688498501</v>
      </c>
      <c r="J25" s="366">
        <v>0</v>
      </c>
      <c r="K25" s="211">
        <f>I25+J25</f>
        <v>11565317.688498501</v>
      </c>
      <c r="L25" s="278">
        <f>K25/B25</f>
        <v>2831.8603546764202</v>
      </c>
    </row>
    <row r="26" spans="1:12">
      <c r="A26" s="23" t="s">
        <v>13</v>
      </c>
      <c r="B26" s="365">
        <v>37590</v>
      </c>
      <c r="C26" s="179">
        <v>16334154866</v>
      </c>
      <c r="D26" s="239">
        <f>+C26/B26</f>
        <v>434534.58010109072</v>
      </c>
      <c r="E26" s="211">
        <f>(B26*6694)</f>
        <v>251627460</v>
      </c>
      <c r="F26" s="214">
        <f t="shared" si="0"/>
        <v>108182741.0930046</v>
      </c>
      <c r="G26" s="214">
        <f>(+E26-F26)</f>
        <v>143444718.90699542</v>
      </c>
      <c r="H26" s="244">
        <f>E26*0.15</f>
        <v>37744119</v>
      </c>
      <c r="I26" s="356">
        <f>IF(G26&gt;H26,G26,H26)</f>
        <v>143444718.90699542</v>
      </c>
      <c r="J26" s="366">
        <v>0</v>
      </c>
      <c r="K26" s="211">
        <f>I26+J26</f>
        <v>143444718.90699542</v>
      </c>
      <c r="L26" s="278">
        <f>K26/B26</f>
        <v>3816.0340225324667</v>
      </c>
    </row>
    <row r="27" spans="1:12">
      <c r="A27" s="23" t="s">
        <v>14</v>
      </c>
      <c r="B27" s="365">
        <v>49946.25</v>
      </c>
      <c r="C27" s="179">
        <v>27296070388</v>
      </c>
      <c r="D27" s="239">
        <f>+C27/B27</f>
        <v>546508.90483269515</v>
      </c>
      <c r="E27" s="211">
        <f>(B27*6694)</f>
        <v>334340197.5</v>
      </c>
      <c r="F27" s="214">
        <f t="shared" si="0"/>
        <v>180784603.7867628</v>
      </c>
      <c r="G27" s="214">
        <f>+E27-F27</f>
        <v>153555593.7132372</v>
      </c>
      <c r="H27" s="244">
        <f>E27*0.15</f>
        <v>50151029.625</v>
      </c>
      <c r="I27" s="356">
        <f>IF(G27&gt;H27,G27,H27)</f>
        <v>153555593.7132372</v>
      </c>
      <c r="J27" s="367">
        <v>5015103</v>
      </c>
      <c r="K27" s="211">
        <f>I27+J27</f>
        <v>158570696.7132372</v>
      </c>
      <c r="L27" s="278">
        <f>K27/B27</f>
        <v>3174.826873153384</v>
      </c>
    </row>
    <row r="28" spans="1:12">
      <c r="A28" s="23" t="s">
        <v>15</v>
      </c>
      <c r="B28" s="365">
        <v>2035</v>
      </c>
      <c r="C28" s="179">
        <v>1599765279</v>
      </c>
      <c r="D28" s="239">
        <f>+C28/B28</f>
        <v>786125.44422604423</v>
      </c>
      <c r="E28" s="211">
        <f>(B28*6694)</f>
        <v>13622290</v>
      </c>
      <c r="F28" s="214">
        <f t="shared" si="0"/>
        <v>10595405.4193449</v>
      </c>
      <c r="G28" s="214">
        <f>+E28-F28</f>
        <v>3026884.5806550998</v>
      </c>
      <c r="H28" s="244">
        <f>E28*0.15</f>
        <v>2043343.5</v>
      </c>
      <c r="I28" s="356">
        <f>IF(G28&gt;H28,G28,H28)</f>
        <v>3026884.5806550998</v>
      </c>
      <c r="J28" s="367">
        <v>136223</v>
      </c>
      <c r="K28" s="211">
        <f>I28+J28</f>
        <v>3163107.5806550998</v>
      </c>
      <c r="L28" s="278">
        <f>K28/B28</f>
        <v>1554.3526194865356</v>
      </c>
    </row>
    <row r="29" spans="1:12">
      <c r="A29" s="23"/>
      <c r="C29" s="179"/>
      <c r="D29" s="239"/>
      <c r="E29" s="241"/>
      <c r="F29" s="214"/>
      <c r="G29" s="214"/>
      <c r="H29" s="244"/>
      <c r="J29" s="367"/>
      <c r="K29" s="214"/>
      <c r="L29" s="278"/>
    </row>
    <row r="30" spans="1:12">
      <c r="A30" s="23" t="s">
        <v>16</v>
      </c>
      <c r="B30" s="365">
        <v>140401.5</v>
      </c>
      <c r="C30" s="179">
        <v>98061854730</v>
      </c>
      <c r="D30" s="239">
        <f>+C30/B30</f>
        <v>698438.79680772638</v>
      </c>
      <c r="E30" s="211">
        <f>(B30*6694)</f>
        <v>939847641</v>
      </c>
      <c r="F30" s="214">
        <f t="shared" si="0"/>
        <v>649473470.06226301</v>
      </c>
      <c r="G30" s="214">
        <f>+E30-F30</f>
        <v>290374170.93773699</v>
      </c>
      <c r="H30" s="244">
        <f>E30*0.15</f>
        <v>140977146.15000001</v>
      </c>
      <c r="I30" s="356">
        <f>IF(G30&gt;H30,G30,H30)</f>
        <v>290374170.93773699</v>
      </c>
      <c r="J30" s="367">
        <v>31954820</v>
      </c>
      <c r="K30" s="211">
        <f>I30+J30</f>
        <v>322328990.93773699</v>
      </c>
      <c r="L30" s="278">
        <f>K30/B30</f>
        <v>2295.7660063299677</v>
      </c>
    </row>
    <row r="31" spans="1:12">
      <c r="A31" s="23" t="s">
        <v>17</v>
      </c>
      <c r="B31" s="365">
        <v>119805.75</v>
      </c>
      <c r="C31" s="179">
        <v>52395784452</v>
      </c>
      <c r="D31" s="239">
        <f>+C31/B31</f>
        <v>437339.48038387141</v>
      </c>
      <c r="E31" s="211">
        <f>(B31*6694)</f>
        <v>801979690.5</v>
      </c>
      <c r="F31" s="214">
        <f t="shared" si="0"/>
        <v>347022520.00404119</v>
      </c>
      <c r="G31" s="214">
        <f>+E31-F31</f>
        <v>454957170.49595881</v>
      </c>
      <c r="H31" s="244">
        <f>E31*0.15</f>
        <v>120296953.575</v>
      </c>
      <c r="I31" s="356">
        <f>IF(G31&gt;H31,G31,H31)</f>
        <v>454957170.49595881</v>
      </c>
      <c r="J31" s="367">
        <v>38495025</v>
      </c>
      <c r="K31" s="211">
        <f>I31+J31</f>
        <v>493452195.49595881</v>
      </c>
      <c r="L31" s="278">
        <f>K31/B31</f>
        <v>4118.7688862676359</v>
      </c>
    </row>
    <row r="32" spans="1:12">
      <c r="A32" s="23" t="s">
        <v>18</v>
      </c>
      <c r="B32" s="365">
        <v>7489</v>
      </c>
      <c r="C32" s="179">
        <v>4443309878</v>
      </c>
      <c r="D32" s="239">
        <f>+C32/B32</f>
        <v>593311.50727734005</v>
      </c>
      <c r="E32" s="211">
        <f>(B32*6694)</f>
        <v>50131366</v>
      </c>
      <c r="F32" s="214">
        <f t="shared" si="0"/>
        <v>29428485.652981799</v>
      </c>
      <c r="G32" s="214">
        <f>+E32-F32</f>
        <v>20702880.347018201</v>
      </c>
      <c r="H32" s="244">
        <f>E32*0.15</f>
        <v>7519704.8999999994</v>
      </c>
      <c r="I32" s="356">
        <f>IF(G32&gt;H32,G32,H32)</f>
        <v>20702880.347018201</v>
      </c>
      <c r="J32" s="367">
        <v>551445</v>
      </c>
      <c r="K32" s="211">
        <f>I32+J32</f>
        <v>21254325.347018201</v>
      </c>
      <c r="L32" s="278">
        <f>K32/B32</f>
        <v>2838.0725526796905</v>
      </c>
    </row>
    <row r="33" spans="1:12">
      <c r="A33" s="23" t="s">
        <v>19</v>
      </c>
      <c r="B33" s="365">
        <v>16441.75</v>
      </c>
      <c r="C33" s="179">
        <v>7318577254</v>
      </c>
      <c r="D33" s="239">
        <f>+C33/B33</f>
        <v>445121.55056487297</v>
      </c>
      <c r="E33" s="211">
        <f>(B33*6694)</f>
        <v>110061074.5</v>
      </c>
      <c r="F33" s="214">
        <f t="shared" si="0"/>
        <v>48471669.010967396</v>
      </c>
      <c r="G33" s="214">
        <f>+E33-F33</f>
        <v>61589405.489032604</v>
      </c>
      <c r="H33" s="244">
        <f>E33*0.15</f>
        <v>16509161.174999999</v>
      </c>
      <c r="I33" s="356">
        <f>IF(G33&gt;H33,G33,H33)</f>
        <v>61589405.489032604</v>
      </c>
      <c r="J33" s="367">
        <v>220122</v>
      </c>
      <c r="K33" s="211">
        <f>I33+J33</f>
        <v>61809527.489032604</v>
      </c>
      <c r="L33" s="278">
        <f>K33/B33</f>
        <v>3759.3034493914943</v>
      </c>
    </row>
    <row r="34" spans="1:12">
      <c r="A34" s="23" t="s">
        <v>20</v>
      </c>
      <c r="B34" s="365">
        <v>2700.5</v>
      </c>
      <c r="C34" s="179">
        <v>911153300</v>
      </c>
      <c r="D34" s="239">
        <f>+C34/B34</f>
        <v>337401.70338826143</v>
      </c>
      <c r="E34" s="211">
        <f>(B34*6694)</f>
        <v>18077147</v>
      </c>
      <c r="F34" s="214">
        <f t="shared" si="0"/>
        <v>6034659.4212299995</v>
      </c>
      <c r="G34" s="214">
        <f>+E34-F34</f>
        <v>12042487.57877</v>
      </c>
      <c r="H34" s="244">
        <f>E34*0.15</f>
        <v>2711572.05</v>
      </c>
      <c r="I34" s="356">
        <f>IF(G34&gt;H34,G34,H34)</f>
        <v>12042487.57877</v>
      </c>
      <c r="J34" s="366">
        <v>0</v>
      </c>
      <c r="K34" s="211">
        <f>I34+J34</f>
        <v>12042487.57877</v>
      </c>
      <c r="L34" s="278">
        <f>K34/B34</f>
        <v>4459.3547782892056</v>
      </c>
    </row>
    <row r="35" spans="1:12">
      <c r="A35" s="23"/>
      <c r="C35" s="179"/>
      <c r="D35" s="239"/>
      <c r="E35" s="241"/>
      <c r="F35" s="214"/>
      <c r="G35" s="214"/>
      <c r="H35" s="244"/>
      <c r="I35" s="179"/>
      <c r="J35" s="367"/>
      <c r="K35" s="214"/>
      <c r="L35" s="278"/>
    </row>
    <row r="36" spans="1:12">
      <c r="A36" s="23" t="s">
        <v>21</v>
      </c>
      <c r="B36" s="365">
        <v>4257.25</v>
      </c>
      <c r="C36" s="179">
        <v>4776428667</v>
      </c>
      <c r="D36" s="438">
        <f>+C36/B36</f>
        <v>1121951.6511832755</v>
      </c>
      <c r="E36" s="211">
        <f>(B36*6694)</f>
        <v>28498031.5</v>
      </c>
      <c r="F36" s="214">
        <f t="shared" si="0"/>
        <v>31634764.704407699</v>
      </c>
      <c r="G36" s="211">
        <f>+E36-F36</f>
        <v>-3136733.2044076994</v>
      </c>
      <c r="H36" s="244">
        <f>E36*0.15</f>
        <v>4274704.7249999996</v>
      </c>
      <c r="I36" s="356">
        <f>IF(G36&gt;H36,G36,H36)</f>
        <v>4274704.7249999996</v>
      </c>
      <c r="J36" s="366">
        <v>0</v>
      </c>
      <c r="K36" s="211">
        <f>I36+J36</f>
        <v>4274704.7249999996</v>
      </c>
      <c r="L36" s="278">
        <f>K36/B36</f>
        <v>1004.0999999999999</v>
      </c>
    </row>
    <row r="37" spans="1:12">
      <c r="A37" s="23" t="s">
        <v>22</v>
      </c>
      <c r="B37" s="365">
        <v>21642.5</v>
      </c>
      <c r="C37" s="179">
        <v>7817086381</v>
      </c>
      <c r="D37" s="438">
        <f>+C37/B37</f>
        <v>361191.46960840939</v>
      </c>
      <c r="E37" s="211">
        <f>(B37*6694)</f>
        <v>144874895</v>
      </c>
      <c r="F37" s="214">
        <f t="shared" si="0"/>
        <v>51773344.810001098</v>
      </c>
      <c r="G37" s="214">
        <f>+E37-F37</f>
        <v>93101550.189998895</v>
      </c>
      <c r="H37" s="244">
        <f>E37*0.15</f>
        <v>21731234.25</v>
      </c>
      <c r="I37" s="356">
        <f>IF(G37&gt;H37,G37,H37)</f>
        <v>93101550.189998895</v>
      </c>
      <c r="J37" s="366">
        <v>0</v>
      </c>
      <c r="K37" s="211">
        <f>I37+J37</f>
        <v>93101550.189998895</v>
      </c>
      <c r="L37" s="278">
        <f>K37/B37</f>
        <v>4301.7927776365432</v>
      </c>
    </row>
    <row r="38" spans="1:12">
      <c r="A38" s="23" t="s">
        <v>23</v>
      </c>
      <c r="B38" s="365">
        <v>13832.25</v>
      </c>
      <c r="C38" s="179">
        <v>4319315727</v>
      </c>
      <c r="D38" s="438">
        <f>+C38/B38</f>
        <v>312264.14552946918</v>
      </c>
      <c r="E38" s="211">
        <f>(B38*6694)</f>
        <v>92593081.5</v>
      </c>
      <c r="F38" s="214">
        <f t="shared" si="0"/>
        <v>28607259.991493698</v>
      </c>
      <c r="G38" s="214">
        <f>+E38-F38</f>
        <v>63985821.508506298</v>
      </c>
      <c r="H38" s="244">
        <f>E38*0.15</f>
        <v>13888962.225</v>
      </c>
      <c r="I38" s="356">
        <f>IF(G38&gt;H38,G38,H38)</f>
        <v>63985821.508506298</v>
      </c>
      <c r="J38" s="366">
        <v>0</v>
      </c>
      <c r="K38" s="211">
        <f>I38+J38</f>
        <v>63985821.508506298</v>
      </c>
      <c r="L38" s="278">
        <f>K38/B38</f>
        <v>4625.8433377437723</v>
      </c>
    </row>
    <row r="39" spans="1:12">
      <c r="A39" s="23" t="s">
        <v>24</v>
      </c>
      <c r="B39" s="365">
        <v>6316.75</v>
      </c>
      <c r="C39" s="179">
        <v>8060330962</v>
      </c>
      <c r="D39" s="438">
        <f>+C39/B39</f>
        <v>1276025.0068468754</v>
      </c>
      <c r="E39" s="211">
        <f>(B39*6694)</f>
        <v>42284324.5</v>
      </c>
      <c r="F39" s="214">
        <f t="shared" si="0"/>
        <v>53384377.994422197</v>
      </c>
      <c r="G39" s="198">
        <f>+E39-F39</f>
        <v>-11100053.494422197</v>
      </c>
      <c r="H39" s="215">
        <f>E39*0.15</f>
        <v>6342648.6749999998</v>
      </c>
      <c r="I39" s="180">
        <f>IF(G39&gt;H39,G39,H39)</f>
        <v>6342648.6749999998</v>
      </c>
      <c r="J39" s="366">
        <v>0</v>
      </c>
      <c r="K39" s="211">
        <f>I39+J39</f>
        <v>6342648.6749999998</v>
      </c>
      <c r="L39" s="278">
        <f>K39/B39</f>
        <v>1004.1</v>
      </c>
    </row>
    <row r="40" spans="1:12">
      <c r="A40" s="26" t="s">
        <v>257</v>
      </c>
      <c r="B40" s="236"/>
      <c r="C40" s="236"/>
      <c r="D40" s="236"/>
      <c r="E40" s="236"/>
      <c r="F40" s="236"/>
      <c r="G40" s="236"/>
      <c r="H40" s="244"/>
      <c r="J40" s="236"/>
      <c r="K40" s="236"/>
      <c r="L40" s="236"/>
    </row>
    <row r="41" spans="1:12">
      <c r="A41" s="23"/>
      <c r="B41" s="214"/>
      <c r="C41" s="230"/>
      <c r="D41" s="230"/>
      <c r="E41" s="230"/>
      <c r="F41" s="230"/>
      <c r="G41" s="230"/>
      <c r="H41" s="230"/>
      <c r="J41" s="230"/>
      <c r="K41" s="230"/>
      <c r="L41" s="230"/>
    </row>
    <row r="42" spans="1:12">
      <c r="A42" s="23" t="s">
        <v>209</v>
      </c>
      <c r="B42" s="214"/>
      <c r="C42" s="214"/>
      <c r="D42" s="214"/>
      <c r="E42" s="214"/>
      <c r="F42" s="214"/>
      <c r="G42" s="214"/>
      <c r="H42" s="214"/>
      <c r="I42" s="244"/>
      <c r="J42" s="214"/>
      <c r="K42" s="214"/>
      <c r="L42" s="214"/>
    </row>
    <row r="43" spans="1:12">
      <c r="A43" s="23"/>
      <c r="B43" s="214"/>
      <c r="C43" s="214"/>
      <c r="D43" s="214"/>
      <c r="E43" s="214"/>
      <c r="F43" s="214"/>
      <c r="G43" s="214"/>
      <c r="H43" s="214"/>
      <c r="I43" s="244"/>
      <c r="J43" s="214"/>
      <c r="K43" s="214"/>
      <c r="L43" s="214"/>
    </row>
    <row r="44" spans="1:12">
      <c r="A44" s="23" t="s">
        <v>276</v>
      </c>
      <c r="B44" s="214"/>
      <c r="C44" s="214"/>
      <c r="D44" s="214"/>
      <c r="E44" s="214"/>
      <c r="F44" s="214"/>
      <c r="G44" s="214"/>
      <c r="H44" s="214"/>
      <c r="I44" s="245"/>
      <c r="J44" s="214"/>
      <c r="K44" s="214"/>
      <c r="L44" s="214"/>
    </row>
    <row r="45" spans="1:12">
      <c r="A45" s="23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</row>
    <row r="46" spans="1:12">
      <c r="A46" s="23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</row>
    <row r="47" spans="1:12">
      <c r="A47" s="23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</row>
    <row r="48" spans="1:12">
      <c r="A48" s="23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</row>
    <row r="49" spans="1:12">
      <c r="A49" s="23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</row>
    <row r="50" spans="1:12">
      <c r="A50" s="23"/>
      <c r="B50" s="214"/>
      <c r="C50" s="214"/>
      <c r="D50" s="214"/>
      <c r="E50" s="214"/>
      <c r="F50" s="243"/>
      <c r="G50" s="214"/>
      <c r="H50" s="214"/>
      <c r="I50" s="214"/>
      <c r="J50" s="214"/>
      <c r="K50" s="214"/>
      <c r="L50" s="214"/>
    </row>
    <row r="51" spans="1:12">
      <c r="A51" s="23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</row>
    <row r="52" spans="1:12">
      <c r="A52" s="23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</row>
    <row r="53" spans="1:12">
      <c r="A53" s="23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</row>
    <row r="54" spans="1:12">
      <c r="A54" s="23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</row>
    <row r="55" spans="1:12">
      <c r="A55" s="23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</row>
    <row r="56" spans="1:12">
      <c r="A56" s="2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</row>
    <row r="57" spans="1:12">
      <c r="A57" s="23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</row>
    <row r="58" spans="1:12">
      <c r="A58" s="23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</row>
    <row r="59" spans="1:12">
      <c r="A59" s="23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</row>
    <row r="60" spans="1:12">
      <c r="A60" s="23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</row>
    <row r="61" spans="1:12">
      <c r="A61" s="23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</row>
    <row r="62" spans="1:12">
      <c r="A62" s="23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</row>
    <row r="63" spans="1:12">
      <c r="A63" s="23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</row>
    <row r="64" spans="1:12">
      <c r="A64" s="23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</row>
    <row r="65" spans="1:12">
      <c r="A65" s="23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</row>
    <row r="66" spans="1:12">
      <c r="A66" s="23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</row>
    <row r="67" spans="1:12">
      <c r="A67" s="23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</row>
    <row r="68" spans="1:12">
      <c r="A68" s="23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</row>
    <row r="69" spans="1:12">
      <c r="A69" s="23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</row>
    <row r="70" spans="1:12">
      <c r="A70" s="23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</row>
    <row r="71" spans="1:12">
      <c r="A71" s="23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</row>
    <row r="72" spans="1:12">
      <c r="A72" s="23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</row>
    <row r="73" spans="1:12">
      <c r="A73" s="23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</row>
    <row r="74" spans="1:12"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</row>
    <row r="75" spans="1:12"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</row>
    <row r="76" spans="1:12"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</row>
    <row r="77" spans="1:12"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</row>
    <row r="78" spans="1:12"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</row>
    <row r="79" spans="1:12"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</row>
    <row r="80" spans="1:12"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</row>
    <row r="81" spans="2:12"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</row>
    <row r="82" spans="2:12"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</row>
    <row r="83" spans="2:12"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</row>
    <row r="84" spans="2:12"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</row>
    <row r="85" spans="2:12"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</row>
    <row r="86" spans="2:12"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</row>
    <row r="87" spans="2:12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</row>
    <row r="88" spans="2:12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</row>
    <row r="89" spans="2:12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</row>
    <row r="90" spans="2:12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</row>
    <row r="91" spans="2:12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</row>
    <row r="92" spans="2:12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</row>
    <row r="93" spans="2:12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</row>
    <row r="94" spans="2:12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</row>
    <row r="95" spans="2:12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</row>
    <row r="96" spans="2:12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</row>
    <row r="97" spans="2:12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</row>
    <row r="98" spans="2:12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</row>
    <row r="99" spans="2:12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</row>
    <row r="100" spans="2:12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</row>
    <row r="101" spans="2:12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</row>
    <row r="102" spans="2:12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</row>
    <row r="103" spans="2:12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</row>
    <row r="104" spans="2:12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</row>
    <row r="105" spans="2:12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</row>
    <row r="106" spans="2:12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</row>
    <row r="107" spans="2:12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</row>
    <row r="108" spans="2:12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</row>
  </sheetData>
  <sheetProtection password="CAF5" sheet="1" objects="1" scenarios="1"/>
  <mergeCells count="13">
    <mergeCell ref="A5:A9"/>
    <mergeCell ref="G5:L5"/>
    <mergeCell ref="J6:J9"/>
    <mergeCell ref="E5:E9"/>
    <mergeCell ref="F5:F9"/>
    <mergeCell ref="G6:G9"/>
    <mergeCell ref="H6:H9"/>
    <mergeCell ref="I6:I9"/>
    <mergeCell ref="K6:K9"/>
    <mergeCell ref="L6:L9"/>
    <mergeCell ref="D5:D9"/>
    <mergeCell ref="C5:C9"/>
    <mergeCell ref="B5:B9"/>
  </mergeCells>
  <phoneticPr fontId="0" type="noConversion"/>
  <printOptions horizontalCentered="1"/>
  <pageMargins left="0.61" right="0.75" top="0.83" bottom="1" header="0.67" footer="0.5"/>
  <pageSetup scale="68" orientation="landscape" r:id="rId1"/>
  <headerFooter alignWithMargins="0">
    <oddHeader xml:space="preserve">&amp;R
</oddHeader>
    <oddFooter>&amp;L&amp;"Arial,Italic"&amp;9MSDE - LFRO  12 / 2014&amp;C- 17 -&amp;R&amp;"Arial,Italic"&amp;9Selected Financial Data-Part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zoomScaleNormal="100" workbookViewId="0"/>
  </sheetViews>
  <sheetFormatPr defaultColWidth="11.42578125" defaultRowHeight="12.75"/>
  <cols>
    <col min="1" max="1" width="21.5703125" style="24" customWidth="1"/>
    <col min="2" max="3" width="14.7109375" style="24" customWidth="1"/>
    <col min="4" max="4" width="15.28515625" style="183" customWidth="1"/>
    <col min="5" max="5" width="17.42578125" style="24" customWidth="1"/>
    <col min="6" max="6" width="15.28515625" style="24" customWidth="1"/>
    <col min="7" max="7" width="16.7109375" style="24" customWidth="1"/>
    <col min="8" max="8" width="15.42578125" style="24" customWidth="1"/>
    <col min="9" max="9" width="17.85546875" style="24" customWidth="1"/>
    <col min="10" max="11" width="11.42578125" style="24" customWidth="1"/>
    <col min="12" max="12" width="14.5703125" style="24" customWidth="1"/>
    <col min="13" max="16384" width="11.42578125" style="24"/>
  </cols>
  <sheetData>
    <row r="1" spans="1:13">
      <c r="A1" s="22" t="s">
        <v>96</v>
      </c>
      <c r="B1" s="22"/>
      <c r="C1" s="22"/>
      <c r="D1" s="182"/>
      <c r="E1" s="22"/>
      <c r="F1" s="22"/>
      <c r="G1" s="22"/>
      <c r="H1" s="22"/>
      <c r="I1" s="22"/>
      <c r="J1" s="23"/>
      <c r="K1" s="23"/>
      <c r="L1" s="23"/>
      <c r="M1" s="23"/>
    </row>
    <row r="2" spans="1:13">
      <c r="A2" s="22"/>
      <c r="B2" s="22"/>
      <c r="C2" s="22"/>
      <c r="D2" s="182"/>
      <c r="E2" s="22"/>
      <c r="F2" s="22"/>
      <c r="G2" s="22"/>
      <c r="H2" s="22"/>
      <c r="I2" s="22"/>
      <c r="J2" s="23"/>
      <c r="K2" s="23"/>
      <c r="L2" s="23"/>
      <c r="M2" s="23"/>
    </row>
    <row r="3" spans="1:13">
      <c r="A3" s="22" t="s">
        <v>272</v>
      </c>
      <c r="B3" s="22"/>
      <c r="C3" s="22"/>
      <c r="D3" s="182"/>
      <c r="E3" s="22"/>
      <c r="F3" s="22"/>
      <c r="G3" s="22"/>
      <c r="H3" s="22"/>
      <c r="I3" s="22"/>
      <c r="J3" s="23"/>
      <c r="K3" s="23"/>
      <c r="L3" s="23"/>
      <c r="M3" s="23"/>
    </row>
    <row r="4" spans="1:13">
      <c r="A4" s="22"/>
      <c r="B4" s="22"/>
      <c r="C4" s="22"/>
      <c r="D4" s="182"/>
      <c r="E4" s="22"/>
      <c r="F4" s="22"/>
      <c r="G4" s="22"/>
      <c r="H4" s="22"/>
      <c r="I4" s="22"/>
      <c r="J4" s="23"/>
      <c r="K4" s="23"/>
      <c r="L4" s="23"/>
      <c r="M4" s="23"/>
    </row>
    <row r="5" spans="1:13" ht="13.5" thickBot="1">
      <c r="A5" s="47"/>
      <c r="B5" s="47"/>
      <c r="C5" s="47"/>
      <c r="D5" s="147"/>
      <c r="E5" s="47"/>
      <c r="F5" s="47"/>
      <c r="G5" s="47"/>
      <c r="H5" s="47"/>
      <c r="I5" s="47"/>
      <c r="J5" s="23"/>
      <c r="K5" s="23"/>
      <c r="L5" s="23"/>
      <c r="M5" s="23"/>
    </row>
    <row r="6" spans="1:13" ht="13.5" customHeight="1" thickTop="1">
      <c r="A6" s="23"/>
      <c r="B6" s="574" t="s">
        <v>278</v>
      </c>
      <c r="C6" s="574" t="s">
        <v>217</v>
      </c>
      <c r="D6" s="580" t="s">
        <v>169</v>
      </c>
      <c r="E6" s="577" t="s">
        <v>168</v>
      </c>
      <c r="F6" s="574" t="s">
        <v>277</v>
      </c>
      <c r="G6" s="574" t="s">
        <v>170</v>
      </c>
      <c r="H6" s="577" t="s">
        <v>193</v>
      </c>
      <c r="I6" s="577" t="s">
        <v>171</v>
      </c>
      <c r="J6" s="23"/>
      <c r="K6" s="23"/>
      <c r="L6" s="23"/>
      <c r="M6" s="23"/>
    </row>
    <row r="7" spans="1:13">
      <c r="A7" s="34" t="s">
        <v>77</v>
      </c>
      <c r="B7" s="575"/>
      <c r="C7" s="575"/>
      <c r="D7" s="472"/>
      <c r="E7" s="578"/>
      <c r="F7" s="575"/>
      <c r="G7" s="575"/>
      <c r="H7" s="516"/>
      <c r="I7" s="578"/>
      <c r="J7" s="23"/>
      <c r="K7" s="23"/>
      <c r="L7" s="23"/>
      <c r="M7" s="23"/>
    </row>
    <row r="8" spans="1:13">
      <c r="A8" s="32" t="s">
        <v>33</v>
      </c>
      <c r="B8" s="575"/>
      <c r="C8" s="579"/>
      <c r="D8" s="581"/>
      <c r="E8" s="516"/>
      <c r="F8" s="575"/>
      <c r="G8" s="579"/>
      <c r="H8" s="516"/>
      <c r="I8" s="578"/>
      <c r="J8" s="23"/>
      <c r="K8" s="23"/>
      <c r="L8" s="23"/>
      <c r="M8" s="23"/>
    </row>
    <row r="9" spans="1:13" ht="13.5" thickBot="1">
      <c r="A9" s="52" t="s">
        <v>132</v>
      </c>
      <c r="B9" s="576"/>
      <c r="C9" s="49" t="s">
        <v>97</v>
      </c>
      <c r="D9" s="151" t="s">
        <v>98</v>
      </c>
      <c r="E9" s="63" t="s">
        <v>192</v>
      </c>
      <c r="F9" s="576"/>
      <c r="G9" s="49" t="s">
        <v>218</v>
      </c>
      <c r="H9" s="492"/>
      <c r="I9" s="492"/>
      <c r="J9" s="23"/>
      <c r="K9" s="23"/>
      <c r="L9" s="23"/>
      <c r="M9" s="23"/>
    </row>
    <row r="10" spans="1:13">
      <c r="A10" s="32" t="s">
        <v>0</v>
      </c>
      <c r="B10" s="50">
        <f>SUM(B12:B39)</f>
        <v>320812</v>
      </c>
      <c r="C10" s="51">
        <f>SUM(C12:C39)</f>
        <v>1041676564</v>
      </c>
      <c r="D10" s="185">
        <v>505354.4188292491</v>
      </c>
      <c r="E10" s="51">
        <f>SUM(E12:E39)</f>
        <v>1241251581</v>
      </c>
      <c r="F10" s="51">
        <f>SUM(F12:F39)+1</f>
        <v>1041676574.1734403</v>
      </c>
      <c r="G10" s="51">
        <f>SUM(G12:G39)-3</f>
        <v>833341248.19999981</v>
      </c>
      <c r="H10" s="51">
        <f>SUM(H12:H39)+1</f>
        <v>42161883.384043925</v>
      </c>
      <c r="I10" s="51">
        <f>SUM(I12:I39)</f>
        <v>1083838456.5574844</v>
      </c>
      <c r="J10" s="23"/>
      <c r="K10" s="23"/>
      <c r="L10" s="23"/>
      <c r="M10" s="23"/>
    </row>
    <row r="11" spans="1:13">
      <c r="A11" s="23"/>
      <c r="B11" s="25"/>
      <c r="C11" s="25"/>
      <c r="D11" s="179"/>
      <c r="E11" s="25"/>
      <c r="F11" s="25"/>
      <c r="G11" s="25"/>
      <c r="H11" s="25"/>
      <c r="I11" s="25"/>
      <c r="J11" s="23"/>
      <c r="K11" s="23"/>
      <c r="L11" s="23"/>
      <c r="M11" s="23"/>
    </row>
    <row r="12" spans="1:13">
      <c r="A12" s="23" t="s">
        <v>1</v>
      </c>
      <c r="B12" s="25">
        <v>4329</v>
      </c>
      <c r="C12" s="25">
        <f t="shared" ref="C12:C22" si="0">+B12*3247</f>
        <v>14056263</v>
      </c>
      <c r="D12" s="368">
        <v>289934.61378115736</v>
      </c>
      <c r="E12" s="25">
        <v>24499937</v>
      </c>
      <c r="F12" s="25">
        <f>E12*0.8392147</f>
        <v>20560707.279473901</v>
      </c>
      <c r="G12" s="25">
        <f>C12*0.8</f>
        <v>11245010.4</v>
      </c>
      <c r="H12" s="50">
        <f>IF(F12&gt;G12,0,(G12-F12))</f>
        <v>0</v>
      </c>
      <c r="I12" s="25">
        <f>MAX(F12,G12)</f>
        <v>20560707.279473901</v>
      </c>
      <c r="J12" s="29"/>
      <c r="K12" s="23"/>
      <c r="L12" s="25"/>
      <c r="M12" s="23"/>
    </row>
    <row r="13" spans="1:13">
      <c r="A13" s="195" t="s">
        <v>2</v>
      </c>
      <c r="B13" s="25">
        <v>20120</v>
      </c>
      <c r="C13" s="25">
        <f t="shared" si="0"/>
        <v>65329640</v>
      </c>
      <c r="D13" s="368">
        <v>627838.27048493142</v>
      </c>
      <c r="E13" s="25">
        <v>52584575</v>
      </c>
      <c r="F13" s="25">
        <f t="shared" ref="F13:F39" si="1">E13*0.8392147</f>
        <v>44129748.333252497</v>
      </c>
      <c r="G13" s="25">
        <f>C13*0.8</f>
        <v>52263712</v>
      </c>
      <c r="H13" s="50">
        <f t="shared" ref="H13:H38" si="2">IF(F13&gt;G13,0,(G13-F13))</f>
        <v>8133963.666747503</v>
      </c>
      <c r="I13" s="25">
        <f>MAX(F13,G13)</f>
        <v>52263712</v>
      </c>
      <c r="J13" s="23"/>
      <c r="K13" s="23"/>
      <c r="L13" s="25"/>
      <c r="M13" s="23"/>
    </row>
    <row r="14" spans="1:13">
      <c r="A14" s="23" t="s">
        <v>3</v>
      </c>
      <c r="B14" s="25">
        <v>65957</v>
      </c>
      <c r="C14" s="25">
        <f t="shared" si="0"/>
        <v>214162379</v>
      </c>
      <c r="D14" s="368">
        <v>291018.14174870896</v>
      </c>
      <c r="E14" s="25">
        <v>371893878</v>
      </c>
      <c r="F14" s="25">
        <f t="shared" si="1"/>
        <v>312098809.25760657</v>
      </c>
      <c r="G14" s="25">
        <f>C14*0.8</f>
        <v>171329903.20000002</v>
      </c>
      <c r="H14" s="50">
        <f t="shared" si="2"/>
        <v>0</v>
      </c>
      <c r="I14" s="25">
        <f>MAX(F14,G14)</f>
        <v>312098809.25760657</v>
      </c>
      <c r="J14" s="23"/>
      <c r="K14" s="23"/>
      <c r="L14" s="25"/>
      <c r="M14" s="23"/>
    </row>
    <row r="15" spans="1:13">
      <c r="A15" s="23" t="s">
        <v>4</v>
      </c>
      <c r="B15" s="25">
        <v>42029</v>
      </c>
      <c r="C15" s="25">
        <f t="shared" si="0"/>
        <v>136468163</v>
      </c>
      <c r="D15" s="368">
        <v>512922.93673081382</v>
      </c>
      <c r="E15" s="25">
        <v>134454359</v>
      </c>
      <c r="F15" s="25">
        <f t="shared" si="1"/>
        <v>112836074.55187729</v>
      </c>
      <c r="G15" s="25">
        <f>C15*0.8</f>
        <v>109174530.40000001</v>
      </c>
      <c r="H15" s="50">
        <f t="shared" si="2"/>
        <v>0</v>
      </c>
      <c r="I15" s="25">
        <f>MAX(F15,G15)</f>
        <v>112836074.55187729</v>
      </c>
      <c r="J15" s="23"/>
      <c r="K15" s="23"/>
      <c r="L15" s="25"/>
      <c r="M15" s="23"/>
    </row>
    <row r="16" spans="1:13">
      <c r="A16" s="23" t="s">
        <v>5</v>
      </c>
      <c r="B16" s="25">
        <v>3421</v>
      </c>
      <c r="C16" s="25">
        <f t="shared" si="0"/>
        <v>11107987</v>
      </c>
      <c r="D16" s="368">
        <v>469727.97581679391</v>
      </c>
      <c r="E16" s="25">
        <v>11950460</v>
      </c>
      <c r="F16" s="25">
        <f t="shared" si="1"/>
        <v>10029001.703762</v>
      </c>
      <c r="G16" s="25">
        <f>C16*0.8</f>
        <v>8886389.5999999996</v>
      </c>
      <c r="H16" s="50">
        <f t="shared" si="2"/>
        <v>0</v>
      </c>
      <c r="I16" s="25">
        <f>MAX(F16,G16)</f>
        <v>10029001.703762</v>
      </c>
      <c r="J16" s="23"/>
      <c r="K16" s="23"/>
      <c r="L16" s="25"/>
      <c r="M16" s="23"/>
    </row>
    <row r="17" spans="1:13">
      <c r="A17" s="23"/>
      <c r="B17" s="25"/>
      <c r="C17" s="25"/>
      <c r="E17" s="25"/>
      <c r="F17" s="25"/>
      <c r="G17" s="25"/>
      <c r="H17" s="50"/>
      <c r="I17" s="25"/>
      <c r="J17" s="23"/>
      <c r="K17" s="23"/>
      <c r="L17" s="25"/>
      <c r="M17" s="23"/>
    </row>
    <row r="18" spans="1:13">
      <c r="A18" s="23" t="s">
        <v>6</v>
      </c>
      <c r="B18" s="25">
        <v>2679</v>
      </c>
      <c r="C18" s="25">
        <f t="shared" si="0"/>
        <v>8698713</v>
      </c>
      <c r="D18" s="179">
        <v>324108.62375567795</v>
      </c>
      <c r="E18" s="25">
        <v>13563121</v>
      </c>
      <c r="F18" s="25">
        <f t="shared" si="1"/>
        <v>11382370.5210787</v>
      </c>
      <c r="G18" s="25">
        <f>C18*0.8</f>
        <v>6958970.4000000004</v>
      </c>
      <c r="H18" s="50">
        <f t="shared" si="2"/>
        <v>0</v>
      </c>
      <c r="I18" s="25">
        <f>MAX(F18,G18)</f>
        <v>11382370.5210787</v>
      </c>
      <c r="J18" s="23"/>
      <c r="K18" s="23"/>
      <c r="L18" s="25"/>
      <c r="M18" s="23"/>
    </row>
    <row r="19" spans="1:13">
      <c r="A19" s="23" t="s">
        <v>7</v>
      </c>
      <c r="B19" s="25">
        <v>4058</v>
      </c>
      <c r="C19" s="25">
        <f t="shared" si="0"/>
        <v>13176326</v>
      </c>
      <c r="D19" s="179">
        <v>439029.18536995462</v>
      </c>
      <c r="E19" s="25">
        <v>15166900</v>
      </c>
      <c r="F19" s="25">
        <f t="shared" si="1"/>
        <v>12728285.433429999</v>
      </c>
      <c r="G19" s="25">
        <f>C19*0.8</f>
        <v>10541060.800000001</v>
      </c>
      <c r="H19" s="50">
        <f t="shared" si="2"/>
        <v>0</v>
      </c>
      <c r="I19" s="25">
        <f>MAX(F19,G19)</f>
        <v>12728285.433429999</v>
      </c>
      <c r="J19" s="23"/>
      <c r="K19" s="23"/>
      <c r="L19" s="25"/>
      <c r="M19" s="23"/>
    </row>
    <row r="20" spans="1:13">
      <c r="A20" s="23" t="s">
        <v>8</v>
      </c>
      <c r="B20" s="25">
        <v>5720</v>
      </c>
      <c r="C20" s="25">
        <f t="shared" si="0"/>
        <v>18572840</v>
      </c>
      <c r="D20" s="179">
        <v>393895.28474620444</v>
      </c>
      <c r="E20" s="25">
        <v>23828328</v>
      </c>
      <c r="F20" s="25">
        <f t="shared" si="1"/>
        <v>19997083.134021599</v>
      </c>
      <c r="G20" s="25">
        <f>C20*0.8</f>
        <v>14858272</v>
      </c>
      <c r="H20" s="50">
        <f t="shared" si="2"/>
        <v>0</v>
      </c>
      <c r="I20" s="25">
        <f>MAX(F20,G20)</f>
        <v>19997083.134021599</v>
      </c>
      <c r="J20" s="23"/>
      <c r="K20" s="23"/>
      <c r="L20" s="25"/>
      <c r="M20" s="23"/>
    </row>
    <row r="21" spans="1:13">
      <c r="A21" s="23" t="s">
        <v>9</v>
      </c>
      <c r="B21" s="25">
        <v>7232</v>
      </c>
      <c r="C21" s="25">
        <f t="shared" si="0"/>
        <v>23482304</v>
      </c>
      <c r="D21" s="179">
        <v>397256.24250130035</v>
      </c>
      <c r="E21" s="25">
        <v>29872113</v>
      </c>
      <c r="F21" s="25">
        <f t="shared" si="1"/>
        <v>25069116.349661101</v>
      </c>
      <c r="G21" s="25">
        <f>C21*0.8</f>
        <v>18785843.199999999</v>
      </c>
      <c r="H21" s="50">
        <f t="shared" si="2"/>
        <v>0</v>
      </c>
      <c r="I21" s="25">
        <f>MAX(F21,G21)</f>
        <v>25069116.349661101</v>
      </c>
      <c r="J21" s="23"/>
      <c r="K21" s="23"/>
      <c r="L21" s="25"/>
      <c r="M21" s="23"/>
    </row>
    <row r="22" spans="1:13">
      <c r="A22" s="23" t="s">
        <v>10</v>
      </c>
      <c r="B22" s="25">
        <v>2539</v>
      </c>
      <c r="C22" s="25">
        <f t="shared" si="0"/>
        <v>8244133</v>
      </c>
      <c r="D22" s="179">
        <v>412238.48879231472</v>
      </c>
      <c r="E22" s="25">
        <v>10106312</v>
      </c>
      <c r="F22" s="25">
        <f t="shared" si="1"/>
        <v>8481365.593186399</v>
      </c>
      <c r="G22" s="25">
        <f>C22*0.8</f>
        <v>6595306.4000000004</v>
      </c>
      <c r="H22" s="50">
        <f t="shared" si="2"/>
        <v>0</v>
      </c>
      <c r="I22" s="25">
        <f>MAX(F22,G22)</f>
        <v>8481365.593186399</v>
      </c>
      <c r="J22" s="23"/>
      <c r="K22" s="23"/>
      <c r="L22" s="25"/>
      <c r="M22" s="23"/>
    </row>
    <row r="23" spans="1:13">
      <c r="A23" s="23"/>
      <c r="B23" s="25"/>
      <c r="C23" s="25"/>
      <c r="D23" s="179"/>
      <c r="E23" s="25"/>
      <c r="F23" s="25"/>
      <c r="G23" s="25"/>
      <c r="H23" s="50"/>
      <c r="I23" s="25"/>
      <c r="J23" s="23"/>
      <c r="K23" s="23"/>
      <c r="L23" s="25"/>
      <c r="M23" s="23"/>
    </row>
    <row r="24" spans="1:13">
      <c r="A24" s="23" t="s">
        <v>11</v>
      </c>
      <c r="B24" s="25">
        <v>8600</v>
      </c>
      <c r="C24" s="25">
        <f>+B24*3247</f>
        <v>27924200</v>
      </c>
      <c r="D24" s="179">
        <v>428321.14646477543</v>
      </c>
      <c r="E24" s="25">
        <v>32946331</v>
      </c>
      <c r="F24" s="25">
        <f t="shared" si="1"/>
        <v>27649045.286265701</v>
      </c>
      <c r="G24" s="25">
        <f>C24*0.8</f>
        <v>22339360</v>
      </c>
      <c r="H24" s="50">
        <f t="shared" si="2"/>
        <v>0</v>
      </c>
      <c r="I24" s="25">
        <f>MAX(F24,G24)</f>
        <v>27649045.286265701</v>
      </c>
      <c r="J24" s="23"/>
      <c r="K24" s="23"/>
      <c r="L24" s="25"/>
      <c r="M24" s="23"/>
    </row>
    <row r="25" spans="1:13">
      <c r="A25" s="23" t="s">
        <v>12</v>
      </c>
      <c r="B25" s="25">
        <v>1846</v>
      </c>
      <c r="C25" s="25">
        <f>+B25*3247</f>
        <v>5993962</v>
      </c>
      <c r="D25" s="179">
        <v>583131.74951028405</v>
      </c>
      <c r="E25" s="25">
        <v>5194489</v>
      </c>
      <c r="F25" s="25">
        <f t="shared" si="1"/>
        <v>4359291.5277883001</v>
      </c>
      <c r="G25" s="25">
        <f>C25*0.8</f>
        <v>4795169.6000000006</v>
      </c>
      <c r="H25" s="50">
        <f t="shared" si="2"/>
        <v>435878.07221170049</v>
      </c>
      <c r="I25" s="25">
        <f>MAX(F25,G25)</f>
        <v>4795169.6000000006</v>
      </c>
      <c r="J25" s="23"/>
      <c r="K25" s="23"/>
      <c r="L25" s="25"/>
      <c r="M25" s="23"/>
    </row>
    <row r="26" spans="1:13">
      <c r="A26" s="23" t="s">
        <v>13</v>
      </c>
      <c r="B26" s="25">
        <v>10024</v>
      </c>
      <c r="C26" s="25">
        <f>+B26*3247</f>
        <v>32547928</v>
      </c>
      <c r="D26" s="179">
        <v>434534.58010109072</v>
      </c>
      <c r="E26" s="25">
        <v>37852476</v>
      </c>
      <c r="F26" s="25">
        <f t="shared" si="1"/>
        <v>31766354.2905972</v>
      </c>
      <c r="G26" s="25">
        <f>C26*0.8</f>
        <v>26038342.400000002</v>
      </c>
      <c r="H26" s="50">
        <f t="shared" si="2"/>
        <v>0</v>
      </c>
      <c r="I26" s="25">
        <f>MAX(F26,G26)</f>
        <v>31766354.2905972</v>
      </c>
      <c r="J26" s="23"/>
      <c r="K26" s="23"/>
      <c r="L26" s="25"/>
      <c r="M26" s="23"/>
    </row>
    <row r="27" spans="1:13">
      <c r="A27" s="23" t="s">
        <v>14</v>
      </c>
      <c r="B27" s="25">
        <v>7937</v>
      </c>
      <c r="C27" s="25">
        <f>+B27*3247</f>
        <v>25771439</v>
      </c>
      <c r="D27" s="179">
        <v>546508.90483269515</v>
      </c>
      <c r="E27" s="25">
        <v>23830713</v>
      </c>
      <c r="F27" s="25">
        <f t="shared" si="1"/>
        <v>19999084.661081098</v>
      </c>
      <c r="G27" s="25">
        <f>C27*0.8</f>
        <v>20617151.200000003</v>
      </c>
      <c r="H27" s="50">
        <f>IF(F27&gt;G27,0,(G27-F27))-1</f>
        <v>618065.53891890496</v>
      </c>
      <c r="I27" s="25">
        <f>MAX(F27,G27)</f>
        <v>20617151.200000003</v>
      </c>
      <c r="J27" s="23"/>
      <c r="K27" s="23"/>
      <c r="L27" s="25"/>
      <c r="M27" s="23"/>
    </row>
    <row r="28" spans="1:13">
      <c r="A28" s="23" t="s">
        <v>15</v>
      </c>
      <c r="B28" s="25">
        <v>979</v>
      </c>
      <c r="C28" s="25">
        <f>+B28*3247</f>
        <v>3178813</v>
      </c>
      <c r="D28" s="179">
        <v>786125.44422604423</v>
      </c>
      <c r="E28" s="25">
        <v>2043474</v>
      </c>
      <c r="F28" s="25">
        <f t="shared" si="1"/>
        <v>1714913.4198677999</v>
      </c>
      <c r="G28" s="25">
        <f>C28*0.8</f>
        <v>2543050.4000000004</v>
      </c>
      <c r="H28" s="50">
        <f t="shared" si="2"/>
        <v>828136.98013220052</v>
      </c>
      <c r="I28" s="25">
        <f>MAX(F28,G28)</f>
        <v>2543050.4000000004</v>
      </c>
      <c r="J28" s="23"/>
      <c r="K28" s="23"/>
      <c r="L28" s="25"/>
      <c r="M28" s="23"/>
    </row>
    <row r="29" spans="1:13">
      <c r="A29" s="23"/>
      <c r="B29" s="25"/>
      <c r="C29" s="25"/>
      <c r="D29" s="179"/>
      <c r="E29" s="25"/>
      <c r="F29" s="25"/>
      <c r="G29" s="25"/>
      <c r="H29" s="50"/>
      <c r="I29" s="25"/>
      <c r="J29" s="23"/>
      <c r="K29" s="23"/>
      <c r="L29" s="25"/>
      <c r="M29" s="23"/>
    </row>
    <row r="30" spans="1:13">
      <c r="A30" s="23" t="s">
        <v>16</v>
      </c>
      <c r="B30" s="25">
        <v>41036</v>
      </c>
      <c r="C30" s="25">
        <f t="shared" ref="C30:C39" si="3">+B30*3247</f>
        <v>133243892</v>
      </c>
      <c r="D30" s="179">
        <v>698438.79680772638</v>
      </c>
      <c r="E30" s="25">
        <v>96408325</v>
      </c>
      <c r="F30" s="25">
        <f t="shared" si="1"/>
        <v>80907283.542377502</v>
      </c>
      <c r="G30" s="25">
        <f>C30*0.8</f>
        <v>106595113.60000001</v>
      </c>
      <c r="H30" s="50">
        <f t="shared" si="2"/>
        <v>25687830.057622507</v>
      </c>
      <c r="I30" s="25">
        <f>MAX(F30,G30)</f>
        <v>106595113.60000001</v>
      </c>
      <c r="J30" s="23"/>
      <c r="K30" s="23"/>
      <c r="L30" s="25"/>
      <c r="M30" s="23"/>
    </row>
    <row r="31" spans="1:13">
      <c r="A31" s="23" t="s">
        <v>17</v>
      </c>
      <c r="B31" s="25">
        <v>63318</v>
      </c>
      <c r="C31" s="25">
        <f t="shared" si="3"/>
        <v>205593546</v>
      </c>
      <c r="D31" s="179">
        <v>437339.48038387141</v>
      </c>
      <c r="E31" s="25">
        <v>237567466</v>
      </c>
      <c r="F31" s="25">
        <f t="shared" si="1"/>
        <v>199370109.70895019</v>
      </c>
      <c r="G31" s="25">
        <f>C31*0.8</f>
        <v>164474836.80000001</v>
      </c>
      <c r="H31" s="50">
        <f t="shared" si="2"/>
        <v>0</v>
      </c>
      <c r="I31" s="25">
        <f>MAX(F31,G31)</f>
        <v>199370109.70895019</v>
      </c>
      <c r="J31" s="23"/>
      <c r="K31" s="23"/>
      <c r="L31" s="25"/>
      <c r="M31" s="23"/>
    </row>
    <row r="32" spans="1:13">
      <c r="A32" s="23" t="s">
        <v>18</v>
      </c>
      <c r="B32" s="25">
        <v>1638</v>
      </c>
      <c r="C32" s="25">
        <f t="shared" si="3"/>
        <v>5318586</v>
      </c>
      <c r="D32" s="179">
        <v>593311.50727734005</v>
      </c>
      <c r="E32" s="25">
        <v>4530110</v>
      </c>
      <c r="F32" s="25">
        <f t="shared" si="1"/>
        <v>3801734.9046169999</v>
      </c>
      <c r="G32" s="25">
        <f>C32*0.8</f>
        <v>4254868.8</v>
      </c>
      <c r="H32" s="50">
        <f t="shared" si="2"/>
        <v>453133.89538299991</v>
      </c>
      <c r="I32" s="25">
        <f>MAX(F32,G32)</f>
        <v>4254868.8</v>
      </c>
      <c r="J32" s="23"/>
      <c r="K32" s="23"/>
      <c r="L32" s="25"/>
      <c r="M32" s="23"/>
    </row>
    <row r="33" spans="1:13">
      <c r="A33" s="23" t="s">
        <v>19</v>
      </c>
      <c r="B33" s="25">
        <v>4582</v>
      </c>
      <c r="C33" s="25">
        <f t="shared" si="3"/>
        <v>14877754</v>
      </c>
      <c r="D33" s="179">
        <v>445121.55056487297</v>
      </c>
      <c r="E33" s="25">
        <v>16890947</v>
      </c>
      <c r="F33" s="25">
        <f t="shared" si="1"/>
        <v>14175131.0193209</v>
      </c>
      <c r="G33" s="25">
        <f>C33*0.8</f>
        <v>11902203.200000001</v>
      </c>
      <c r="H33" s="50">
        <f t="shared" si="2"/>
        <v>0</v>
      </c>
      <c r="I33" s="25">
        <f>MAX(F33,G33)</f>
        <v>14175131.0193209</v>
      </c>
      <c r="J33" s="23"/>
      <c r="K33" s="23"/>
      <c r="L33" s="25"/>
      <c r="M33" s="23"/>
    </row>
    <row r="34" spans="1:13">
      <c r="A34" s="23" t="s">
        <v>20</v>
      </c>
      <c r="B34" s="25">
        <v>1773</v>
      </c>
      <c r="C34" s="25">
        <f t="shared" si="3"/>
        <v>5756931</v>
      </c>
      <c r="D34" s="179">
        <v>337401.70338826143</v>
      </c>
      <c r="E34" s="25">
        <v>8622616</v>
      </c>
      <c r="F34" s="25">
        <f t="shared" si="1"/>
        <v>7236226.0996551998</v>
      </c>
      <c r="G34" s="25">
        <f>C34*0.8</f>
        <v>4605544.8</v>
      </c>
      <c r="H34" s="50">
        <f t="shared" si="2"/>
        <v>0</v>
      </c>
      <c r="I34" s="25">
        <f>MAX(F34,G34)</f>
        <v>7236226.0996551998</v>
      </c>
      <c r="J34" s="23"/>
      <c r="K34" s="23"/>
      <c r="L34" s="25"/>
      <c r="M34" s="23"/>
    </row>
    <row r="35" spans="1:13">
      <c r="A35" s="23"/>
      <c r="B35" s="25"/>
      <c r="C35" s="25"/>
      <c r="D35" s="179"/>
      <c r="E35" s="25"/>
      <c r="F35" s="25"/>
      <c r="G35" s="25"/>
      <c r="H35" s="50"/>
      <c r="I35" s="25"/>
      <c r="J35" s="23"/>
      <c r="K35" s="23"/>
      <c r="L35" s="25"/>
      <c r="M35" s="23"/>
    </row>
    <row r="36" spans="1:13">
      <c r="A36" s="23" t="s">
        <v>21</v>
      </c>
      <c r="B36" s="25">
        <v>1489</v>
      </c>
      <c r="C36" s="25">
        <f t="shared" si="3"/>
        <v>4834783</v>
      </c>
      <c r="D36" s="179">
        <v>1121951.6511832755</v>
      </c>
      <c r="E36" s="25">
        <v>2177702</v>
      </c>
      <c r="F36" s="25">
        <f t="shared" si="1"/>
        <v>1827559.5306193999</v>
      </c>
      <c r="G36" s="25">
        <f>C36*0.8</f>
        <v>3867826.4000000004</v>
      </c>
      <c r="H36" s="50">
        <f>IF(F36&gt;G36,0,(G36-F36))-1</f>
        <v>2040265.8693806005</v>
      </c>
      <c r="I36" s="25">
        <f>MAX(F36,G36)</f>
        <v>3867826.4000000004</v>
      </c>
      <c r="J36" s="23"/>
      <c r="K36" s="23"/>
      <c r="L36" s="25"/>
      <c r="M36" s="23"/>
    </row>
    <row r="37" spans="1:13">
      <c r="A37" s="23" t="s">
        <v>22</v>
      </c>
      <c r="B37" s="25">
        <v>9652</v>
      </c>
      <c r="C37" s="25">
        <f t="shared" si="3"/>
        <v>31340044</v>
      </c>
      <c r="D37" s="179">
        <v>361191.46960840939</v>
      </c>
      <c r="E37" s="25">
        <v>43848867</v>
      </c>
      <c r="F37" s="25">
        <f t="shared" si="1"/>
        <v>36798613.7647449</v>
      </c>
      <c r="G37" s="25">
        <f>C37*0.8</f>
        <v>25072035.200000003</v>
      </c>
      <c r="H37" s="50">
        <f t="shared" si="2"/>
        <v>0</v>
      </c>
      <c r="I37" s="25">
        <f>MAX(F37,G37)</f>
        <v>36798613.7647449</v>
      </c>
      <c r="J37" s="23"/>
      <c r="K37" s="23"/>
      <c r="L37" s="25"/>
      <c r="M37" s="23"/>
    </row>
    <row r="38" spans="1:13">
      <c r="A38" s="23" t="s">
        <v>23</v>
      </c>
      <c r="B38" s="25">
        <v>7243</v>
      </c>
      <c r="C38" s="25">
        <f t="shared" si="3"/>
        <v>23518021</v>
      </c>
      <c r="D38" s="179">
        <v>312264.14552946918</v>
      </c>
      <c r="E38" s="25">
        <v>38060507</v>
      </c>
      <c r="F38" s="25">
        <f t="shared" si="1"/>
        <v>31940936.963852901</v>
      </c>
      <c r="G38" s="25">
        <f>C38*0.8</f>
        <v>18814416.800000001</v>
      </c>
      <c r="H38" s="50">
        <f t="shared" si="2"/>
        <v>0</v>
      </c>
      <c r="I38" s="25">
        <f>MAX(F38,G38)</f>
        <v>31940936.963852901</v>
      </c>
      <c r="J38" s="23"/>
      <c r="K38" s="23"/>
      <c r="L38" s="25"/>
      <c r="M38" s="23"/>
    </row>
    <row r="39" spans="1:13">
      <c r="A39" s="31" t="s">
        <v>24</v>
      </c>
      <c r="B39" s="28">
        <v>2611</v>
      </c>
      <c r="C39" s="28">
        <f t="shared" si="3"/>
        <v>8477917</v>
      </c>
      <c r="D39" s="180">
        <v>1276025.0068468754</v>
      </c>
      <c r="E39" s="28">
        <v>3357575</v>
      </c>
      <c r="F39" s="28">
        <f t="shared" si="1"/>
        <v>2817726.2963525001</v>
      </c>
      <c r="G39" s="28">
        <f>C39*0.8</f>
        <v>6782333.6000000006</v>
      </c>
      <c r="H39" s="115">
        <f>IF(F39&gt;G39,0,(G39-F39))+1</f>
        <v>3964608.3036475005</v>
      </c>
      <c r="I39" s="28">
        <f>MAX(F39,G39)</f>
        <v>6782333.6000000006</v>
      </c>
      <c r="J39" s="23"/>
      <c r="K39" s="23"/>
      <c r="L39" s="25"/>
      <c r="M39" s="23"/>
    </row>
    <row r="40" spans="1:13">
      <c r="A40" s="33"/>
      <c r="B40" s="33"/>
      <c r="C40" s="33"/>
      <c r="D40" s="186"/>
      <c r="E40" s="33"/>
      <c r="F40" s="33"/>
      <c r="G40" s="33"/>
      <c r="H40" s="33"/>
      <c r="I40" s="33"/>
      <c r="J40" s="23"/>
      <c r="K40" s="23"/>
      <c r="L40" s="25"/>
      <c r="M40" s="23"/>
    </row>
    <row r="41" spans="1:13">
      <c r="A41" s="23" t="s">
        <v>95</v>
      </c>
      <c r="B41" s="25"/>
      <c r="C41" s="25"/>
      <c r="D41" s="179"/>
      <c r="E41" s="25"/>
      <c r="F41" s="25"/>
      <c r="G41" s="25"/>
      <c r="H41" s="25"/>
      <c r="I41" s="25"/>
      <c r="J41" s="23"/>
      <c r="K41" s="23"/>
      <c r="L41" s="25"/>
      <c r="M41" s="23"/>
    </row>
    <row r="42" spans="1:13">
      <c r="A42" s="23"/>
      <c r="B42" s="25"/>
      <c r="C42" s="25"/>
      <c r="D42" s="179"/>
      <c r="E42" s="25"/>
      <c r="F42" s="25"/>
      <c r="G42" s="25"/>
      <c r="H42" s="25"/>
      <c r="I42" s="25"/>
      <c r="J42" s="23"/>
      <c r="K42" s="23"/>
      <c r="L42" s="25"/>
      <c r="M42" s="23"/>
    </row>
    <row r="43" spans="1:13">
      <c r="A43" s="23" t="s">
        <v>276</v>
      </c>
      <c r="B43" s="25"/>
      <c r="C43" s="25"/>
      <c r="D43" s="179"/>
      <c r="E43" s="25"/>
      <c r="F43" s="25"/>
      <c r="G43" s="25"/>
      <c r="H43" s="25"/>
      <c r="I43" s="25"/>
      <c r="J43" s="23"/>
      <c r="K43" s="23"/>
      <c r="L43" s="25"/>
      <c r="M43" s="23"/>
    </row>
    <row r="44" spans="1:13">
      <c r="A44" s="23"/>
      <c r="B44" s="25"/>
      <c r="C44" s="25"/>
      <c r="D44" s="179"/>
      <c r="E44" s="25"/>
      <c r="F44" s="25"/>
      <c r="G44" s="25"/>
      <c r="H44" s="25"/>
      <c r="I44" s="25"/>
      <c r="J44" s="23"/>
      <c r="K44" s="23"/>
      <c r="L44" s="25"/>
      <c r="M44" s="23"/>
    </row>
    <row r="45" spans="1:13">
      <c r="A45" s="23"/>
      <c r="B45" s="25"/>
      <c r="C45" s="25"/>
      <c r="D45" s="179"/>
      <c r="E45" s="25"/>
      <c r="F45" s="25"/>
      <c r="G45" s="25"/>
      <c r="H45" s="25"/>
      <c r="I45" s="25"/>
      <c r="J45" s="23"/>
      <c r="K45" s="23"/>
      <c r="L45" s="23"/>
      <c r="M45" s="23"/>
    </row>
    <row r="46" spans="1:13">
      <c r="A46" s="23"/>
      <c r="B46" s="25"/>
      <c r="C46" s="25"/>
      <c r="D46" s="179"/>
      <c r="E46" s="25"/>
      <c r="F46" s="25"/>
      <c r="G46" s="25"/>
      <c r="H46" s="25"/>
      <c r="I46" s="25"/>
      <c r="J46" s="23"/>
      <c r="K46" s="23"/>
      <c r="L46" s="23"/>
      <c r="M46" s="23"/>
    </row>
    <row r="47" spans="1:13">
      <c r="A47" s="23"/>
      <c r="B47" s="25"/>
      <c r="C47" s="25"/>
      <c r="D47" s="179"/>
      <c r="E47" s="25"/>
      <c r="F47" s="25"/>
      <c r="G47" s="25"/>
      <c r="H47" s="25"/>
      <c r="I47" s="25"/>
      <c r="J47" s="23"/>
      <c r="K47" s="23"/>
      <c r="L47" s="23"/>
      <c r="M47" s="23"/>
    </row>
    <row r="48" spans="1:13">
      <c r="A48" s="23"/>
      <c r="B48" s="25"/>
      <c r="C48" s="25"/>
      <c r="D48" s="179"/>
      <c r="E48" s="25"/>
      <c r="F48" s="25"/>
      <c r="G48" s="25"/>
      <c r="H48" s="25"/>
      <c r="I48" s="25"/>
      <c r="J48" s="23"/>
      <c r="K48" s="23"/>
      <c r="L48" s="23"/>
      <c r="M48" s="23"/>
    </row>
    <row r="49" spans="1:13">
      <c r="A49" s="23"/>
      <c r="B49" s="25"/>
      <c r="C49" s="25"/>
      <c r="D49" s="179"/>
      <c r="E49" s="25"/>
      <c r="F49" s="25"/>
      <c r="G49" s="25"/>
      <c r="H49" s="25"/>
      <c r="I49" s="25"/>
      <c r="J49" s="23"/>
      <c r="K49" s="23"/>
      <c r="L49" s="23"/>
      <c r="M49" s="23"/>
    </row>
    <row r="50" spans="1:13">
      <c r="A50" s="23"/>
      <c r="B50" s="25"/>
      <c r="C50" s="25"/>
      <c r="D50" s="179"/>
      <c r="E50" s="25"/>
      <c r="F50" s="25"/>
      <c r="G50" s="25"/>
      <c r="H50" s="25"/>
      <c r="I50" s="25"/>
      <c r="J50" s="23"/>
      <c r="K50" s="23"/>
      <c r="L50" s="23"/>
      <c r="M50" s="23"/>
    </row>
    <row r="51" spans="1:13">
      <c r="A51" s="23"/>
      <c r="B51" s="25"/>
      <c r="C51" s="25"/>
      <c r="D51" s="179"/>
      <c r="E51" s="25"/>
      <c r="F51" s="25"/>
      <c r="G51" s="25"/>
      <c r="H51" s="25"/>
      <c r="I51" s="25"/>
      <c r="J51" s="23"/>
      <c r="K51" s="23"/>
      <c r="L51" s="23"/>
      <c r="M51" s="23"/>
    </row>
    <row r="52" spans="1:13">
      <c r="A52" s="23"/>
      <c r="B52" s="25"/>
      <c r="C52" s="25"/>
      <c r="D52" s="179"/>
      <c r="E52" s="25"/>
      <c r="F52" s="25"/>
      <c r="G52" s="25"/>
      <c r="H52" s="25"/>
      <c r="I52" s="25"/>
      <c r="J52" s="23"/>
      <c r="K52" s="23"/>
      <c r="L52" s="23"/>
      <c r="M52" s="23"/>
    </row>
    <row r="53" spans="1:13">
      <c r="A53" s="23"/>
      <c r="B53" s="25"/>
      <c r="C53" s="25"/>
      <c r="D53" s="179"/>
      <c r="E53" s="25"/>
      <c r="F53" s="25"/>
      <c r="G53" s="25"/>
      <c r="H53" s="25"/>
      <c r="I53" s="25"/>
      <c r="J53" s="23"/>
      <c r="K53" s="23"/>
      <c r="L53" s="23"/>
      <c r="M53" s="23"/>
    </row>
    <row r="54" spans="1:13">
      <c r="A54" s="23"/>
      <c r="B54" s="25"/>
      <c r="C54" s="25"/>
      <c r="D54" s="179"/>
      <c r="E54" s="25"/>
      <c r="F54" s="25"/>
      <c r="G54" s="25"/>
      <c r="H54" s="25"/>
      <c r="I54" s="25"/>
      <c r="J54" s="23"/>
      <c r="K54" s="23"/>
      <c r="L54" s="23"/>
      <c r="M54" s="23"/>
    </row>
    <row r="55" spans="1:13">
      <c r="A55" s="23"/>
      <c r="B55" s="25"/>
      <c r="C55" s="25"/>
      <c r="D55" s="179"/>
      <c r="E55" s="25"/>
      <c r="F55" s="25"/>
      <c r="G55" s="25"/>
      <c r="H55" s="25"/>
      <c r="I55" s="25"/>
      <c r="J55" s="23"/>
      <c r="K55" s="23"/>
      <c r="L55" s="23"/>
      <c r="M55" s="23"/>
    </row>
    <row r="56" spans="1:13">
      <c r="A56" s="23"/>
      <c r="B56" s="25"/>
      <c r="C56" s="25"/>
      <c r="D56" s="179"/>
      <c r="E56" s="25"/>
      <c r="F56" s="25"/>
      <c r="G56" s="25"/>
      <c r="H56" s="25"/>
      <c r="I56" s="25"/>
      <c r="J56" s="23"/>
      <c r="K56" s="23"/>
      <c r="L56" s="23"/>
      <c r="M56" s="23"/>
    </row>
    <row r="57" spans="1:13">
      <c r="A57" s="23"/>
      <c r="B57" s="25"/>
      <c r="C57" s="25"/>
      <c r="D57" s="179"/>
      <c r="E57" s="25"/>
      <c r="F57" s="25"/>
      <c r="G57" s="25"/>
      <c r="H57" s="25"/>
      <c r="I57" s="25"/>
      <c r="J57" s="23"/>
      <c r="K57" s="23"/>
      <c r="L57" s="23"/>
      <c r="M57" s="23"/>
    </row>
    <row r="58" spans="1:13">
      <c r="A58" s="23"/>
      <c r="B58" s="25"/>
      <c r="C58" s="25"/>
      <c r="D58" s="179"/>
      <c r="E58" s="25"/>
      <c r="F58" s="25"/>
      <c r="G58" s="25"/>
      <c r="H58" s="25"/>
      <c r="I58" s="25"/>
      <c r="J58" s="23"/>
      <c r="K58" s="23"/>
      <c r="L58" s="23"/>
      <c r="M58" s="23"/>
    </row>
    <row r="59" spans="1:13">
      <c r="A59" s="23"/>
      <c r="B59" s="25"/>
      <c r="C59" s="25"/>
      <c r="D59" s="179"/>
      <c r="E59" s="25"/>
      <c r="F59" s="25"/>
      <c r="G59" s="25"/>
      <c r="H59" s="25"/>
      <c r="I59" s="25"/>
      <c r="J59" s="23"/>
      <c r="K59" s="23"/>
      <c r="L59" s="23"/>
      <c r="M59" s="23"/>
    </row>
    <row r="60" spans="1:13">
      <c r="A60" s="23"/>
      <c r="B60" s="25"/>
      <c r="C60" s="25"/>
      <c r="D60" s="179"/>
      <c r="E60" s="25"/>
      <c r="F60" s="25"/>
      <c r="G60" s="25"/>
      <c r="H60" s="25"/>
      <c r="I60" s="25"/>
      <c r="J60" s="23"/>
      <c r="K60" s="23"/>
      <c r="L60" s="23"/>
      <c r="M60" s="23"/>
    </row>
    <row r="61" spans="1:13">
      <c r="A61" s="23"/>
      <c r="B61" s="25"/>
      <c r="C61" s="25"/>
      <c r="D61" s="179"/>
      <c r="E61" s="25"/>
      <c r="F61" s="25"/>
      <c r="G61" s="25"/>
      <c r="H61" s="25"/>
      <c r="I61" s="25"/>
      <c r="J61" s="23"/>
      <c r="K61" s="23"/>
      <c r="L61" s="23"/>
      <c r="M61" s="23"/>
    </row>
    <row r="62" spans="1:13">
      <c r="A62" s="23"/>
      <c r="B62" s="25"/>
      <c r="C62" s="25"/>
      <c r="D62" s="179"/>
      <c r="E62" s="25"/>
      <c r="F62" s="25"/>
      <c r="G62" s="25"/>
      <c r="H62" s="25"/>
      <c r="I62" s="25"/>
      <c r="J62" s="23"/>
      <c r="K62" s="23"/>
      <c r="L62" s="23"/>
      <c r="M62" s="23"/>
    </row>
    <row r="63" spans="1:13">
      <c r="A63" s="23"/>
      <c r="B63" s="25"/>
      <c r="C63" s="25"/>
      <c r="D63" s="179"/>
      <c r="E63" s="25"/>
      <c r="F63" s="25"/>
      <c r="G63" s="25"/>
      <c r="H63" s="25"/>
      <c r="I63" s="25"/>
      <c r="J63" s="23"/>
      <c r="K63" s="23"/>
      <c r="L63" s="23"/>
      <c r="M63" s="23"/>
    </row>
    <row r="64" spans="1:13">
      <c r="A64" s="23"/>
      <c r="B64" s="25"/>
      <c r="C64" s="25"/>
      <c r="D64" s="179"/>
      <c r="E64" s="25"/>
      <c r="F64" s="25"/>
      <c r="G64" s="25"/>
      <c r="H64" s="25"/>
      <c r="I64" s="25"/>
      <c r="J64" s="23"/>
      <c r="K64" s="23"/>
      <c r="L64" s="23"/>
      <c r="M64" s="23"/>
    </row>
    <row r="65" spans="1:13">
      <c r="A65" s="23"/>
      <c r="B65" s="25"/>
      <c r="C65" s="25"/>
      <c r="D65" s="179"/>
      <c r="E65" s="25"/>
      <c r="F65" s="25"/>
      <c r="G65" s="25"/>
      <c r="H65" s="25"/>
      <c r="I65" s="25"/>
      <c r="J65" s="23"/>
      <c r="K65" s="23"/>
      <c r="L65" s="23"/>
      <c r="M65" s="23"/>
    </row>
    <row r="66" spans="1:13">
      <c r="A66" s="23"/>
      <c r="B66" s="25"/>
      <c r="C66" s="25"/>
      <c r="D66" s="179"/>
      <c r="E66" s="25"/>
      <c r="F66" s="25"/>
      <c r="G66" s="25"/>
      <c r="H66" s="25"/>
      <c r="I66" s="25"/>
      <c r="J66" s="23"/>
      <c r="K66" s="23"/>
      <c r="L66" s="23"/>
      <c r="M66" s="23"/>
    </row>
    <row r="67" spans="1:13">
      <c r="A67" s="23"/>
      <c r="B67" s="25"/>
      <c r="C67" s="25"/>
      <c r="D67" s="179"/>
      <c r="E67" s="25"/>
      <c r="F67" s="25"/>
      <c r="G67" s="25"/>
      <c r="H67" s="25"/>
      <c r="I67" s="25"/>
      <c r="J67" s="23"/>
      <c r="K67" s="23"/>
      <c r="L67" s="23"/>
      <c r="M67" s="23"/>
    </row>
    <row r="68" spans="1:13">
      <c r="A68" s="23"/>
      <c r="B68" s="25"/>
      <c r="C68" s="25"/>
      <c r="D68" s="179"/>
      <c r="E68" s="25"/>
      <c r="F68" s="25"/>
      <c r="G68" s="25"/>
      <c r="H68" s="25"/>
      <c r="I68" s="25"/>
      <c r="J68" s="23"/>
      <c r="K68" s="23"/>
      <c r="L68" s="23"/>
      <c r="M68" s="23"/>
    </row>
    <row r="69" spans="1:13">
      <c r="A69" s="23"/>
      <c r="B69" s="25"/>
      <c r="C69" s="25"/>
      <c r="D69" s="179"/>
      <c r="E69" s="25"/>
      <c r="F69" s="25"/>
      <c r="G69" s="25"/>
      <c r="H69" s="25"/>
      <c r="I69" s="25"/>
      <c r="J69" s="23"/>
      <c r="K69" s="23"/>
      <c r="L69" s="23"/>
      <c r="M69" s="23"/>
    </row>
    <row r="70" spans="1:13">
      <c r="A70" s="23"/>
      <c r="B70" s="25"/>
      <c r="C70" s="25"/>
      <c r="D70" s="179"/>
      <c r="E70" s="25"/>
      <c r="F70" s="25"/>
      <c r="G70" s="25"/>
      <c r="H70" s="25"/>
      <c r="I70" s="25"/>
      <c r="J70" s="23"/>
      <c r="K70" s="23"/>
      <c r="L70" s="23"/>
      <c r="M70" s="23"/>
    </row>
    <row r="71" spans="1:13">
      <c r="A71" s="23"/>
      <c r="B71" s="25"/>
      <c r="C71" s="25"/>
      <c r="D71" s="179"/>
      <c r="E71" s="25"/>
      <c r="F71" s="25"/>
      <c r="G71" s="25"/>
      <c r="H71" s="25"/>
      <c r="I71" s="25"/>
      <c r="J71" s="23"/>
      <c r="K71" s="23"/>
      <c r="L71" s="23"/>
      <c r="M71" s="23"/>
    </row>
    <row r="72" spans="1:13">
      <c r="B72" s="27"/>
      <c r="C72" s="27"/>
      <c r="D72" s="184"/>
      <c r="E72" s="27"/>
      <c r="F72" s="27"/>
      <c r="G72" s="27"/>
      <c r="H72" s="27"/>
      <c r="I72" s="27"/>
    </row>
    <row r="73" spans="1:13">
      <c r="B73" s="27"/>
      <c r="C73" s="27"/>
      <c r="D73" s="184"/>
      <c r="E73" s="27"/>
      <c r="F73" s="27"/>
      <c r="G73" s="27"/>
      <c r="H73" s="27"/>
      <c r="I73" s="27"/>
    </row>
    <row r="74" spans="1:13">
      <c r="B74" s="27"/>
      <c r="C74" s="27"/>
      <c r="D74" s="184"/>
      <c r="E74" s="27"/>
      <c r="F74" s="27"/>
      <c r="G74" s="27"/>
      <c r="H74" s="27"/>
      <c r="I74" s="27"/>
    </row>
    <row r="75" spans="1:13">
      <c r="B75" s="27"/>
      <c r="C75" s="27"/>
      <c r="D75" s="184"/>
      <c r="E75" s="27"/>
      <c r="F75" s="27"/>
      <c r="G75" s="27"/>
      <c r="H75" s="27"/>
      <c r="I75" s="27"/>
    </row>
    <row r="76" spans="1:13">
      <c r="B76" s="27"/>
      <c r="C76" s="27"/>
      <c r="D76" s="184"/>
      <c r="E76" s="27"/>
      <c r="F76" s="27"/>
      <c r="G76" s="27"/>
      <c r="H76" s="27"/>
      <c r="I76" s="27"/>
    </row>
    <row r="77" spans="1:13">
      <c r="B77" s="27"/>
      <c r="C77" s="27"/>
      <c r="D77" s="184"/>
      <c r="E77" s="27"/>
      <c r="F77" s="27"/>
      <c r="G77" s="27"/>
      <c r="H77" s="27"/>
      <c r="I77" s="27"/>
    </row>
    <row r="78" spans="1:13">
      <c r="B78" s="27"/>
      <c r="C78" s="27"/>
      <c r="D78" s="184"/>
      <c r="E78" s="27"/>
      <c r="F78" s="27"/>
      <c r="G78" s="27"/>
      <c r="H78" s="27"/>
      <c r="I78" s="27"/>
    </row>
    <row r="79" spans="1:13">
      <c r="B79" s="27"/>
      <c r="C79" s="27"/>
      <c r="D79" s="184"/>
      <c r="E79" s="27"/>
      <c r="F79" s="27"/>
      <c r="G79" s="27"/>
      <c r="H79" s="27"/>
      <c r="I79" s="27"/>
    </row>
    <row r="80" spans="1:13">
      <c r="B80" s="27"/>
      <c r="C80" s="27"/>
      <c r="D80" s="184"/>
      <c r="E80" s="27"/>
      <c r="F80" s="27"/>
      <c r="G80" s="27"/>
      <c r="H80" s="27"/>
      <c r="I80" s="27"/>
    </row>
    <row r="81" spans="2:9">
      <c r="B81" s="27"/>
      <c r="C81" s="27"/>
      <c r="D81" s="184"/>
      <c r="E81" s="27"/>
      <c r="F81" s="27"/>
      <c r="G81" s="27"/>
      <c r="H81" s="27"/>
      <c r="I81" s="27"/>
    </row>
    <row r="82" spans="2:9">
      <c r="B82" s="27"/>
      <c r="C82" s="27"/>
      <c r="D82" s="184"/>
      <c r="E82" s="27"/>
      <c r="F82" s="27"/>
      <c r="G82" s="27"/>
      <c r="H82" s="27"/>
      <c r="I82" s="27"/>
    </row>
    <row r="83" spans="2:9">
      <c r="B83" s="27"/>
      <c r="C83" s="27"/>
      <c r="D83" s="184"/>
      <c r="E83" s="27"/>
      <c r="F83" s="27"/>
      <c r="G83" s="27"/>
      <c r="H83" s="27"/>
      <c r="I83" s="27"/>
    </row>
    <row r="84" spans="2:9">
      <c r="B84" s="27"/>
      <c r="C84" s="27"/>
      <c r="D84" s="184"/>
      <c r="E84" s="27"/>
      <c r="F84" s="27"/>
      <c r="G84" s="27"/>
      <c r="H84" s="27"/>
      <c r="I84" s="27"/>
    </row>
    <row r="85" spans="2:9">
      <c r="B85" s="27"/>
      <c r="C85" s="27"/>
      <c r="D85" s="184"/>
      <c r="E85" s="27"/>
      <c r="F85" s="27"/>
      <c r="G85" s="27"/>
      <c r="H85" s="27"/>
      <c r="I85" s="27"/>
    </row>
    <row r="86" spans="2:9">
      <c r="B86" s="27"/>
      <c r="C86" s="27"/>
      <c r="D86" s="184"/>
      <c r="E86" s="27"/>
      <c r="F86" s="27"/>
      <c r="G86" s="27"/>
      <c r="H86" s="27"/>
      <c r="I86" s="27"/>
    </row>
    <row r="87" spans="2:9">
      <c r="B87" s="27"/>
      <c r="C87" s="27"/>
      <c r="D87" s="184"/>
      <c r="E87" s="27"/>
      <c r="F87" s="27"/>
      <c r="G87" s="27"/>
      <c r="H87" s="27"/>
      <c r="I87" s="27"/>
    </row>
    <row r="88" spans="2:9">
      <c r="B88" s="27"/>
      <c r="C88" s="27"/>
      <c r="D88" s="184"/>
      <c r="E88" s="27"/>
      <c r="F88" s="27"/>
      <c r="G88" s="27"/>
      <c r="H88" s="27"/>
      <c r="I88" s="27"/>
    </row>
    <row r="89" spans="2:9">
      <c r="B89" s="27"/>
      <c r="C89" s="27"/>
      <c r="D89" s="184"/>
      <c r="E89" s="27"/>
      <c r="F89" s="27"/>
      <c r="G89" s="27"/>
      <c r="H89" s="27"/>
      <c r="I89" s="27"/>
    </row>
    <row r="90" spans="2:9">
      <c r="B90" s="27"/>
      <c r="C90" s="27"/>
      <c r="D90" s="184"/>
      <c r="E90" s="27"/>
      <c r="F90" s="27"/>
      <c r="G90" s="27"/>
      <c r="H90" s="27"/>
      <c r="I90" s="27"/>
    </row>
    <row r="91" spans="2:9">
      <c r="B91" s="27"/>
      <c r="C91" s="27"/>
      <c r="D91" s="184"/>
      <c r="E91" s="27"/>
      <c r="F91" s="27"/>
      <c r="G91" s="27"/>
      <c r="H91" s="27"/>
      <c r="I91" s="27"/>
    </row>
    <row r="92" spans="2:9">
      <c r="B92" s="27"/>
      <c r="C92" s="27"/>
      <c r="D92" s="184"/>
      <c r="E92" s="27"/>
      <c r="F92" s="27"/>
      <c r="G92" s="27"/>
      <c r="H92" s="27"/>
      <c r="I92" s="27"/>
    </row>
    <row r="93" spans="2:9">
      <c r="B93" s="27"/>
      <c r="C93" s="27"/>
      <c r="D93" s="184"/>
      <c r="E93" s="27"/>
      <c r="F93" s="27"/>
      <c r="G93" s="27"/>
      <c r="H93" s="27"/>
      <c r="I93" s="27"/>
    </row>
    <row r="94" spans="2:9">
      <c r="B94" s="27"/>
      <c r="C94" s="27"/>
      <c r="D94" s="184"/>
      <c r="E94" s="27"/>
      <c r="F94" s="27"/>
      <c r="G94" s="27"/>
      <c r="H94" s="27"/>
      <c r="I94" s="27"/>
    </row>
    <row r="95" spans="2:9">
      <c r="B95" s="27"/>
      <c r="C95" s="27"/>
      <c r="D95" s="184"/>
      <c r="E95" s="27"/>
      <c r="F95" s="27"/>
      <c r="G95" s="27"/>
      <c r="H95" s="27"/>
      <c r="I95" s="27"/>
    </row>
    <row r="96" spans="2:9">
      <c r="B96" s="27"/>
      <c r="C96" s="27"/>
      <c r="D96" s="184"/>
      <c r="E96" s="27"/>
      <c r="F96" s="27"/>
      <c r="G96" s="27"/>
      <c r="H96" s="27"/>
      <c r="I96" s="27"/>
    </row>
    <row r="97" spans="2:9">
      <c r="B97" s="27"/>
      <c r="C97" s="27"/>
      <c r="D97" s="184"/>
      <c r="E97" s="27"/>
      <c r="F97" s="27"/>
      <c r="G97" s="27"/>
      <c r="H97" s="27"/>
      <c r="I97" s="27"/>
    </row>
    <row r="98" spans="2:9">
      <c r="B98" s="27"/>
      <c r="C98" s="27"/>
      <c r="D98" s="184"/>
      <c r="E98" s="27"/>
      <c r="F98" s="27"/>
      <c r="G98" s="27"/>
      <c r="H98" s="27"/>
      <c r="I98" s="27"/>
    </row>
    <row r="99" spans="2:9">
      <c r="B99" s="27"/>
      <c r="C99" s="27"/>
      <c r="D99" s="184"/>
      <c r="E99" s="27"/>
      <c r="F99" s="27"/>
      <c r="G99" s="27"/>
      <c r="H99" s="27"/>
      <c r="I99" s="27"/>
    </row>
    <row r="100" spans="2:9">
      <c r="B100" s="27"/>
      <c r="C100" s="27"/>
      <c r="D100" s="184"/>
      <c r="E100" s="27"/>
      <c r="F100" s="27"/>
      <c r="G100" s="27"/>
      <c r="H100" s="27"/>
      <c r="I100" s="27"/>
    </row>
    <row r="101" spans="2:9">
      <c r="B101" s="27"/>
      <c r="C101" s="27"/>
      <c r="D101" s="184"/>
      <c r="E101" s="27"/>
      <c r="F101" s="27"/>
      <c r="G101" s="27"/>
      <c r="H101" s="27"/>
      <c r="I101" s="27"/>
    </row>
    <row r="102" spans="2:9">
      <c r="B102" s="27"/>
      <c r="C102" s="27"/>
      <c r="D102" s="184"/>
      <c r="E102" s="27"/>
      <c r="F102" s="27"/>
      <c r="G102" s="27"/>
      <c r="H102" s="27"/>
      <c r="I102" s="27"/>
    </row>
    <row r="103" spans="2:9">
      <c r="B103" s="27"/>
      <c r="C103" s="27"/>
      <c r="D103" s="184"/>
      <c r="E103" s="27"/>
      <c r="F103" s="27"/>
      <c r="G103" s="27"/>
      <c r="H103" s="27"/>
      <c r="I103" s="27"/>
    </row>
    <row r="104" spans="2:9">
      <c r="B104" s="27"/>
      <c r="C104" s="27"/>
      <c r="D104" s="184"/>
      <c r="E104" s="27"/>
      <c r="F104" s="27"/>
      <c r="G104" s="27"/>
      <c r="H104" s="27"/>
      <c r="I104" s="27"/>
    </row>
    <row r="105" spans="2:9">
      <c r="B105" s="27"/>
      <c r="C105" s="27"/>
      <c r="D105" s="184"/>
      <c r="E105" s="27"/>
      <c r="F105" s="27"/>
      <c r="G105" s="27"/>
      <c r="H105" s="27"/>
      <c r="I105" s="27"/>
    </row>
    <row r="106" spans="2:9">
      <c r="B106" s="27"/>
      <c r="C106" s="27"/>
      <c r="D106" s="184"/>
      <c r="E106" s="27"/>
      <c r="F106" s="27"/>
      <c r="G106" s="27"/>
      <c r="H106" s="27"/>
      <c r="I106" s="27"/>
    </row>
  </sheetData>
  <sheetProtection password="CAF5" sheet="1" objects="1" scenarios="1"/>
  <mergeCells count="8">
    <mergeCell ref="B6:B9"/>
    <mergeCell ref="F6:F9"/>
    <mergeCell ref="H6:H9"/>
    <mergeCell ref="I6:I9"/>
    <mergeCell ref="C6:C8"/>
    <mergeCell ref="D6:D8"/>
    <mergeCell ref="E6:E8"/>
    <mergeCell ref="G6:G8"/>
  </mergeCells>
  <phoneticPr fontId="0" type="noConversion"/>
  <printOptions horizontalCentered="1"/>
  <pageMargins left="0.7" right="0.75" top="0.83" bottom="0.84" header="0.67" footer="0.5"/>
  <pageSetup scale="83" orientation="landscape" r:id="rId1"/>
  <headerFooter alignWithMargins="0">
    <oddFooter xml:space="preserve">&amp;L&amp;"Arial,Italic"&amp;9MSDE - LFRO 12 / 2014
&amp;C- 18 -&amp;R&amp;"Arial,Italic"&amp;9Selected Financial Data-Part 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99" zoomScaleNormal="99" workbookViewId="0">
      <selection sqref="A1:F1"/>
    </sheetView>
  </sheetViews>
  <sheetFormatPr defaultRowHeight="12.75"/>
  <cols>
    <col min="1" max="1" width="22" customWidth="1"/>
    <col min="2" max="2" width="20.85546875" customWidth="1"/>
    <col min="3" max="3" width="18.140625" customWidth="1"/>
    <col min="4" max="4" width="21" customWidth="1"/>
    <col min="5" max="5" width="21.5703125" style="83" customWidth="1"/>
    <col min="6" max="6" width="22.42578125" customWidth="1"/>
  </cols>
  <sheetData>
    <row r="1" spans="1:7">
      <c r="A1" s="469" t="s">
        <v>107</v>
      </c>
      <c r="B1" s="469"/>
      <c r="C1" s="469"/>
      <c r="D1" s="469"/>
      <c r="E1" s="469"/>
      <c r="F1" s="469"/>
    </row>
    <row r="2" spans="1:7" ht="13.5" customHeight="1">
      <c r="A2" s="39"/>
      <c r="E2" s="32"/>
    </row>
    <row r="3" spans="1:7">
      <c r="A3" s="461" t="s">
        <v>273</v>
      </c>
      <c r="B3" s="469"/>
      <c r="C3" s="469"/>
      <c r="D3" s="469"/>
      <c r="E3" s="469"/>
      <c r="F3" s="469"/>
    </row>
    <row r="4" spans="1:7" ht="13.5" thickBot="1">
      <c r="A4" s="3"/>
      <c r="B4" s="3"/>
      <c r="C4" s="3"/>
      <c r="D4" s="3"/>
      <c r="E4" s="23"/>
      <c r="F4" s="3"/>
    </row>
    <row r="5" spans="1:7" ht="15" customHeight="1" thickTop="1">
      <c r="A5" s="6"/>
      <c r="B5" s="62" t="s">
        <v>211</v>
      </c>
      <c r="C5" s="6"/>
      <c r="D5" s="6"/>
      <c r="E5" s="569" t="s">
        <v>283</v>
      </c>
      <c r="F5" s="132"/>
      <c r="G5" s="19"/>
    </row>
    <row r="6" spans="1:7">
      <c r="A6" s="3" t="s">
        <v>77</v>
      </c>
      <c r="B6" s="4" t="s">
        <v>114</v>
      </c>
      <c r="C6" s="4" t="s">
        <v>102</v>
      </c>
      <c r="D6" s="4" t="s">
        <v>99</v>
      </c>
      <c r="E6" s="570"/>
      <c r="F6" s="4" t="s">
        <v>99</v>
      </c>
      <c r="G6" s="19"/>
    </row>
    <row r="7" spans="1:7">
      <c r="A7" s="3" t="s">
        <v>33</v>
      </c>
      <c r="B7" s="4" t="s">
        <v>115</v>
      </c>
      <c r="C7" s="4" t="s">
        <v>103</v>
      </c>
      <c r="D7" s="4" t="s">
        <v>100</v>
      </c>
      <c r="E7" s="570"/>
      <c r="F7" s="4" t="s">
        <v>100</v>
      </c>
      <c r="G7" s="19"/>
    </row>
    <row r="8" spans="1:7" ht="13.5" thickBot="1">
      <c r="A8" s="7" t="s">
        <v>132</v>
      </c>
      <c r="B8" s="8" t="s">
        <v>101</v>
      </c>
      <c r="C8" s="8" t="s">
        <v>210</v>
      </c>
      <c r="D8" s="8" t="s">
        <v>104</v>
      </c>
      <c r="E8" s="571"/>
      <c r="F8" s="8" t="s">
        <v>105</v>
      </c>
      <c r="G8" s="19"/>
    </row>
    <row r="9" spans="1:7">
      <c r="A9" s="3" t="s">
        <v>0</v>
      </c>
      <c r="B9" s="279">
        <f>SUM(B11:B38)</f>
        <v>704670610</v>
      </c>
      <c r="C9" s="280">
        <f>SUM(C11:C38)</f>
        <v>842546.31819479051</v>
      </c>
      <c r="D9" s="16">
        <f>+B9*1000/C9</f>
        <v>836358.30432420853</v>
      </c>
      <c r="E9" s="56">
        <f>SUM(E11:E48)</f>
        <v>5828289</v>
      </c>
      <c r="F9" s="46">
        <f>+B9*1000/E9</f>
        <v>120905.22793224565</v>
      </c>
    </row>
    <row r="10" spans="1:7">
      <c r="A10" s="3"/>
      <c r="B10" s="2"/>
      <c r="C10" s="5"/>
      <c r="D10" s="3"/>
      <c r="E10" s="57"/>
      <c r="F10" s="2"/>
    </row>
    <row r="11" spans="1:7">
      <c r="A11" s="3" t="s">
        <v>1</v>
      </c>
      <c r="B11" s="111">
        <v>4014571</v>
      </c>
      <c r="C11" s="439">
        <v>8639.9</v>
      </c>
      <c r="D11" s="2">
        <f>+B11*1000/C11</f>
        <v>464654.79924536165</v>
      </c>
      <c r="E11" s="372">
        <v>74692</v>
      </c>
      <c r="F11" s="15">
        <f>+B11*1000/E11</f>
        <v>53748.339848979813</v>
      </c>
    </row>
    <row r="12" spans="1:7">
      <c r="A12" s="3" t="s">
        <v>2</v>
      </c>
      <c r="B12" s="111">
        <v>79589954</v>
      </c>
      <c r="C12" s="439">
        <v>75630.527145302331</v>
      </c>
      <c r="D12" s="2">
        <f>+B12*1000/C12</f>
        <v>1052352.2313561398</v>
      </c>
      <c r="E12" s="372">
        <v>544403</v>
      </c>
      <c r="F12" s="15">
        <f>+B12*1000/E12</f>
        <v>146196.75865121977</v>
      </c>
    </row>
    <row r="13" spans="1:7">
      <c r="A13" s="3" t="s">
        <v>3</v>
      </c>
      <c r="B13" s="111">
        <v>37515837</v>
      </c>
      <c r="C13" s="439">
        <v>83540.353905999989</v>
      </c>
      <c r="D13" s="2">
        <f>+B13*1000/C13</f>
        <v>449074.43224639678</v>
      </c>
      <c r="E13" s="30">
        <v>619493</v>
      </c>
      <c r="F13" s="15">
        <f>+B13*1000/E13</f>
        <v>60558.936097744445</v>
      </c>
    </row>
    <row r="14" spans="1:7">
      <c r="A14" s="3" t="s">
        <v>4</v>
      </c>
      <c r="B14" s="111">
        <v>84302273</v>
      </c>
      <c r="C14" s="439">
        <v>103502.53896400001</v>
      </c>
      <c r="D14" s="2">
        <f>+B14*1000/C14</f>
        <v>814494.73456222948</v>
      </c>
      <c r="E14" s="30">
        <v>809941</v>
      </c>
      <c r="F14" s="15">
        <f>+B14*1000/E14</f>
        <v>104084.46170770464</v>
      </c>
    </row>
    <row r="15" spans="1:7">
      <c r="A15" s="3" t="s">
        <v>5</v>
      </c>
      <c r="B15" s="111">
        <v>13333624</v>
      </c>
      <c r="C15" s="439">
        <v>16326.732468</v>
      </c>
      <c r="D15" s="2">
        <f>+B15*1000/C15</f>
        <v>816674.37291163928</v>
      </c>
      <c r="E15" s="372">
        <v>89256</v>
      </c>
      <c r="F15" s="15">
        <f>+B15*1000/E15</f>
        <v>149386.3045621583</v>
      </c>
    </row>
    <row r="16" spans="1:7">
      <c r="A16" s="3"/>
      <c r="B16" s="111"/>
      <c r="C16" s="439"/>
      <c r="D16" s="2"/>
      <c r="E16" s="111"/>
      <c r="F16" s="15"/>
    </row>
    <row r="17" spans="1:6">
      <c r="A17" s="3" t="s">
        <v>6</v>
      </c>
      <c r="B17" s="111">
        <v>2949842</v>
      </c>
      <c r="C17" s="439">
        <v>5331.8</v>
      </c>
      <c r="D17" s="2">
        <f>+B17*1000/C17</f>
        <v>553254.43565024948</v>
      </c>
      <c r="E17" s="372">
        <v>32985</v>
      </c>
      <c r="F17" s="15">
        <f>+B17*1000/E17</f>
        <v>89429.801424890102</v>
      </c>
    </row>
    <row r="18" spans="1:6">
      <c r="A18" s="3" t="s">
        <v>7</v>
      </c>
      <c r="B18" s="111">
        <v>19678687</v>
      </c>
      <c r="C18" s="439">
        <v>26890.172078</v>
      </c>
      <c r="D18" s="2">
        <f>+B18*1000/C18</f>
        <v>731817.07215997984</v>
      </c>
      <c r="E18" s="372">
        <v>167288</v>
      </c>
      <c r="F18" s="15">
        <f>+B18*1000/E18</f>
        <v>117633.58399885228</v>
      </c>
    </row>
    <row r="19" spans="1:6">
      <c r="A19" s="3" t="s">
        <v>8</v>
      </c>
      <c r="B19" s="111">
        <v>10558891</v>
      </c>
      <c r="C19" s="439">
        <v>15456.803535353536</v>
      </c>
      <c r="D19" s="2">
        <f>+B19*1000/C19</f>
        <v>683122.54702915787</v>
      </c>
      <c r="E19" s="372">
        <v>101694</v>
      </c>
      <c r="F19" s="15">
        <f>+B19*1000/E19</f>
        <v>103830.02930359707</v>
      </c>
    </row>
    <row r="20" spans="1:6">
      <c r="A20" s="3" t="s">
        <v>9</v>
      </c>
      <c r="B20" s="111">
        <v>17521348</v>
      </c>
      <c r="C20" s="439">
        <v>26384.644156000002</v>
      </c>
      <c r="D20" s="2">
        <f>+B20*1000/C20</f>
        <v>664073.68984794733</v>
      </c>
      <c r="E20" s="372">
        <v>149130</v>
      </c>
      <c r="F20" s="15">
        <f>+B20*1000/E20</f>
        <v>117490.43116743781</v>
      </c>
    </row>
    <row r="21" spans="1:6">
      <c r="A21" s="3" t="s">
        <v>10</v>
      </c>
      <c r="B21" s="111">
        <v>3229486</v>
      </c>
      <c r="C21" s="439">
        <v>4495.5</v>
      </c>
      <c r="D21" s="2">
        <f>+B21*1000/C21</f>
        <v>718381.93749304861</v>
      </c>
      <c r="E21" s="372">
        <v>32640</v>
      </c>
      <c r="F21" s="15">
        <f>+B21*1000/E21</f>
        <v>98942.58578431372</v>
      </c>
    </row>
    <row r="22" spans="1:6">
      <c r="A22" s="3"/>
      <c r="B22" s="72"/>
      <c r="C22" s="439"/>
      <c r="D22" s="2"/>
      <c r="E22" s="23"/>
      <c r="F22" s="15"/>
    </row>
    <row r="23" spans="1:6">
      <c r="A23" s="3" t="s">
        <v>11</v>
      </c>
      <c r="B23" s="111">
        <v>27154307</v>
      </c>
      <c r="C23" s="439">
        <v>40283.122078</v>
      </c>
      <c r="D23" s="2">
        <f>+B23*1000/C23</f>
        <v>674086.45604531979</v>
      </c>
      <c r="E23" s="372">
        <v>236745</v>
      </c>
      <c r="F23" s="15">
        <f>+B23*1000/E23</f>
        <v>114698.54484783206</v>
      </c>
    </row>
    <row r="24" spans="1:6">
      <c r="A24" s="3" t="s">
        <v>12</v>
      </c>
      <c r="B24" s="111">
        <v>4978214</v>
      </c>
      <c r="C24" s="439">
        <v>3777.5</v>
      </c>
      <c r="D24" s="2">
        <f>+B24*1000/C24</f>
        <v>1317859.430840503</v>
      </c>
      <c r="E24" s="372">
        <v>30051</v>
      </c>
      <c r="F24" s="15">
        <f>+B24*1000/E24</f>
        <v>165658.84662740008</v>
      </c>
    </row>
    <row r="25" spans="1:6">
      <c r="A25" s="3" t="s">
        <v>13</v>
      </c>
      <c r="B25" s="111">
        <v>27471469</v>
      </c>
      <c r="C25" s="439">
        <v>37523.766233999995</v>
      </c>
      <c r="D25" s="2">
        <f>+B25*1000/C25</f>
        <v>732108.52100203931</v>
      </c>
      <c r="E25" s="372">
        <v>246489</v>
      </c>
      <c r="F25" s="15">
        <f>+B25*1000/E25</f>
        <v>111451.09518071801</v>
      </c>
    </row>
    <row r="26" spans="1:6">
      <c r="A26" s="3" t="s">
        <v>14</v>
      </c>
      <c r="B26" s="111">
        <v>44986079</v>
      </c>
      <c r="C26" s="439">
        <v>51157.488963999996</v>
      </c>
      <c r="D26" s="2">
        <f>+B26*1000/C26</f>
        <v>879364.48623694421</v>
      </c>
      <c r="E26" s="372">
        <v>293142</v>
      </c>
      <c r="F26" s="15">
        <f>+B26*1000/E26</f>
        <v>153461.73185691575</v>
      </c>
    </row>
    <row r="27" spans="1:6">
      <c r="A27" s="3" t="s">
        <v>15</v>
      </c>
      <c r="B27" s="111">
        <v>3154783</v>
      </c>
      <c r="C27" s="439">
        <v>2121.0245370163934</v>
      </c>
      <c r="D27" s="2">
        <f>+B27*1000/C27</f>
        <v>1487386.376226357</v>
      </c>
      <c r="E27" s="372">
        <v>20204</v>
      </c>
      <c r="F27" s="15">
        <f>+B27*1000/E27</f>
        <v>156146.45614729758</v>
      </c>
    </row>
    <row r="28" spans="1:6">
      <c r="A28" s="3"/>
      <c r="B28" s="72"/>
      <c r="C28" s="439"/>
      <c r="D28" s="2"/>
      <c r="E28" s="23"/>
      <c r="F28" s="15"/>
    </row>
    <row r="29" spans="1:6">
      <c r="A29" s="3" t="s">
        <v>16</v>
      </c>
      <c r="B29" s="111">
        <v>167750575</v>
      </c>
      <c r="C29" s="439">
        <v>145336.25397232533</v>
      </c>
      <c r="D29" s="2">
        <f>+B29*1000/C29</f>
        <v>1154223.8802435542</v>
      </c>
      <c r="E29" s="372">
        <v>989794</v>
      </c>
      <c r="F29" s="15">
        <f>+B29*1000/E29</f>
        <v>169480.29084839876</v>
      </c>
    </row>
    <row r="30" spans="1:6">
      <c r="A30" s="3" t="s">
        <v>17</v>
      </c>
      <c r="B30" s="111">
        <v>86036875</v>
      </c>
      <c r="C30" s="439">
        <v>121659.43370957053</v>
      </c>
      <c r="D30" s="2">
        <f>+B30*1000/C30</f>
        <v>707194.43923592567</v>
      </c>
      <c r="E30" s="372">
        <v>871233</v>
      </c>
      <c r="F30" s="15">
        <f>+B30*1000/E30</f>
        <v>98753.00292803417</v>
      </c>
    </row>
    <row r="31" spans="1:6">
      <c r="A31" s="3" t="s">
        <v>18</v>
      </c>
      <c r="B31" s="111">
        <v>8543876</v>
      </c>
      <c r="C31" s="439">
        <v>7621.272078</v>
      </c>
      <c r="D31" s="2">
        <f>+B31*1000/C31</f>
        <v>1121056.4211010444</v>
      </c>
      <c r="E31" s="372">
        <v>48354</v>
      </c>
      <c r="F31" s="15">
        <f>+B31*1000/E31</f>
        <v>176694.29623195599</v>
      </c>
    </row>
    <row r="32" spans="1:6">
      <c r="A32" s="3" t="s">
        <v>19</v>
      </c>
      <c r="B32" s="111">
        <v>12567335</v>
      </c>
      <c r="C32" s="439">
        <v>17023.744156000001</v>
      </c>
      <c r="D32" s="2">
        <f>+B32*1000/C32</f>
        <v>738223.91154596012</v>
      </c>
      <c r="E32" s="372">
        <v>107484</v>
      </c>
      <c r="F32" s="15">
        <f>+B32*1000/E32</f>
        <v>116922.84433031893</v>
      </c>
    </row>
    <row r="33" spans="1:6">
      <c r="A33" s="3" t="s">
        <v>20</v>
      </c>
      <c r="B33" s="111">
        <v>1686855</v>
      </c>
      <c r="C33" s="439">
        <v>2777.1720780000001</v>
      </c>
      <c r="D33" s="2">
        <f>+B33*1000/C33</f>
        <v>607400.24478958477</v>
      </c>
      <c r="E33" s="372">
        <v>26339</v>
      </c>
      <c r="F33" s="15">
        <f>+B33*1000/E33</f>
        <v>64044.00318918714</v>
      </c>
    </row>
    <row r="34" spans="1:6">
      <c r="A34" s="3"/>
      <c r="B34" s="111"/>
      <c r="C34" s="439"/>
      <c r="D34" s="2"/>
      <c r="E34" s="23"/>
      <c r="F34" s="15"/>
    </row>
    <row r="35" spans="1:6">
      <c r="A35" s="3" t="s">
        <v>21</v>
      </c>
      <c r="B35" s="111">
        <v>9730598</v>
      </c>
      <c r="C35" s="439">
        <v>4402.8</v>
      </c>
      <c r="D35" s="2">
        <f>+B35*1000/C35</f>
        <v>2210093.1225583716</v>
      </c>
      <c r="E35" s="25">
        <v>38025</v>
      </c>
      <c r="F35" s="15">
        <f>+B35*1000/E35</f>
        <v>255900.01314924392</v>
      </c>
    </row>
    <row r="36" spans="1:6">
      <c r="A36" s="3" t="s">
        <v>22</v>
      </c>
      <c r="B36" s="111">
        <v>13266687</v>
      </c>
      <c r="C36" s="439">
        <v>22031.121356350515</v>
      </c>
      <c r="D36" s="2">
        <f>+B36*1000/C36</f>
        <v>602179.38004212617</v>
      </c>
      <c r="E36" s="25">
        <v>148203</v>
      </c>
      <c r="F36" s="15">
        <f>+B36*1000/E36</f>
        <v>89516.993583125848</v>
      </c>
    </row>
    <row r="37" spans="1:6">
      <c r="A37" s="3" t="s">
        <v>23</v>
      </c>
      <c r="B37" s="111">
        <v>7116997</v>
      </c>
      <c r="C37" s="439">
        <v>14189.44600766361</v>
      </c>
      <c r="D37" s="2">
        <f>+B37*1000/C37</f>
        <v>501569.75798464334</v>
      </c>
      <c r="E37" s="25">
        <v>99190</v>
      </c>
      <c r="F37" s="15">
        <f>+B37*1000/E37</f>
        <v>71751.154350236917</v>
      </c>
    </row>
    <row r="38" spans="1:6" ht="13.5" thickBot="1">
      <c r="A38" s="7" t="s">
        <v>24</v>
      </c>
      <c r="B38" s="370">
        <v>17531447</v>
      </c>
      <c r="C38" s="440">
        <v>6443.2007712082268</v>
      </c>
      <c r="D38" s="78">
        <f>+B38*1000/C38</f>
        <v>2720922.0420912802</v>
      </c>
      <c r="E38" s="373">
        <v>51514</v>
      </c>
      <c r="F38" s="79">
        <f>+B38*1000/E38</f>
        <v>340323.93135846563</v>
      </c>
    </row>
    <row r="39" spans="1:6">
      <c r="A39" s="3"/>
      <c r="B39" s="111"/>
      <c r="C39" s="123"/>
      <c r="D39" s="2"/>
      <c r="E39" s="30"/>
      <c r="F39" s="15"/>
    </row>
    <row r="40" spans="1:6">
      <c r="A40" s="148" t="s">
        <v>282</v>
      </c>
      <c r="B40" s="2"/>
      <c r="C40" s="2"/>
      <c r="D40" s="2"/>
      <c r="E40" s="120"/>
      <c r="F40" s="15"/>
    </row>
    <row r="41" spans="1:6">
      <c r="A41" s="333" t="s">
        <v>281</v>
      </c>
    </row>
    <row r="42" spans="1:6">
      <c r="A42" s="333" t="s">
        <v>258</v>
      </c>
      <c r="B42" s="369" t="s">
        <v>279</v>
      </c>
    </row>
    <row r="44" spans="1:6">
      <c r="A44" s="32" t="s">
        <v>259</v>
      </c>
    </row>
    <row r="45" spans="1:6">
      <c r="A45" s="32"/>
    </row>
    <row r="46" spans="1:6">
      <c r="A46" s="371" t="s">
        <v>285</v>
      </c>
    </row>
    <row r="47" spans="1:6">
      <c r="A47" s="77" t="s">
        <v>286</v>
      </c>
    </row>
    <row r="48" spans="1:6">
      <c r="A48" s="77" t="s">
        <v>260</v>
      </c>
      <c r="B48" s="334" t="s">
        <v>280</v>
      </c>
      <c r="C48" t="s">
        <v>284</v>
      </c>
    </row>
    <row r="49" spans="4:5" ht="20.25" customHeight="1">
      <c r="D49" s="38"/>
      <c r="E49"/>
    </row>
    <row r="50" spans="4:5">
      <c r="D50" s="38"/>
      <c r="E50"/>
    </row>
    <row r="51" spans="4:5">
      <c r="D51" s="38"/>
      <c r="E51"/>
    </row>
    <row r="52" spans="4:5">
      <c r="D52" s="38"/>
      <c r="E52"/>
    </row>
    <row r="53" spans="4:5">
      <c r="D53" s="38"/>
      <c r="E53"/>
    </row>
    <row r="54" spans="4:5">
      <c r="D54" s="38"/>
      <c r="E54"/>
    </row>
    <row r="55" spans="4:5">
      <c r="D55" s="38"/>
      <c r="E55"/>
    </row>
    <row r="56" spans="4:5">
      <c r="D56" s="38"/>
      <c r="E56"/>
    </row>
    <row r="57" spans="4:5">
      <c r="D57" s="38"/>
      <c r="E57"/>
    </row>
    <row r="58" spans="4:5">
      <c r="D58" s="38"/>
      <c r="E58"/>
    </row>
    <row r="59" spans="4:5">
      <c r="D59" s="38"/>
      <c r="E59"/>
    </row>
    <row r="60" spans="4:5">
      <c r="D60" s="38"/>
      <c r="E60"/>
    </row>
    <row r="61" spans="4:5">
      <c r="D61" s="38"/>
      <c r="E61"/>
    </row>
    <row r="62" spans="4:5">
      <c r="D62" s="38"/>
      <c r="E62"/>
    </row>
    <row r="63" spans="4:5">
      <c r="D63" s="38"/>
      <c r="E63"/>
    </row>
    <row r="64" spans="4:5">
      <c r="D64" s="38"/>
      <c r="E64"/>
    </row>
    <row r="65" spans="4:5">
      <c r="D65" s="38"/>
      <c r="E65"/>
    </row>
    <row r="66" spans="4:5">
      <c r="D66" s="38"/>
      <c r="E66"/>
    </row>
    <row r="67" spans="4:5">
      <c r="D67" s="38"/>
      <c r="E67"/>
    </row>
    <row r="68" spans="4:5">
      <c r="D68" s="38"/>
      <c r="E68"/>
    </row>
    <row r="69" spans="4:5">
      <c r="D69" s="38"/>
      <c r="E69"/>
    </row>
    <row r="70" spans="4:5">
      <c r="D70" s="38"/>
      <c r="E70"/>
    </row>
    <row r="71" spans="4:5">
      <c r="D71" s="38"/>
      <c r="E71"/>
    </row>
    <row r="72" spans="4:5">
      <c r="D72" s="38"/>
      <c r="E72"/>
    </row>
    <row r="73" spans="4:5">
      <c r="D73" s="38"/>
      <c r="E73"/>
    </row>
    <row r="74" spans="4:5">
      <c r="D74" s="38"/>
      <c r="E74"/>
    </row>
    <row r="75" spans="4:5">
      <c r="D75" s="38"/>
      <c r="E75"/>
    </row>
  </sheetData>
  <sheetProtection password="CAF5" sheet="1" objects="1" scenarios="1"/>
  <mergeCells count="3">
    <mergeCell ref="A1:F1"/>
    <mergeCell ref="A3:F3"/>
    <mergeCell ref="E5:E8"/>
  </mergeCells>
  <phoneticPr fontId="0" type="noConversion"/>
  <hyperlinks>
    <hyperlink ref="B42" r:id="rId1"/>
    <hyperlink ref="B48" r:id="rId2"/>
  </hyperlinks>
  <printOptions horizontalCentered="1"/>
  <pageMargins left="0.75" right="0.75" top="0.83" bottom="1" header="0.67" footer="0.5"/>
  <pageSetup scale="82" orientation="landscape" r:id="rId3"/>
  <headerFooter alignWithMargins="0">
    <oddHeader xml:space="preserve">&amp;R
</oddHeader>
    <oddFooter>&amp;L&amp;"Arial,Italic"&amp;9MSDE - LFRO  12 / 2014&amp;C- 19 -&amp;R&amp;"Arial,Italic"&amp;9Selected Financial Data-Part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Normal="100" workbookViewId="0">
      <selection sqref="A1:L1"/>
    </sheetView>
  </sheetViews>
  <sheetFormatPr defaultRowHeight="12.75"/>
  <cols>
    <col min="1" max="1" width="14.140625" style="86" customWidth="1"/>
    <col min="2" max="2" width="16.7109375" style="86" customWidth="1"/>
    <col min="3" max="3" width="17.7109375" style="86" bestFit="1" customWidth="1"/>
    <col min="4" max="4" width="16.28515625" style="86" customWidth="1"/>
    <col min="5" max="5" width="17.7109375" style="86" bestFit="1" customWidth="1"/>
    <col min="6" max="6" width="14.85546875" style="86" bestFit="1" customWidth="1"/>
    <col min="7" max="7" width="13.28515625" style="86" customWidth="1"/>
    <col min="8" max="8" width="2.7109375" style="86" customWidth="1"/>
    <col min="9" max="12" width="9.140625" style="86"/>
    <col min="13" max="13" width="9.140625" style="55"/>
    <col min="14" max="14" width="16" style="54" bestFit="1" customWidth="1"/>
    <col min="15" max="15" width="15" style="55" bestFit="1" customWidth="1"/>
    <col min="16" max="16" width="14" style="55" bestFit="1" customWidth="1"/>
    <col min="17" max="17" width="16" style="55" bestFit="1" customWidth="1"/>
    <col min="18" max="16384" width="9.140625" style="55"/>
  </cols>
  <sheetData>
    <row r="1" spans="1:59">
      <c r="A1" s="466" t="s">
        <v>86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59">
      <c r="A2" s="77"/>
      <c r="B2" s="77"/>
      <c r="C2" s="181"/>
      <c r="D2" s="82"/>
      <c r="E2" s="77"/>
      <c r="F2" s="77"/>
      <c r="G2" s="77"/>
      <c r="H2" s="77"/>
      <c r="I2" s="77"/>
      <c r="J2" s="77"/>
      <c r="K2" s="77"/>
      <c r="L2" s="77"/>
    </row>
    <row r="3" spans="1:59" s="81" customFormat="1">
      <c r="A3" s="466" t="s">
        <v>262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N3" s="64"/>
    </row>
    <row r="4" spans="1:59">
      <c r="A4" s="468" t="s">
        <v>142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</row>
    <row r="5" spans="1:59" ht="13.5" thickBot="1">
      <c r="I5" s="404"/>
    </row>
    <row r="6" spans="1:59" ht="15" customHeight="1" thickTop="1">
      <c r="A6" s="405" t="s">
        <v>77</v>
      </c>
      <c r="B6" s="406" t="s">
        <v>43</v>
      </c>
      <c r="C6" s="464" t="s">
        <v>80</v>
      </c>
      <c r="D6" s="464"/>
      <c r="E6" s="465"/>
      <c r="F6" s="465"/>
      <c r="G6" s="405"/>
      <c r="H6" s="405"/>
      <c r="I6" s="464" t="s">
        <v>82</v>
      </c>
      <c r="J6" s="464"/>
      <c r="K6" s="464"/>
      <c r="L6" s="464"/>
      <c r="M6" s="407"/>
      <c r="N6" s="408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</row>
    <row r="7" spans="1:59">
      <c r="A7" s="409" t="s">
        <v>33</v>
      </c>
      <c r="B7" s="410" t="s">
        <v>83</v>
      </c>
      <c r="C7" s="463" t="s">
        <v>77</v>
      </c>
      <c r="D7" s="463"/>
      <c r="E7" s="411"/>
      <c r="F7" s="411"/>
      <c r="G7" s="410" t="s">
        <v>79</v>
      </c>
      <c r="H7" s="410"/>
      <c r="I7" s="412"/>
      <c r="J7" s="412"/>
      <c r="K7" s="412"/>
      <c r="L7" s="412" t="s">
        <v>79</v>
      </c>
    </row>
    <row r="8" spans="1:59" ht="13.5" thickBot="1">
      <c r="A8" s="413" t="s">
        <v>132</v>
      </c>
      <c r="B8" s="414" t="s">
        <v>84</v>
      </c>
      <c r="C8" s="415" t="s">
        <v>194</v>
      </c>
      <c r="D8" s="415" t="s">
        <v>196</v>
      </c>
      <c r="E8" s="415" t="s">
        <v>44</v>
      </c>
      <c r="F8" s="415" t="s">
        <v>51</v>
      </c>
      <c r="G8" s="415" t="s">
        <v>81</v>
      </c>
      <c r="H8" s="415"/>
      <c r="I8" s="414" t="s">
        <v>77</v>
      </c>
      <c r="J8" s="414" t="s">
        <v>44</v>
      </c>
      <c r="K8" s="416" t="s">
        <v>51</v>
      </c>
      <c r="L8" s="415" t="s">
        <v>81</v>
      </c>
    </row>
    <row r="9" spans="1:59">
      <c r="A9" s="409" t="s">
        <v>0</v>
      </c>
      <c r="B9" s="417">
        <f t="shared" ref="B9:G9" si="0">SUM(B11:B38)</f>
        <v>12028910590.230001</v>
      </c>
      <c r="C9" s="418">
        <f t="shared" si="0"/>
        <v>5291722184.1499996</v>
      </c>
      <c r="D9" s="417">
        <f t="shared" si="0"/>
        <v>117950202.51000001</v>
      </c>
      <c r="E9" s="431">
        <f t="shared" si="0"/>
        <v>5737465242.2700005</v>
      </c>
      <c r="F9" s="418">
        <f t="shared" si="0"/>
        <v>846154753.78999984</v>
      </c>
      <c r="G9" s="417">
        <f t="shared" si="0"/>
        <v>35618207.50999999</v>
      </c>
      <c r="H9" s="417"/>
      <c r="I9" s="419">
        <f>IF(B9&lt;&gt;0,((+C9+D9)/B9),(IF(C9&lt;&gt;0,1,0)))</f>
        <v>0.44972255351650786</v>
      </c>
      <c r="J9" s="419">
        <f>IF($B9&lt;&gt;0,(E9/$B9),(IF(E9&lt;&gt;0,1,0)))</f>
        <v>0.47697297267551608</v>
      </c>
      <c r="K9" s="419">
        <f>IF($B9&lt;&gt;0,(F9/$B9),(IF(F9&lt;&gt;0,1,0)))</f>
        <v>7.0343423657771215E-2</v>
      </c>
      <c r="L9" s="419">
        <f>IF($B9&lt;&gt;0,(G9/$B9),(IF(G9&lt;&gt;0,1,0)))</f>
        <v>2.9610501502047447E-3</v>
      </c>
      <c r="N9" s="420"/>
      <c r="O9" s="420"/>
      <c r="P9" s="420"/>
      <c r="Q9" s="420"/>
    </row>
    <row r="10" spans="1:59">
      <c r="A10" s="409"/>
      <c r="B10" s="421"/>
      <c r="C10" s="428"/>
      <c r="D10" s="422"/>
      <c r="E10" s="124"/>
      <c r="F10" s="412"/>
      <c r="G10" s="412"/>
      <c r="H10" s="412"/>
      <c r="I10" s="85"/>
      <c r="J10" s="85"/>
      <c r="K10" s="85"/>
      <c r="L10" s="85"/>
      <c r="N10" s="65"/>
    </row>
    <row r="11" spans="1:59">
      <c r="A11" s="86" t="s">
        <v>1</v>
      </c>
      <c r="B11" s="87">
        <f t="shared" ref="B11:B38" si="1">SUM(C11:G11)</f>
        <v>129768772.46999998</v>
      </c>
      <c r="C11" s="322">
        <v>28256000</v>
      </c>
      <c r="D11" s="322">
        <v>545513.55000000005</v>
      </c>
      <c r="E11" s="322">
        <f>state1!C12</f>
        <v>87570581.589999989</v>
      </c>
      <c r="F11" s="375">
        <f>'fed1'!B12-'table 6'!I12</f>
        <v>13258911.33</v>
      </c>
      <c r="G11" s="322">
        <v>137766</v>
      </c>
      <c r="H11" s="257"/>
      <c r="I11" s="423">
        <f>IF(B11&lt;&gt;0,((+C11+D11)/B11*100),(IF(C11&lt;&gt;0,1,0)))</f>
        <v>22.19448716497519</v>
      </c>
      <c r="J11" s="423">
        <f>IF($B11&lt;&gt;0,(E11/$B11*100),(IF(E11&lt;&gt;0,1,0)))</f>
        <v>67.48201429603921</v>
      </c>
      <c r="K11" s="89">
        <f t="shared" ref="K11:L26" si="2">IF($B11&lt;&gt;0,(F11/$B11*100),(IF(F11&lt;&gt;0,1,0)))</f>
        <v>10.217335864115693</v>
      </c>
      <c r="L11" s="89">
        <f t="shared" si="2"/>
        <v>0.10616267486991049</v>
      </c>
      <c r="M11" s="67"/>
      <c r="N11" s="66"/>
      <c r="Q11" s="67"/>
    </row>
    <row r="12" spans="1:59">
      <c r="A12" s="86" t="s">
        <v>2</v>
      </c>
      <c r="B12" s="87">
        <f t="shared" si="1"/>
        <v>985944496.14999998</v>
      </c>
      <c r="C12" s="322">
        <v>556105600</v>
      </c>
      <c r="D12" s="323">
        <v>2719006.86</v>
      </c>
      <c r="E12" s="322">
        <f>state1!C13</f>
        <v>371878056.69</v>
      </c>
      <c r="F12" s="375">
        <f>'fed1'!B13-'table 6'!I13</f>
        <v>54800041.600000009</v>
      </c>
      <c r="G12" s="322">
        <v>441791</v>
      </c>
      <c r="H12" s="241"/>
      <c r="I12" s="423">
        <f>IF(B12&lt;&gt;0,((+C12+D12)/B12*100),(IF(C12&lt;&gt;0,1,0)))</f>
        <v>56.679114193765059</v>
      </c>
      <c r="J12" s="423">
        <f>IF($B12&lt;&gt;0,(E12/$B12*100),(IF(E12&lt;&gt;0,1,0)))</f>
        <v>37.717950467003071</v>
      </c>
      <c r="K12" s="89">
        <f t="shared" si="2"/>
        <v>5.5581264273990962</v>
      </c>
      <c r="L12" s="89">
        <f t="shared" si="2"/>
        <v>4.4808911832779949E-2</v>
      </c>
      <c r="N12" s="66"/>
      <c r="Q12" s="67"/>
    </row>
    <row r="13" spans="1:59">
      <c r="A13" s="86" t="s">
        <v>3</v>
      </c>
      <c r="B13" s="87">
        <f t="shared" si="1"/>
        <v>1405822676.5400002</v>
      </c>
      <c r="C13" s="322">
        <f>249256685.9-11303923.92</f>
        <v>237952761.98000002</v>
      </c>
      <c r="D13" s="322">
        <v>15736884.210000001</v>
      </c>
      <c r="E13" s="322">
        <f>state1!C14</f>
        <v>948134137.42000008</v>
      </c>
      <c r="F13" s="375">
        <f>'fed1'!B14-'table 6'!I14</f>
        <v>203998892.92999998</v>
      </c>
      <c r="G13" s="322">
        <v>0</v>
      </c>
      <c r="H13" s="241"/>
      <c r="I13" s="423">
        <f>IF(B13&lt;&gt;0,((+C13+D13)/B13*100),(IF(C13&lt;&gt;0,1,0)))</f>
        <v>18.045636225927087</v>
      </c>
      <c r="J13" s="423">
        <f>IF($B13&lt;&gt;0,(E13/$B13*100),(IF(E13&lt;&gt;0,1,0)))</f>
        <v>67.443366310859375</v>
      </c>
      <c r="K13" s="89">
        <f t="shared" si="2"/>
        <v>14.510997463213529</v>
      </c>
      <c r="L13" s="89">
        <f t="shared" si="2"/>
        <v>0</v>
      </c>
      <c r="N13" s="66"/>
      <c r="Q13" s="67"/>
    </row>
    <row r="14" spans="1:59">
      <c r="A14" s="86" t="s">
        <v>4</v>
      </c>
      <c r="B14" s="87">
        <f t="shared" si="1"/>
        <v>1411194408.25</v>
      </c>
      <c r="C14" s="322">
        <v>668543770</v>
      </c>
      <c r="D14" s="322">
        <v>4002841.83</v>
      </c>
      <c r="E14" s="322">
        <f>state1!C15</f>
        <v>637170152.90999997</v>
      </c>
      <c r="F14" s="375">
        <f>'fed1'!B15-'table 6'!I15</f>
        <v>88911026.510000005</v>
      </c>
      <c r="G14" s="322">
        <v>12566617</v>
      </c>
      <c r="H14" s="241"/>
      <c r="I14" s="423">
        <f>IF(B14&lt;&gt;0,((+C14+D14)/B14*100),(IF(C14&lt;&gt;0,1,0)))</f>
        <v>47.657970290855566</v>
      </c>
      <c r="J14" s="423">
        <f>IF($B14&lt;&gt;0,(E14/$B14*100),(IF(E14&lt;&gt;0,1,0)))</f>
        <v>45.151125116782787</v>
      </c>
      <c r="K14" s="89">
        <f t="shared" si="2"/>
        <v>6.3004094963965436</v>
      </c>
      <c r="L14" s="89">
        <f t="shared" si="2"/>
        <v>0.89049509596510268</v>
      </c>
      <c r="N14" s="66"/>
      <c r="Q14" s="67"/>
    </row>
    <row r="15" spans="1:59">
      <c r="A15" s="86" t="s">
        <v>5</v>
      </c>
      <c r="B15" s="87">
        <f t="shared" si="1"/>
        <v>222690211.92999998</v>
      </c>
      <c r="C15" s="322">
        <v>109059947</v>
      </c>
      <c r="D15" s="322">
        <v>3673032.49</v>
      </c>
      <c r="E15" s="322">
        <f>state1!C16</f>
        <v>99895068.659999996</v>
      </c>
      <c r="F15" s="375">
        <f>'fed1'!B16-'table 6'!I16</f>
        <v>10062163.780000001</v>
      </c>
      <c r="G15" s="322">
        <v>0</v>
      </c>
      <c r="H15" s="241"/>
      <c r="I15" s="423">
        <f>IF(B15&lt;&gt;0,((+C15+D15)/B15*100),(IF(C15&lt;&gt;0,1,0)))</f>
        <v>50.623230591489254</v>
      </c>
      <c r="J15" s="423">
        <f>IF($B15&lt;&gt;0,(E15/$B15*100),(IF(E15&lt;&gt;0,1,0)))</f>
        <v>44.85831137086565</v>
      </c>
      <c r="K15" s="89">
        <f t="shared" si="2"/>
        <v>4.5184580376451047</v>
      </c>
      <c r="L15" s="89">
        <f t="shared" si="2"/>
        <v>0</v>
      </c>
      <c r="N15" s="66"/>
      <c r="Q15" s="67"/>
    </row>
    <row r="16" spans="1:59">
      <c r="B16" s="87"/>
      <c r="C16" s="336"/>
      <c r="D16" s="336"/>
      <c r="E16" s="330"/>
      <c r="F16" s="375"/>
      <c r="G16" s="336"/>
      <c r="H16" s="241"/>
      <c r="I16" s="423"/>
      <c r="J16" s="423"/>
      <c r="K16" s="89"/>
      <c r="L16" s="89"/>
      <c r="N16" s="66"/>
    </row>
    <row r="17" spans="1:17">
      <c r="A17" s="86" t="s">
        <v>6</v>
      </c>
      <c r="B17" s="87">
        <f t="shared" si="1"/>
        <v>67698707.989999995</v>
      </c>
      <c r="C17" s="323">
        <v>12299444</v>
      </c>
      <c r="D17" s="322">
        <v>850354.87</v>
      </c>
      <c r="E17" s="322">
        <f>state1!C18</f>
        <v>47367038.920000002</v>
      </c>
      <c r="F17" s="375">
        <f>'fed1'!B18-'table 6'!I18</f>
        <v>7181870.1999999993</v>
      </c>
      <c r="G17" s="322">
        <v>0</v>
      </c>
      <c r="H17" s="241"/>
      <c r="I17" s="423">
        <f>IF(B17&lt;&gt;0,((+C17+D17)/B17*100),(IF(C17&lt;&gt;0,1,0)))</f>
        <v>19.424002703186595</v>
      </c>
      <c r="J17" s="423">
        <f>IF($B17&lt;&gt;0,(E17/$B17*100),(IF(E17&lt;&gt;0,1,0)))</f>
        <v>69.967419359017526</v>
      </c>
      <c r="K17" s="89">
        <f t="shared" si="2"/>
        <v>10.608577937795886</v>
      </c>
      <c r="L17" s="89">
        <f t="shared" si="2"/>
        <v>0</v>
      </c>
      <c r="N17" s="66"/>
      <c r="Q17" s="67"/>
    </row>
    <row r="18" spans="1:17">
      <c r="A18" s="86" t="s">
        <v>7</v>
      </c>
      <c r="B18" s="87">
        <f t="shared" si="1"/>
        <v>352794352.09999996</v>
      </c>
      <c r="C18" s="323">
        <v>165372091</v>
      </c>
      <c r="D18" s="322">
        <v>1569981.72</v>
      </c>
      <c r="E18" s="322">
        <f>state1!C19</f>
        <v>164639872.33999997</v>
      </c>
      <c r="F18" s="375">
        <f>'fed1'!B19-'table 6'!I19</f>
        <v>19519139.860000003</v>
      </c>
      <c r="G18" s="322">
        <v>1693267.18</v>
      </c>
      <c r="H18" s="241"/>
      <c r="I18" s="423">
        <f>IF(B18&lt;&gt;0,((+C18+D18)/B18*100),(IF(C18&lt;&gt;0,1,0)))</f>
        <v>47.319939144796763</v>
      </c>
      <c r="J18" s="423">
        <f>IF($B18&lt;&gt;0,(E18/$B18*100),(IF(E18&lt;&gt;0,1,0)))</f>
        <v>46.667377569959683</v>
      </c>
      <c r="K18" s="89">
        <f t="shared" si="2"/>
        <v>5.5327245869478316</v>
      </c>
      <c r="L18" s="89">
        <f t="shared" si="2"/>
        <v>0.47995869829572596</v>
      </c>
      <c r="N18" s="66"/>
      <c r="Q18" s="67"/>
    </row>
    <row r="19" spans="1:17">
      <c r="A19" s="86" t="s">
        <v>8</v>
      </c>
      <c r="B19" s="87">
        <f t="shared" si="1"/>
        <v>193989124.03</v>
      </c>
      <c r="C19" s="323">
        <v>67156014</v>
      </c>
      <c r="D19" s="322">
        <v>820433.42</v>
      </c>
      <c r="E19" s="322">
        <f>state1!C20</f>
        <v>112297619.27</v>
      </c>
      <c r="F19" s="375">
        <f>'fed1'!B20-'table 6'!I20</f>
        <v>13715057.34</v>
      </c>
      <c r="G19" s="322">
        <v>0</v>
      </c>
      <c r="H19" s="241"/>
      <c r="I19" s="423">
        <f>IF(B19&lt;&gt;0,((+C19+D19)/B19*100),(IF(C19&lt;&gt;0,1,0)))</f>
        <v>35.041370365427078</v>
      </c>
      <c r="J19" s="423">
        <f>IF($B19&lt;&gt;0,(E19/$B19*100),(IF(E19&lt;&gt;0,1,0)))</f>
        <v>57.888616092020406</v>
      </c>
      <c r="K19" s="89">
        <f t="shared" si="2"/>
        <v>7.070013542552517</v>
      </c>
      <c r="L19" s="89">
        <f t="shared" si="2"/>
        <v>0</v>
      </c>
      <c r="N19" s="66"/>
      <c r="Q19" s="67"/>
    </row>
    <row r="20" spans="1:17">
      <c r="A20" s="86" t="s">
        <v>9</v>
      </c>
      <c r="B20" s="87">
        <f t="shared" si="1"/>
        <v>350788888.66999996</v>
      </c>
      <c r="C20" s="323">
        <v>145620700</v>
      </c>
      <c r="D20" s="322">
        <v>1745584.91</v>
      </c>
      <c r="E20" s="322">
        <f>state1!C21</f>
        <v>179795434.13999999</v>
      </c>
      <c r="F20" s="375">
        <f>'fed1'!B21-'table 6'!I21</f>
        <v>23627169.619999997</v>
      </c>
      <c r="G20" s="322">
        <v>0</v>
      </c>
      <c r="H20" s="241"/>
      <c r="I20" s="423">
        <f>IF(B20&lt;&gt;0,((+C20+D20)/B20*100),(IF(C20&lt;&gt;0,1,0)))</f>
        <v>42.009963733096718</v>
      </c>
      <c r="J20" s="423">
        <f>IF($B20&lt;&gt;0,(E20/$B20*100),(IF(E20&lt;&gt;0,1,0)))</f>
        <v>51.254597835662977</v>
      </c>
      <c r="K20" s="89">
        <f t="shared" si="2"/>
        <v>6.7354384312403202</v>
      </c>
      <c r="L20" s="89">
        <f t="shared" si="2"/>
        <v>0</v>
      </c>
      <c r="N20" s="66"/>
      <c r="Q20" s="67"/>
    </row>
    <row r="21" spans="1:17">
      <c r="A21" s="86" t="s">
        <v>10</v>
      </c>
      <c r="B21" s="87">
        <f t="shared" si="1"/>
        <v>58864701.850000001</v>
      </c>
      <c r="C21" s="323">
        <v>16481888</v>
      </c>
      <c r="D21" s="322">
        <v>1077249.99</v>
      </c>
      <c r="E21" s="322">
        <f>state1!C22</f>
        <v>35596137.039999999</v>
      </c>
      <c r="F21" s="375">
        <f>'fed1'!B22-'table 6'!I22</f>
        <v>5709426.8200000003</v>
      </c>
      <c r="G21" s="322">
        <v>0</v>
      </c>
      <c r="H21" s="241"/>
      <c r="I21" s="423">
        <f>IF(B21&lt;&gt;0,((+C21+D21)/B21*100),(IF(C21&lt;&gt;0,1,0)))</f>
        <v>29.829655868714806</v>
      </c>
      <c r="J21" s="423">
        <f>IF($B21&lt;&gt;0,(E21/$B21*100),(IF(E21&lt;&gt;0,1,0)))</f>
        <v>60.471107338157694</v>
      </c>
      <c r="K21" s="89">
        <f t="shared" si="2"/>
        <v>9.6992367931274934</v>
      </c>
      <c r="L21" s="89">
        <f t="shared" si="2"/>
        <v>0</v>
      </c>
      <c r="N21" s="66"/>
      <c r="Q21" s="67"/>
    </row>
    <row r="22" spans="1:17">
      <c r="B22" s="87"/>
      <c r="C22" s="336"/>
      <c r="D22" s="336"/>
      <c r="E22" s="330"/>
      <c r="F22" s="375"/>
      <c r="G22" s="336"/>
      <c r="H22" s="241"/>
      <c r="I22" s="423"/>
      <c r="J22" s="423"/>
      <c r="K22" s="89"/>
      <c r="L22" s="89"/>
      <c r="N22" s="66"/>
    </row>
    <row r="23" spans="1:17">
      <c r="A23" s="86" t="s">
        <v>11</v>
      </c>
      <c r="B23" s="87">
        <f t="shared" si="1"/>
        <v>518883928.42999995</v>
      </c>
      <c r="C23" s="322">
        <v>230794715</v>
      </c>
      <c r="D23" s="322">
        <v>13191372.300000001</v>
      </c>
      <c r="E23" s="322">
        <f>state1!C24</f>
        <v>254903792.97999999</v>
      </c>
      <c r="F23" s="375">
        <f>'fed1'!B24-'table 6'!I24</f>
        <v>19994048.149999999</v>
      </c>
      <c r="G23" s="322">
        <v>0</v>
      </c>
      <c r="H23" s="241"/>
      <c r="I23" s="423">
        <f>IF(B23&lt;&gt;0,((+C23+D23)/B23*100),(IF(C23&lt;&gt;0,1,0)))</f>
        <v>47.021322868533396</v>
      </c>
      <c r="J23" s="423">
        <f t="shared" ref="J23:L27" si="3">IF($B23&lt;&gt;0,(E23/$B23*100),(IF(E23&lt;&gt;0,1,0)))</f>
        <v>49.125397610843095</v>
      </c>
      <c r="K23" s="89">
        <f t="shared" si="2"/>
        <v>3.8532795206235217</v>
      </c>
      <c r="L23" s="89">
        <f t="shared" si="2"/>
        <v>0</v>
      </c>
      <c r="N23" s="66"/>
      <c r="Q23" s="67"/>
    </row>
    <row r="24" spans="1:17">
      <c r="A24" s="86" t="s">
        <v>12</v>
      </c>
      <c r="B24" s="87">
        <f t="shared" si="1"/>
        <v>61253766.879999995</v>
      </c>
      <c r="C24" s="322">
        <v>24870066.100000001</v>
      </c>
      <c r="D24" s="322">
        <v>241388.38</v>
      </c>
      <c r="E24" s="322">
        <f>state1!C25</f>
        <v>27043473.18</v>
      </c>
      <c r="F24" s="375">
        <f>'fed1'!B25-'table 6'!I25</f>
        <v>4857541.9499999993</v>
      </c>
      <c r="G24" s="322">
        <v>4241297.2699999996</v>
      </c>
      <c r="H24" s="241"/>
      <c r="I24" s="423">
        <f>IF(B24&lt;&gt;0,((+C24+D24)/B24*100),(IF(C24&lt;&gt;0,1,0)))</f>
        <v>40.995771785260047</v>
      </c>
      <c r="J24" s="423">
        <f t="shared" si="3"/>
        <v>44.149894051381153</v>
      </c>
      <c r="K24" s="89">
        <f t="shared" si="2"/>
        <v>7.9301930271753429</v>
      </c>
      <c r="L24" s="89">
        <f t="shared" si="2"/>
        <v>6.9241411361834597</v>
      </c>
      <c r="N24" s="66"/>
      <c r="Q24" s="67"/>
    </row>
    <row r="25" spans="1:17">
      <c r="A25" s="86" t="s">
        <v>13</v>
      </c>
      <c r="B25" s="87">
        <f t="shared" si="1"/>
        <v>504840713.66999996</v>
      </c>
      <c r="C25" s="322">
        <v>217782344</v>
      </c>
      <c r="D25" s="322">
        <v>5907769.1399999997</v>
      </c>
      <c r="E25" s="322">
        <f>state1!C26</f>
        <v>244921213.14000002</v>
      </c>
      <c r="F25" s="375">
        <f>'fed1'!B26-'table 6'!I26</f>
        <v>27354003.399999999</v>
      </c>
      <c r="G25" s="322">
        <v>8875383.9900000002</v>
      </c>
      <c r="H25" s="241"/>
      <c r="I25" s="423">
        <f>IF(B25&lt;&gt;0,((+C25+D25)/B25*100),(IF(C25&lt;&gt;0,1,0)))</f>
        <v>44.309047801208017</v>
      </c>
      <c r="J25" s="423">
        <f t="shared" si="3"/>
        <v>48.514552512913625</v>
      </c>
      <c r="K25" s="89">
        <f t="shared" si="2"/>
        <v>5.4183433822416571</v>
      </c>
      <c r="L25" s="89">
        <f t="shared" si="2"/>
        <v>1.7580563036367125</v>
      </c>
      <c r="N25" s="66"/>
      <c r="Q25" s="67"/>
    </row>
    <row r="26" spans="1:17">
      <c r="A26" s="86" t="s">
        <v>14</v>
      </c>
      <c r="B26" s="87">
        <f t="shared" si="1"/>
        <v>771804916.4000001</v>
      </c>
      <c r="C26" s="322">
        <v>467617041</v>
      </c>
      <c r="D26" s="322">
        <v>6176882</v>
      </c>
      <c r="E26" s="322">
        <f>state1!C27</f>
        <v>273694565.19</v>
      </c>
      <c r="F26" s="375">
        <f>'fed1'!B27-'table 6'!I27</f>
        <v>23191068.210000005</v>
      </c>
      <c r="G26" s="322">
        <v>1125360</v>
      </c>
      <c r="H26" s="241"/>
      <c r="I26" s="423">
        <f>IF(B26&lt;&gt;0,((+C26+D26)/B26*100),(IF(C26&lt;&gt;0,1,0)))</f>
        <v>61.387782447663085</v>
      </c>
      <c r="J26" s="423">
        <f t="shared" si="3"/>
        <v>35.461625000604876</v>
      </c>
      <c r="K26" s="89">
        <f t="shared" si="2"/>
        <v>3.0047836852571779</v>
      </c>
      <c r="L26" s="89">
        <f t="shared" si="2"/>
        <v>0.1458088664748495</v>
      </c>
      <c r="N26" s="66"/>
      <c r="Q26" s="67"/>
    </row>
    <row r="27" spans="1:17">
      <c r="A27" s="86" t="s">
        <v>15</v>
      </c>
      <c r="B27" s="87">
        <f t="shared" si="1"/>
        <v>31625438.919999998</v>
      </c>
      <c r="C27" s="322">
        <v>16128112</v>
      </c>
      <c r="D27" s="322">
        <v>225456.79</v>
      </c>
      <c r="E27" s="322">
        <f>state1!C28</f>
        <v>11869848.379999999</v>
      </c>
      <c r="F27" s="375">
        <f>'fed1'!B28-'table 6'!I28</f>
        <v>3402021.75</v>
      </c>
      <c r="G27" s="322">
        <v>0</v>
      </c>
      <c r="H27" s="241"/>
      <c r="I27" s="423">
        <f>IF(B27&lt;&gt;0,((+C27+D27)/B27*100),(IF(C27&lt;&gt;0,1,0)))</f>
        <v>51.710171774589874</v>
      </c>
      <c r="J27" s="423">
        <f t="shared" si="3"/>
        <v>37.532596496213309</v>
      </c>
      <c r="K27" s="89">
        <f t="shared" si="3"/>
        <v>10.757231729196819</v>
      </c>
      <c r="L27" s="89">
        <f t="shared" si="3"/>
        <v>0</v>
      </c>
      <c r="N27" s="66"/>
      <c r="Q27" s="67"/>
    </row>
    <row r="28" spans="1:17">
      <c r="B28" s="87"/>
      <c r="C28" s="336"/>
      <c r="D28" s="336"/>
      <c r="E28" s="330"/>
      <c r="F28" s="375"/>
      <c r="G28" s="336"/>
      <c r="H28" s="241"/>
      <c r="I28" s="423"/>
      <c r="J28" s="423"/>
      <c r="K28" s="89"/>
      <c r="L28" s="89"/>
      <c r="N28" s="66"/>
    </row>
    <row r="29" spans="1:17">
      <c r="A29" s="86" t="s">
        <v>16</v>
      </c>
      <c r="B29" s="87">
        <f t="shared" si="1"/>
        <v>2222194467.3499999</v>
      </c>
      <c r="C29" s="322">
        <v>1370271392.29</v>
      </c>
      <c r="D29" s="322">
        <v>12980457.25</v>
      </c>
      <c r="E29" s="322">
        <f>state1!C30</f>
        <v>731494642.58000004</v>
      </c>
      <c r="F29" s="375">
        <f>'fed1'!B30-'table 6'!I30</f>
        <v>107122800.26000001</v>
      </c>
      <c r="G29" s="322">
        <v>325174.96999999997</v>
      </c>
      <c r="H29" s="241"/>
      <c r="I29" s="423">
        <f>IF(B29&lt;&gt;0,((+C29+D29)/B29*100),(IF(C29&lt;&gt;0,1,0)))</f>
        <v>62.24711067657136</v>
      </c>
      <c r="J29" s="423">
        <f t="shared" ref="J29:L33" si="4">IF($B29&lt;&gt;0,(E29/$B29*100),(IF(E29&lt;&gt;0,1,0)))</f>
        <v>32.917670047676715</v>
      </c>
      <c r="K29" s="89">
        <f t="shared" si="4"/>
        <v>4.8205862193395497</v>
      </c>
      <c r="L29" s="89">
        <f t="shared" si="4"/>
        <v>1.4633056412374924E-2</v>
      </c>
      <c r="N29" s="66"/>
      <c r="Q29" s="67"/>
    </row>
    <row r="30" spans="1:17">
      <c r="A30" s="86" t="s">
        <v>17</v>
      </c>
      <c r="B30" s="87">
        <f t="shared" si="1"/>
        <v>1776300893.3599999</v>
      </c>
      <c r="C30" s="322">
        <v>598027884.78999996</v>
      </c>
      <c r="D30" s="322">
        <v>40703978.789999999</v>
      </c>
      <c r="E30" s="322">
        <f>state1!C31</f>
        <v>995278037.73000002</v>
      </c>
      <c r="F30" s="375">
        <f>'fed1'!B31-'table 6'!I31</f>
        <v>142290992.04999998</v>
      </c>
      <c r="G30" s="322">
        <v>0</v>
      </c>
      <c r="H30" s="241"/>
      <c r="I30" s="423">
        <f>IF(B30&lt;&gt;0,((+C30+D30)/B30*100),(IF(C30&lt;&gt;0,1,0)))</f>
        <v>35.958539792872195</v>
      </c>
      <c r="J30" s="423">
        <f t="shared" si="4"/>
        <v>56.030937182459027</v>
      </c>
      <c r="K30" s="89">
        <f t="shared" si="4"/>
        <v>8.0105230246687782</v>
      </c>
      <c r="L30" s="89">
        <f t="shared" si="4"/>
        <v>0</v>
      </c>
      <c r="N30" s="66"/>
      <c r="Q30" s="67"/>
    </row>
    <row r="31" spans="1:17">
      <c r="A31" s="86" t="s">
        <v>18</v>
      </c>
      <c r="B31" s="87">
        <f t="shared" si="1"/>
        <v>88167346.329999983</v>
      </c>
      <c r="C31" s="322">
        <v>43528032</v>
      </c>
      <c r="D31" s="323">
        <v>874450.04</v>
      </c>
      <c r="E31" s="322">
        <f>state1!C32</f>
        <v>38231649.129999995</v>
      </c>
      <c r="F31" s="375">
        <f>'fed1'!B32-'table 6'!I32</f>
        <v>5533215.1600000001</v>
      </c>
      <c r="G31" s="322">
        <v>0</v>
      </c>
      <c r="H31" s="241"/>
      <c r="I31" s="423">
        <f>IF(B31&lt;&gt;0,((+C31+D31)/B31*100),(IF(C31&lt;&gt;0,1,0)))</f>
        <v>50.361595180382025</v>
      </c>
      <c r="J31" s="423">
        <f t="shared" si="4"/>
        <v>43.362594794339664</v>
      </c>
      <c r="K31" s="89">
        <f t="shared" si="4"/>
        <v>6.2758100252783251</v>
      </c>
      <c r="L31" s="89">
        <f t="shared" si="4"/>
        <v>0</v>
      </c>
      <c r="N31" s="66"/>
      <c r="Q31" s="67"/>
    </row>
    <row r="32" spans="1:17">
      <c r="A32" s="86" t="s">
        <v>19</v>
      </c>
      <c r="B32" s="87">
        <f t="shared" si="1"/>
        <v>203981854.44000003</v>
      </c>
      <c r="C32" s="322">
        <v>77045860</v>
      </c>
      <c r="D32" s="323">
        <v>1007642.41</v>
      </c>
      <c r="E32" s="322">
        <f>state1!C33</f>
        <v>106972659.71000001</v>
      </c>
      <c r="F32" s="375">
        <f>'fed1'!B33-'table 6'!I33</f>
        <v>15488237.920000002</v>
      </c>
      <c r="G32" s="322">
        <v>3467454.4</v>
      </c>
      <c r="H32" s="241"/>
      <c r="I32" s="423">
        <f>IF(B32&lt;&gt;0,((+C32+D32)/B32*100),(IF(C32&lt;&gt;0,1,0)))</f>
        <v>38.264924409224321</v>
      </c>
      <c r="J32" s="423">
        <f t="shared" si="4"/>
        <v>52.442242965030658</v>
      </c>
      <c r="K32" s="89">
        <f t="shared" si="4"/>
        <v>7.592948874065546</v>
      </c>
      <c r="L32" s="89">
        <f t="shared" si="4"/>
        <v>1.699883751679456</v>
      </c>
      <c r="N32" s="66"/>
      <c r="Q32" s="67"/>
    </row>
    <row r="33" spans="1:256">
      <c r="A33" s="86" t="s">
        <v>20</v>
      </c>
      <c r="B33" s="87">
        <f t="shared" si="1"/>
        <v>41247583.57</v>
      </c>
      <c r="C33" s="322">
        <v>8724251.2200000007</v>
      </c>
      <c r="D33" s="322">
        <v>459187.54</v>
      </c>
      <c r="E33" s="322">
        <f>state1!C34</f>
        <v>26495948.100000001</v>
      </c>
      <c r="F33" s="375">
        <f>'fed1'!B34-'table 6'!I34</f>
        <v>5568196.71</v>
      </c>
      <c r="G33" s="322">
        <v>0</v>
      </c>
      <c r="H33" s="241"/>
      <c r="I33" s="423">
        <f>IF(B33&lt;&gt;0,((+C33+D33)/B33*100),(IF(C33&lt;&gt;0,1,0)))</f>
        <v>22.264186081143563</v>
      </c>
      <c r="J33" s="423">
        <f t="shared" si="4"/>
        <v>64.236364428559909</v>
      </c>
      <c r="K33" s="89">
        <f t="shared" si="4"/>
        <v>13.499449490296527</v>
      </c>
      <c r="L33" s="89">
        <f t="shared" si="4"/>
        <v>0</v>
      </c>
      <c r="N33" s="66"/>
      <c r="Q33" s="67"/>
    </row>
    <row r="34" spans="1:256">
      <c r="B34" s="87"/>
      <c r="C34" s="338"/>
      <c r="D34" s="336"/>
      <c r="E34" s="322"/>
      <c r="F34" s="375"/>
      <c r="G34" s="336"/>
      <c r="H34" s="241"/>
      <c r="I34" s="423"/>
      <c r="J34" s="423"/>
      <c r="K34" s="89"/>
      <c r="L34" s="89"/>
      <c r="N34" s="66"/>
    </row>
    <row r="35" spans="1:256">
      <c r="A35" s="86" t="s">
        <v>21</v>
      </c>
      <c r="B35" s="87">
        <f t="shared" si="1"/>
        <v>52290657.130000003</v>
      </c>
      <c r="C35" s="322">
        <v>32403006</v>
      </c>
      <c r="D35" s="322">
        <v>921565.94</v>
      </c>
      <c r="E35" s="322">
        <f>state1!C36</f>
        <v>15220460.1</v>
      </c>
      <c r="F35" s="375">
        <f>'fed1'!B36-'table 6'!I36</f>
        <v>3739855.5000000005</v>
      </c>
      <c r="G35" s="322">
        <v>5769.59</v>
      </c>
      <c r="H35" s="241"/>
      <c r="I35" s="423">
        <f>IF(B35&lt;&gt;0,((+C35+D35)/B35*100),(IF(C35&lt;&gt;0,1,0)))</f>
        <v>63.72949541856331</v>
      </c>
      <c r="J35" s="423">
        <f t="shared" ref="J35:L38" si="5">IF($B35&lt;&gt;0,(E35/$B35*100),(IF(E35&lt;&gt;0,1,0)))</f>
        <v>29.107417912458732</v>
      </c>
      <c r="K35" s="89">
        <f t="shared" si="5"/>
        <v>7.1520529770783545</v>
      </c>
      <c r="L35" s="89">
        <f t="shared" si="5"/>
        <v>1.1033691899599197E-2</v>
      </c>
      <c r="N35" s="66"/>
      <c r="Q35" s="67"/>
    </row>
    <row r="36" spans="1:256">
      <c r="A36" s="86" t="s">
        <v>22</v>
      </c>
      <c r="B36" s="87">
        <f t="shared" si="1"/>
        <v>284780448.42000008</v>
      </c>
      <c r="C36" s="322">
        <v>89544543.730000004</v>
      </c>
      <c r="D36" s="322">
        <v>1227693.19</v>
      </c>
      <c r="E36" s="322">
        <f>state1!C37</f>
        <v>172386736.42000002</v>
      </c>
      <c r="F36" s="375">
        <f>'fed1'!B37-'table 6'!I37</f>
        <v>21234924.860000003</v>
      </c>
      <c r="G36" s="322">
        <v>386550.22</v>
      </c>
      <c r="H36" s="241"/>
      <c r="I36" s="423">
        <f>IF(B36&lt;&gt;0,((+C36+D36)/B36*100),(IF(C36&lt;&gt;0,1,0)))</f>
        <v>31.874462387996257</v>
      </c>
      <c r="J36" s="423">
        <f t="shared" si="5"/>
        <v>60.533206326636758</v>
      </c>
      <c r="K36" s="89">
        <f t="shared" si="5"/>
        <v>7.4565950639568834</v>
      </c>
      <c r="L36" s="89">
        <f t="shared" si="5"/>
        <v>0.13573622141008351</v>
      </c>
      <c r="N36" s="66"/>
      <c r="Q36" s="67"/>
    </row>
    <row r="37" spans="1:256">
      <c r="A37" s="86" t="s">
        <v>23</v>
      </c>
      <c r="B37" s="87">
        <f t="shared" si="1"/>
        <v>183775791.28999999</v>
      </c>
      <c r="C37" s="322">
        <v>36196892.039999999</v>
      </c>
      <c r="D37" s="322">
        <v>909418.81</v>
      </c>
      <c r="E37" s="322">
        <f>state1!C38</f>
        <v>128195380.40000001</v>
      </c>
      <c r="F37" s="375">
        <f>'fed1'!B38-'table 6'!I38</f>
        <v>16122324.149999999</v>
      </c>
      <c r="G37" s="322">
        <v>2351775.89</v>
      </c>
      <c r="H37" s="241"/>
      <c r="I37" s="423">
        <f>IF(B37&lt;&gt;0,((+C37+D37)/B37*100),(IF(C37&lt;&gt;0,1,0)))</f>
        <v>20.191076631766954</v>
      </c>
      <c r="J37" s="423">
        <f t="shared" si="5"/>
        <v>69.756402353183972</v>
      </c>
      <c r="K37" s="89">
        <f t="shared" si="5"/>
        <v>8.7728225991196052</v>
      </c>
      <c r="L37" s="89">
        <f t="shared" si="5"/>
        <v>1.2796984159294815</v>
      </c>
      <c r="N37" s="66"/>
      <c r="Q37" s="67"/>
    </row>
    <row r="38" spans="1:256">
      <c r="A38" s="92" t="s">
        <v>24</v>
      </c>
      <c r="B38" s="93">
        <f t="shared" si="1"/>
        <v>108206444.06</v>
      </c>
      <c r="C38" s="324">
        <v>71939828</v>
      </c>
      <c r="D38" s="324">
        <v>382056.08</v>
      </c>
      <c r="E38" s="324">
        <f>state1!C39</f>
        <v>26412736.25</v>
      </c>
      <c r="F38" s="324">
        <f>'fed1'!B39-'table 6'!I39</f>
        <v>9471823.7299999986</v>
      </c>
      <c r="G38" s="324">
        <v>0</v>
      </c>
      <c r="H38" s="310"/>
      <c r="I38" s="424">
        <f>IF(B38&lt;&gt;0,((+C38+D38)/B38*100),(IF(C38&lt;&gt;0,1,0)))</f>
        <v>66.836947381708455</v>
      </c>
      <c r="J38" s="424">
        <f t="shared" si="5"/>
        <v>24.409577894782544</v>
      </c>
      <c r="K38" s="95">
        <f t="shared" si="5"/>
        <v>8.7534747235089938</v>
      </c>
      <c r="L38" s="95">
        <f t="shared" si="5"/>
        <v>0</v>
      </c>
      <c r="N38" s="66"/>
      <c r="Q38" s="67"/>
    </row>
    <row r="39" spans="1:256">
      <c r="A39" s="409"/>
      <c r="B39" s="87"/>
      <c r="C39" s="138"/>
      <c r="D39" s="138"/>
      <c r="E39" s="88"/>
      <c r="F39" s="88"/>
      <c r="G39" s="138"/>
      <c r="H39" s="87"/>
      <c r="I39" s="89"/>
      <c r="J39" s="89"/>
      <c r="K39" s="89"/>
      <c r="L39" s="89"/>
      <c r="N39" s="66"/>
      <c r="Q39" s="67"/>
    </row>
    <row r="40" spans="1:256">
      <c r="A40" s="425" t="s">
        <v>222</v>
      </c>
      <c r="D40" s="90"/>
      <c r="I40" s="140"/>
      <c r="J40" s="140"/>
      <c r="K40" s="140"/>
    </row>
    <row r="41" spans="1:256">
      <c r="A41" s="137" t="s">
        <v>287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</row>
    <row r="42" spans="1:256">
      <c r="A42" s="426" t="s">
        <v>195</v>
      </c>
      <c r="D42" s="90"/>
    </row>
    <row r="43" spans="1:256">
      <c r="A43" s="427"/>
      <c r="D43" s="90"/>
    </row>
    <row r="44" spans="1:256">
      <c r="A44" s="427"/>
      <c r="C44" s="429"/>
      <c r="D44" s="90"/>
    </row>
    <row r="45" spans="1:256">
      <c r="C45" s="430"/>
      <c r="D45" s="90"/>
    </row>
    <row r="46" spans="1:256">
      <c r="D46" s="90"/>
    </row>
    <row r="47" spans="1:256">
      <c r="D47" s="90"/>
    </row>
  </sheetData>
  <sheetProtection password="CAF5" sheet="1" objects="1" scenarios="1"/>
  <mergeCells count="6">
    <mergeCell ref="C7:D7"/>
    <mergeCell ref="C6:F6"/>
    <mergeCell ref="I6:L6"/>
    <mergeCell ref="A1:L1"/>
    <mergeCell ref="A3:L3"/>
    <mergeCell ref="A4:L4"/>
  </mergeCells>
  <phoneticPr fontId="0" type="noConversion"/>
  <pageMargins left="0.69" right="0.24" top="1" bottom="1" header="0.5" footer="0.5"/>
  <pageSetup scale="87" orientation="landscape" r:id="rId1"/>
  <headerFooter alignWithMargins="0">
    <oddFooter>&amp;L&amp;"Arial,Italic"&amp;9MSDE - LFRO  12 /2014
&amp;C- 2 -&amp;R&amp;"Arial,Italic"&amp;9Selected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Normal="100" workbookViewId="0">
      <selection sqref="A1:J1"/>
    </sheetView>
  </sheetViews>
  <sheetFormatPr defaultRowHeight="12.75"/>
  <cols>
    <col min="1" max="1" width="14.140625" customWidth="1"/>
    <col min="2" max="2" width="16.42578125" customWidth="1"/>
    <col min="3" max="3" width="16.140625" customWidth="1"/>
    <col min="4" max="4" width="14.5703125" customWidth="1"/>
    <col min="5" max="5" width="15.28515625" customWidth="1"/>
    <col min="6" max="6" width="2.7109375" customWidth="1"/>
    <col min="7" max="7" width="13" customWidth="1"/>
    <col min="8" max="8" width="11.7109375" customWidth="1"/>
    <col min="9" max="9" width="12.7109375" customWidth="1"/>
    <col min="10" max="10" width="13.140625" customWidth="1"/>
  </cols>
  <sheetData>
    <row r="1" spans="1:10">
      <c r="A1" s="469" t="s">
        <v>106</v>
      </c>
      <c r="B1" s="469"/>
      <c r="C1" s="469"/>
      <c r="D1" s="469"/>
      <c r="E1" s="469"/>
      <c r="F1" s="469"/>
      <c r="G1" s="469"/>
      <c r="H1" s="469"/>
      <c r="I1" s="469"/>
      <c r="J1" s="469"/>
    </row>
    <row r="3" spans="1:10">
      <c r="A3" s="469" t="s">
        <v>220</v>
      </c>
      <c r="B3" s="469"/>
      <c r="C3" s="469"/>
      <c r="D3" s="469"/>
      <c r="E3" s="469"/>
      <c r="F3" s="469"/>
      <c r="G3" s="469"/>
      <c r="H3" s="469"/>
      <c r="I3" s="469"/>
      <c r="J3" s="469"/>
    </row>
    <row r="4" spans="1:10">
      <c r="A4" s="461" t="s">
        <v>274</v>
      </c>
      <c r="B4" s="469"/>
      <c r="C4" s="469"/>
      <c r="D4" s="469"/>
      <c r="E4" s="469"/>
      <c r="F4" s="469"/>
      <c r="G4" s="469"/>
      <c r="H4" s="469"/>
      <c r="I4" s="469"/>
      <c r="J4" s="469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 thickTop="1">
      <c r="A6" s="3"/>
      <c r="B6" s="556" t="s">
        <v>172</v>
      </c>
      <c r="C6" s="556"/>
      <c r="D6" s="556"/>
      <c r="E6" s="556"/>
      <c r="F6" s="192"/>
      <c r="G6" s="502" t="s">
        <v>173</v>
      </c>
      <c r="H6" s="502"/>
      <c r="I6" s="502"/>
      <c r="J6" s="502"/>
    </row>
    <row r="7" spans="1:10">
      <c r="A7" s="3" t="s">
        <v>77</v>
      </c>
      <c r="B7" s="4"/>
      <c r="C7" s="76" t="s">
        <v>109</v>
      </c>
      <c r="D7" s="4" t="s">
        <v>34</v>
      </c>
      <c r="E7" s="4"/>
      <c r="F7" s="4"/>
      <c r="G7" s="4"/>
      <c r="H7" s="4"/>
      <c r="I7" s="4" t="s">
        <v>34</v>
      </c>
      <c r="J7" s="4"/>
    </row>
    <row r="8" spans="1:10">
      <c r="A8" s="3" t="s">
        <v>33</v>
      </c>
      <c r="B8" s="4" t="s">
        <v>108</v>
      </c>
      <c r="C8" s="75" t="s">
        <v>58</v>
      </c>
      <c r="D8" s="4" t="s">
        <v>39</v>
      </c>
      <c r="E8" s="4" t="s">
        <v>41</v>
      </c>
      <c r="F8" s="4"/>
      <c r="G8" s="4" t="s">
        <v>108</v>
      </c>
      <c r="H8" s="4" t="s">
        <v>109</v>
      </c>
      <c r="I8" s="4" t="s">
        <v>39</v>
      </c>
      <c r="J8" s="4" t="s">
        <v>41</v>
      </c>
    </row>
    <row r="9" spans="1:10" ht="13.5" thickBot="1">
      <c r="A9" s="7" t="s">
        <v>132</v>
      </c>
      <c r="B9" s="8" t="s">
        <v>45</v>
      </c>
      <c r="C9" s="187"/>
      <c r="D9" s="8" t="s">
        <v>40</v>
      </c>
      <c r="E9" s="8" t="s">
        <v>38</v>
      </c>
      <c r="F9" s="8"/>
      <c r="G9" s="8" t="s">
        <v>45</v>
      </c>
      <c r="H9" s="8" t="s">
        <v>116</v>
      </c>
      <c r="I9" s="8" t="s">
        <v>40</v>
      </c>
      <c r="J9" s="8" t="s">
        <v>38</v>
      </c>
    </row>
    <row r="10" spans="1:10">
      <c r="A10" s="3" t="s">
        <v>0</v>
      </c>
      <c r="B10" s="10">
        <f>SUM(B12:B39)</f>
        <v>6630152798.1700001</v>
      </c>
      <c r="C10" s="10">
        <f>SUM(C12:C39)</f>
        <v>5291722184.1499996</v>
      </c>
      <c r="D10" s="10">
        <f>SUM(D12:D39)</f>
        <v>642954515.04999995</v>
      </c>
      <c r="E10" s="10">
        <f>SUM(E12:E39)</f>
        <v>695476098.97000003</v>
      </c>
      <c r="F10" s="10"/>
      <c r="G10" s="37">
        <f>+B10/(table11!$B9*1000)</f>
        <v>9.4088680641441821E-3</v>
      </c>
      <c r="H10" s="37">
        <f>+C10/(table11!$B9*1000)</f>
        <v>7.5094975000447369E-3</v>
      </c>
      <c r="I10" s="37">
        <f>+D10/(table11!$B9*1000)</f>
        <v>9.1241851998056221E-4</v>
      </c>
      <c r="J10" s="37">
        <f>+E10/(table11!$B9*1000)</f>
        <v>9.8695204411888273E-4</v>
      </c>
    </row>
    <row r="11" spans="1:10">
      <c r="A11" s="3"/>
      <c r="C11" s="4"/>
      <c r="D11" s="4"/>
      <c r="E11" s="4"/>
      <c r="F11" s="4"/>
    </row>
    <row r="12" spans="1:10">
      <c r="A12" s="3" t="s">
        <v>1</v>
      </c>
      <c r="B12" s="1">
        <f t="shared" ref="B12:B39" si="0">SUM(C12:E12)</f>
        <v>28779656.309999999</v>
      </c>
      <c r="C12" s="40">
        <f>'table 2a'!C11</f>
        <v>28256000</v>
      </c>
      <c r="D12" s="2">
        <f>+table4!$C11</f>
        <v>523656.31</v>
      </c>
      <c r="E12" s="2">
        <f>+table5!$C11</f>
        <v>0</v>
      </c>
      <c r="F12" s="2"/>
      <c r="G12" s="36">
        <f>+B12/(table11!$B11*1000)*100</f>
        <v>0.71687999315493478</v>
      </c>
      <c r="H12" s="36">
        <f>+C12/(table11!$B11*1000)*100</f>
        <v>0.70383610104292593</v>
      </c>
      <c r="I12" s="36">
        <f>+D12/(table11!$B11*1000)*100</f>
        <v>1.304389211200898E-2</v>
      </c>
      <c r="J12" s="36">
        <f>+E12/(table11!$B11*1000)*100</f>
        <v>0</v>
      </c>
    </row>
    <row r="13" spans="1:10">
      <c r="A13" s="3" t="s">
        <v>2</v>
      </c>
      <c r="B13" s="1">
        <f t="shared" si="0"/>
        <v>614915576</v>
      </c>
      <c r="C13" s="40">
        <f>'table 2a'!C12</f>
        <v>556105600</v>
      </c>
      <c r="D13" s="2">
        <f>+table4!$C12</f>
        <v>5532637</v>
      </c>
      <c r="E13" s="2">
        <f>+table5!$C12</f>
        <v>53277339</v>
      </c>
      <c r="F13" s="2"/>
      <c r="G13" s="36">
        <f>+B13/(table11!$B12*1000)*100</f>
        <v>0.7726045123735088</v>
      </c>
      <c r="H13" s="36">
        <f>+C13/(table11!$B12*1000)*100</f>
        <v>0.69871330746088878</v>
      </c>
      <c r="I13" s="36">
        <f>+D13/(table11!$B12*1000)*100</f>
        <v>6.951426306892953E-3</v>
      </c>
      <c r="J13" s="36">
        <f>+E13/(table11!$B12*1000)*100</f>
        <v>6.6939778605727043E-2</v>
      </c>
    </row>
    <row r="14" spans="1:10">
      <c r="A14" s="3" t="s">
        <v>3</v>
      </c>
      <c r="B14" s="1">
        <f t="shared" si="0"/>
        <v>254982926.34999999</v>
      </c>
      <c r="C14" s="40">
        <f>'table 2a'!C13</f>
        <v>237952761.98000002</v>
      </c>
      <c r="D14" s="2">
        <f>+table4!$C13</f>
        <v>5726240.4500000002</v>
      </c>
      <c r="E14" s="2">
        <f>+table5!$C13</f>
        <v>11303923.92</v>
      </c>
      <c r="F14" s="2"/>
      <c r="G14" s="36">
        <f>+B14/(table11!$B13*1000)*100</f>
        <v>0.67966743311631295</v>
      </c>
      <c r="H14" s="36">
        <f>+C14/(table11!$B13*1000)*100</f>
        <v>0.63427283251070743</v>
      </c>
      <c r="I14" s="36">
        <f>+D14/(table11!$B13*1000)*100</f>
        <v>1.526352844000255E-2</v>
      </c>
      <c r="J14" s="36">
        <f>+E14/(table11!$B13*1000)*100</f>
        <v>3.0131072165603023E-2</v>
      </c>
    </row>
    <row r="15" spans="1:10">
      <c r="A15" s="3" t="s">
        <v>4</v>
      </c>
      <c r="B15" s="1">
        <f t="shared" si="0"/>
        <v>800850311</v>
      </c>
      <c r="C15" s="40">
        <f>'table 2a'!C14</f>
        <v>668543770</v>
      </c>
      <c r="D15" s="2">
        <f>+table4!$C14</f>
        <v>98100917</v>
      </c>
      <c r="E15" s="2">
        <f>+table5!$C14</f>
        <v>34205624</v>
      </c>
      <c r="F15" s="2"/>
      <c r="G15" s="36">
        <f>+B15/(table11!$B14*1000)*100</f>
        <v>0.94997475453597791</v>
      </c>
      <c r="H15" s="36">
        <f>+C15/(table11!$B14*1000)*100</f>
        <v>0.79303172525371879</v>
      </c>
      <c r="I15" s="36">
        <f>+D15/(table11!$B14*1000)*100</f>
        <v>0.11636805688501424</v>
      </c>
      <c r="J15" s="36">
        <f>+E15/(table11!$B14*1000)*100</f>
        <v>4.0574972397244849E-2</v>
      </c>
    </row>
    <row r="16" spans="1:10">
      <c r="A16" s="3" t="s">
        <v>5</v>
      </c>
      <c r="B16" s="1">
        <f t="shared" si="0"/>
        <v>121026583</v>
      </c>
      <c r="C16" s="40">
        <f>'table 2a'!C15</f>
        <v>109059947</v>
      </c>
      <c r="D16" s="2">
        <f>+table4!$C15</f>
        <v>5422927</v>
      </c>
      <c r="E16" s="2">
        <f>+table5!$C15</f>
        <v>6543709</v>
      </c>
      <c r="F16" s="2"/>
      <c r="G16" s="36">
        <f>+B16/(table11!$B15*1000)*100</f>
        <v>0.90767958508504509</v>
      </c>
      <c r="H16" s="36">
        <f>+C16/(table11!$B15*1000)*100</f>
        <v>0.8179317715873794</v>
      </c>
      <c r="I16" s="36">
        <f>+D16/(table11!$B15*1000)*100</f>
        <v>4.0671065870764016E-2</v>
      </c>
      <c r="J16" s="36">
        <f>+E16/(table11!$B15*1000)*100</f>
        <v>4.9076747626901729E-2</v>
      </c>
    </row>
    <row r="17" spans="1:10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>
      <c r="A18" s="3" t="s">
        <v>6</v>
      </c>
      <c r="B18" s="1">
        <f t="shared" si="0"/>
        <v>12299444</v>
      </c>
      <c r="C18" s="40">
        <f>'table 2a'!C17</f>
        <v>12299444</v>
      </c>
      <c r="D18" s="2">
        <f>+table4!$C17</f>
        <v>0</v>
      </c>
      <c r="E18" s="2">
        <f>+table5!$C17</f>
        <v>0</v>
      </c>
      <c r="F18" s="2"/>
      <c r="G18" s="36">
        <f>+B18/(table11!$B17*1000)*100</f>
        <v>0.41695263678529226</v>
      </c>
      <c r="H18" s="36">
        <f>+C18/(table11!$B17*1000)*100</f>
        <v>0.41695263678529226</v>
      </c>
      <c r="I18" s="36">
        <f>+D18/(table11!$B17*1000)*100</f>
        <v>0</v>
      </c>
      <c r="J18" s="36">
        <f>+E18/(table11!$B17*1000)*100</f>
        <v>0</v>
      </c>
    </row>
    <row r="19" spans="1:10">
      <c r="A19" s="3" t="s">
        <v>7</v>
      </c>
      <c r="B19" s="1">
        <f t="shared" si="0"/>
        <v>194227676.28999999</v>
      </c>
      <c r="C19" s="40">
        <f>'table 2a'!C18</f>
        <v>165372091</v>
      </c>
      <c r="D19" s="2">
        <f>+table4!$C18</f>
        <v>15331993.289999999</v>
      </c>
      <c r="E19" s="2">
        <f>+table5!$C18</f>
        <v>13523592</v>
      </c>
      <c r="F19" s="2"/>
      <c r="G19" s="36">
        <f>+B19/(table11!$B18*1000)*100</f>
        <v>0.98699509926653128</v>
      </c>
      <c r="H19" s="36">
        <f>+C19/(table11!$B18*1000)*100</f>
        <v>0.84036140724226172</v>
      </c>
      <c r="I19" s="36">
        <f>+D19/(table11!$B18*1000)*100</f>
        <v>7.7911668039641058E-2</v>
      </c>
      <c r="J19" s="36">
        <f>+E19/(table11!$B18*1000)*100</f>
        <v>6.872202398462865E-2</v>
      </c>
    </row>
    <row r="20" spans="1:10">
      <c r="A20" s="3" t="s">
        <v>8</v>
      </c>
      <c r="B20" s="1">
        <f t="shared" si="0"/>
        <v>69361934.769999996</v>
      </c>
      <c r="C20" s="40">
        <f>'table 2a'!C19</f>
        <v>67156014</v>
      </c>
      <c r="D20" s="2">
        <f>+table4!$C19</f>
        <v>2205920.77</v>
      </c>
      <c r="E20" s="2">
        <f>+table5!$C19</f>
        <v>0</v>
      </c>
      <c r="F20" s="2"/>
      <c r="G20" s="36">
        <f>+B20/(table11!$B19*1000)*100</f>
        <v>0.65690549102173701</v>
      </c>
      <c r="H20" s="36">
        <f>+C20/(table11!$B19*1000)*100</f>
        <v>0.63601389577750156</v>
      </c>
      <c r="I20" s="36">
        <f>+D20/(table11!$B19*1000)*100</f>
        <v>2.0891595244235405E-2</v>
      </c>
      <c r="J20" s="36">
        <f>+E20/(table11!$B19*1000)*100</f>
        <v>0</v>
      </c>
    </row>
    <row r="21" spans="1:10">
      <c r="A21" s="3" t="s">
        <v>198</v>
      </c>
      <c r="B21" s="1">
        <f t="shared" si="0"/>
        <v>164385338.97</v>
      </c>
      <c r="C21" s="40">
        <f>'table 2a'!C20</f>
        <v>145620700</v>
      </c>
      <c r="D21" s="2">
        <f>+table4!$C20</f>
        <v>3764186.97</v>
      </c>
      <c r="E21" s="2">
        <f>+table5!$C20</f>
        <v>15000452</v>
      </c>
      <c r="F21" s="2"/>
      <c r="G21" s="36">
        <f>+B21/(table11!$B20*1000)*100</f>
        <v>0.9382002969748674</v>
      </c>
      <c r="H21" s="36">
        <f>+C21/(table11!$B20*1000)*100</f>
        <v>0.83110443328903683</v>
      </c>
      <c r="I21" s="36">
        <f>+D21/(table11!$B20*1000)*100</f>
        <v>2.1483432496175525E-2</v>
      </c>
      <c r="J21" s="36">
        <f>+E21/(table11!$B20*1000)*100</f>
        <v>8.5612431189655044E-2</v>
      </c>
    </row>
    <row r="22" spans="1:10">
      <c r="A22" s="3" t="s">
        <v>10</v>
      </c>
      <c r="B22" s="1">
        <f t="shared" si="0"/>
        <v>16759410</v>
      </c>
      <c r="C22" s="40">
        <f>'table 2a'!C21</f>
        <v>16481888</v>
      </c>
      <c r="D22" s="2">
        <f>+table4!$C21</f>
        <v>277522</v>
      </c>
      <c r="E22" s="2">
        <f>+table5!$C21</f>
        <v>0</v>
      </c>
      <c r="F22" s="2"/>
      <c r="G22" s="36">
        <f>+B22/(table11!$B21*1000)*100</f>
        <v>0.51894976476132737</v>
      </c>
      <c r="H22" s="36">
        <f>+C22/(table11!$B21*1000)*100</f>
        <v>0.51035638488601598</v>
      </c>
      <c r="I22" s="36">
        <f>+D22/(table11!$B21*1000)*100</f>
        <v>8.5933798753114275E-3</v>
      </c>
      <c r="J22" s="36">
        <f>+E22/(table11!$B21*1000)*100</f>
        <v>0</v>
      </c>
    </row>
    <row r="23" spans="1:10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>
      <c r="A24" s="3" t="s">
        <v>11</v>
      </c>
      <c r="B24" s="1">
        <f t="shared" si="0"/>
        <v>307173858</v>
      </c>
      <c r="C24" s="40">
        <f>'table 2a'!C23</f>
        <v>230794715</v>
      </c>
      <c r="D24" s="2">
        <f>+table4!$C23</f>
        <v>9873073</v>
      </c>
      <c r="E24" s="2">
        <f>+table5!$C23</f>
        <v>66506070</v>
      </c>
      <c r="F24" s="2"/>
      <c r="G24" s="36">
        <f>+B24/(table11!$B23*1000)*100</f>
        <v>1.131215972479062</v>
      </c>
      <c r="H24" s="36">
        <f>+C24/(table11!$B23*1000)*100</f>
        <v>0.84993778335053816</v>
      </c>
      <c r="I24" s="36">
        <f>+D24/(table11!$B23*1000)*100</f>
        <v>3.6359141848105347E-2</v>
      </c>
      <c r="J24" s="36">
        <f>+E24/(table11!$B23*1000)*100</f>
        <v>0.24491904728041855</v>
      </c>
    </row>
    <row r="25" spans="1:10">
      <c r="A25" s="3" t="s">
        <v>12</v>
      </c>
      <c r="B25" s="1">
        <f t="shared" si="0"/>
        <v>25018101.950000003</v>
      </c>
      <c r="C25" s="40">
        <f>'table 2a'!C24</f>
        <v>24870066.100000001</v>
      </c>
      <c r="D25" s="2">
        <f>+table4!$C24</f>
        <v>148035.85</v>
      </c>
      <c r="E25" s="2">
        <f>+table5!$C24</f>
        <v>0</v>
      </c>
      <c r="F25" s="2"/>
      <c r="G25" s="36">
        <f>+B25/(table11!$B24*1000)*100</f>
        <v>0.50255175751785686</v>
      </c>
      <c r="H25" s="36">
        <f>+C25/(table11!$B24*1000)*100</f>
        <v>0.49957808362597517</v>
      </c>
      <c r="I25" s="36">
        <f>+D25/(table11!$B24*1000)*100</f>
        <v>2.973673891881707E-3</v>
      </c>
      <c r="J25" s="36">
        <f>+E25/(table11!$B24*1000)*100</f>
        <v>0</v>
      </c>
    </row>
    <row r="26" spans="1:10">
      <c r="A26" s="3" t="s">
        <v>13</v>
      </c>
      <c r="B26" s="1">
        <f t="shared" si="0"/>
        <v>260006696.05000001</v>
      </c>
      <c r="C26" s="40">
        <f>'table 2a'!C25</f>
        <v>217782344</v>
      </c>
      <c r="D26" s="2">
        <f>+table4!$C25</f>
        <v>12068710</v>
      </c>
      <c r="E26" s="2">
        <f>+table5!$C25</f>
        <v>30155642.050000001</v>
      </c>
      <c r="F26" s="2"/>
      <c r="G26" s="36">
        <f>+B26/(table11!$B25*1000)*100</f>
        <v>0.94646083924379876</v>
      </c>
      <c r="H26" s="36">
        <f>+C26/(table11!$B25*1000)*100</f>
        <v>0.79275827586795589</v>
      </c>
      <c r="I26" s="36">
        <f>+D26/(table11!$B25*1000)*100</f>
        <v>4.3931797021848379E-2</v>
      </c>
      <c r="J26" s="36">
        <f>+E26/(table11!$B25*1000)*100</f>
        <v>0.1097707663539944</v>
      </c>
    </row>
    <row r="27" spans="1:10">
      <c r="A27" s="3" t="s">
        <v>14</v>
      </c>
      <c r="B27" s="1">
        <f t="shared" si="0"/>
        <v>570008670</v>
      </c>
      <c r="C27" s="40">
        <f>'table 2a'!C26</f>
        <v>467617041</v>
      </c>
      <c r="D27" s="2">
        <f>+table4!$C26</f>
        <v>60108808</v>
      </c>
      <c r="E27" s="2">
        <f>+table5!$C26</f>
        <v>42282821</v>
      </c>
      <c r="F27" s="2"/>
      <c r="G27" s="36">
        <f>+B27/(table11!$B26*1000)*100</f>
        <v>1.2670779109243995</v>
      </c>
      <c r="H27" s="36">
        <f>+C27/(table11!$B26*1000)*100</f>
        <v>1.0394705459882378</v>
      </c>
      <c r="I27" s="36">
        <f>+D27/(table11!$B26*1000)*100</f>
        <v>0.1336164638843052</v>
      </c>
      <c r="J27" s="36">
        <f>+E27/(table11!$B26*1000)*100</f>
        <v>9.3990901051856507E-2</v>
      </c>
    </row>
    <row r="28" spans="1:10">
      <c r="A28" s="3" t="s">
        <v>15</v>
      </c>
      <c r="B28" s="1">
        <f t="shared" si="0"/>
        <v>16128112</v>
      </c>
      <c r="C28" s="40">
        <f>'table 2a'!C27</f>
        <v>16128112</v>
      </c>
      <c r="D28" s="2">
        <f>+table4!$C27</f>
        <v>0</v>
      </c>
      <c r="E28" s="2">
        <f>+table5!$C27</f>
        <v>0</v>
      </c>
      <c r="F28" s="2"/>
      <c r="G28" s="36">
        <f>+B28/(table11!$B27*1000)*100</f>
        <v>0.51122730152913842</v>
      </c>
      <c r="H28" s="36">
        <f>+C28/(table11!$B27*1000)*100</f>
        <v>0.51122730152913842</v>
      </c>
      <c r="I28" s="36">
        <f>+D28/(table11!$B27*1000)*100</f>
        <v>0</v>
      </c>
      <c r="J28" s="36">
        <f>+E28/(table11!$B27*1000)*100</f>
        <v>0</v>
      </c>
    </row>
    <row r="29" spans="1:10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>
      <c r="A30" s="3" t="s">
        <v>16</v>
      </c>
      <c r="B30" s="1">
        <f t="shared" si="0"/>
        <v>1945509261.29</v>
      </c>
      <c r="C30" s="40">
        <f>'table 2a'!C29</f>
        <v>1370271392.29</v>
      </c>
      <c r="D30" s="2">
        <f>+table4!$C29</f>
        <v>338895857</v>
      </c>
      <c r="E30" s="2">
        <f>+table5!$C29</f>
        <v>236342012</v>
      </c>
      <c r="F30" s="2"/>
      <c r="G30" s="36">
        <f>+B30/(table11!$B29*1000)*100</f>
        <v>1.1597630954707605</v>
      </c>
      <c r="H30" s="36">
        <f>+C30/(table11!$B29*1000)*100</f>
        <v>0.81685048906091684</v>
      </c>
      <c r="I30" s="36">
        <f>+D30/(table11!$B29*1000)*100</f>
        <v>0.2020236634062208</v>
      </c>
      <c r="J30" s="36">
        <f>+E30/(table11!$B30*1000)*100</f>
        <v>0.27469850805250656</v>
      </c>
    </row>
    <row r="31" spans="1:10">
      <c r="A31" s="3" t="s">
        <v>17</v>
      </c>
      <c r="B31" s="1">
        <f t="shared" si="0"/>
        <v>822958319.78999996</v>
      </c>
      <c r="C31" s="40">
        <f>'table 2a'!C30</f>
        <v>598027884.78999996</v>
      </c>
      <c r="D31" s="2">
        <f>+table4!$C30</f>
        <v>65299985</v>
      </c>
      <c r="E31" s="2">
        <f>+table5!$C30</f>
        <v>159630450</v>
      </c>
      <c r="F31" s="2"/>
      <c r="G31" s="36">
        <f>+B31/(table11!$B30*1000)*100</f>
        <v>0.95651814386563894</v>
      </c>
      <c r="H31" s="36">
        <f>+C31/(table11!$B30*1000)*100</f>
        <v>0.69508322424541802</v>
      </c>
      <c r="I31" s="36">
        <f>+D31/(table11!$B30*1000)*100</f>
        <v>7.5897671783174372E-2</v>
      </c>
      <c r="J31" s="36">
        <f>+E31/(table11!$B30*1000)*100</f>
        <v>0.18553724783704661</v>
      </c>
    </row>
    <row r="32" spans="1:10">
      <c r="A32" s="3" t="s">
        <v>18</v>
      </c>
      <c r="B32" s="1">
        <f t="shared" si="0"/>
        <v>51881911.549999997</v>
      </c>
      <c r="C32" s="40">
        <f>'table 2a'!C31</f>
        <v>43528032</v>
      </c>
      <c r="D32" s="2">
        <f>+table4!$C31</f>
        <v>8353879.5499999998</v>
      </c>
      <c r="E32" s="2">
        <f>+table5!$C31</f>
        <v>0</v>
      </c>
      <c r="F32" s="2"/>
      <c r="G32" s="36">
        <f>+B32/(table11!$B31*1000)*100</f>
        <v>0.60724092379149697</v>
      </c>
      <c r="H32" s="36">
        <f>+C32/(table11!$B31*1000)*100</f>
        <v>0.50946469728727328</v>
      </c>
      <c r="I32" s="36">
        <f>+D32/(table11!$B31*1000)*100</f>
        <v>9.7776226504223601E-2</v>
      </c>
      <c r="J32" s="36">
        <f>+E32/(table11!$B31*1000)*100</f>
        <v>0</v>
      </c>
    </row>
    <row r="33" spans="1:10">
      <c r="A33" s="3" t="s">
        <v>19</v>
      </c>
      <c r="B33" s="1">
        <f t="shared" si="0"/>
        <v>89493945.719999999</v>
      </c>
      <c r="C33" s="40">
        <f>'table 2a'!C32</f>
        <v>77045860</v>
      </c>
      <c r="D33" s="2">
        <f>+table4!$C32</f>
        <v>6080746.7199999997</v>
      </c>
      <c r="E33" s="2">
        <f>+table5!$C32</f>
        <v>6367339</v>
      </c>
      <c r="F33" s="2"/>
      <c r="G33" s="36">
        <f>+B33/(table11!$B32*1000)*100</f>
        <v>0.71211554175964908</v>
      </c>
      <c r="H33" s="36">
        <f>+C33/(table11!$B32*1000)*100</f>
        <v>0.61306442455779209</v>
      </c>
      <c r="I33" s="36">
        <f>+D33/(table11!$B32*1000)*100</f>
        <v>4.8385331655438485E-2</v>
      </c>
      <c r="J33" s="36">
        <f>+E33/(table11!$B32*1000)*100</f>
        <v>5.0665785546418547E-2</v>
      </c>
    </row>
    <row r="34" spans="1:10">
      <c r="A34" s="3" t="s">
        <v>20</v>
      </c>
      <c r="B34" s="1">
        <f t="shared" si="0"/>
        <v>8724251.2200000007</v>
      </c>
      <c r="C34" s="40">
        <f>'table 2a'!C33</f>
        <v>8724251.2200000007</v>
      </c>
      <c r="D34" s="2">
        <f>+table4!$C33</f>
        <v>0</v>
      </c>
      <c r="E34" s="2">
        <f>+table5!$C33</f>
        <v>0</v>
      </c>
      <c r="F34" s="2"/>
      <c r="G34" s="36">
        <f>+B34/(table11!$B33*1000)*100</f>
        <v>0.51719034653245244</v>
      </c>
      <c r="H34" s="36">
        <f>+C34/(table11!$B33*1000)*100</f>
        <v>0.51719034653245244</v>
      </c>
      <c r="I34" s="36">
        <f>+D34/(table11!$B33*1000)*100</f>
        <v>0</v>
      </c>
      <c r="J34" s="36">
        <f>+E34/(table11!$B33*1000)*100</f>
        <v>0</v>
      </c>
    </row>
    <row r="35" spans="1:10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>
      <c r="A36" s="3" t="s">
        <v>21</v>
      </c>
      <c r="B36" s="1">
        <f t="shared" si="0"/>
        <v>37429350.799999997</v>
      </c>
      <c r="C36" s="40">
        <f>'table 2a'!C35</f>
        <v>32403006</v>
      </c>
      <c r="D36" s="2">
        <f>+table4!$C35</f>
        <v>1690343.8</v>
      </c>
      <c r="E36" s="2">
        <f>+table5!$C35</f>
        <v>3336001</v>
      </c>
      <c r="F36" s="2"/>
      <c r="G36" s="36">
        <f>+B36/(table11!$B35*1000)*100</f>
        <v>0.38465622359489104</v>
      </c>
      <c r="H36" s="36">
        <f>+C36/(table11!$B35*1000)*100</f>
        <v>0.33300117834484583</v>
      </c>
      <c r="I36" s="36">
        <f>+D36/(table11!$B35*1000)*100</f>
        <v>1.7371427737534733E-2</v>
      </c>
      <c r="J36" s="36">
        <f>+E36/(table11!$B35*1000)*100</f>
        <v>3.4283617512510536E-2</v>
      </c>
    </row>
    <row r="37" spans="1:10">
      <c r="A37" s="3" t="s">
        <v>22</v>
      </c>
      <c r="B37" s="1">
        <f t="shared" si="0"/>
        <v>95723148.730000004</v>
      </c>
      <c r="C37" s="40">
        <f>'table 2a'!C36</f>
        <v>89544543.730000004</v>
      </c>
      <c r="D37" s="2">
        <f>+table4!$C36</f>
        <v>0</v>
      </c>
      <c r="E37" s="2">
        <f>+table5!$C36</f>
        <v>6178605</v>
      </c>
      <c r="F37" s="2"/>
      <c r="G37" s="36">
        <f>+B37/(table11!$B36*1000)*100</f>
        <v>0.72153016597135367</v>
      </c>
      <c r="H37" s="36">
        <f>+C37/(table11!$B36*1000)*100</f>
        <v>0.67495783785356511</v>
      </c>
      <c r="I37" s="36">
        <f>+D37/(table11!$B36*1000)*100</f>
        <v>0</v>
      </c>
      <c r="J37" s="36">
        <f>+E37/(table11!$B36*1000)*100</f>
        <v>4.6572328117788567E-2</v>
      </c>
    </row>
    <row r="38" spans="1:10">
      <c r="A38" s="3" t="s">
        <v>23</v>
      </c>
      <c r="B38" s="1">
        <f t="shared" si="0"/>
        <v>47019411.039999999</v>
      </c>
      <c r="C38" s="40">
        <f>'table 2a'!C37</f>
        <v>36196892.039999999</v>
      </c>
      <c r="D38" s="2">
        <f>+table4!$C37</f>
        <v>0</v>
      </c>
      <c r="E38" s="2">
        <f>+table5!$C37</f>
        <v>10822519</v>
      </c>
      <c r="F38" s="2"/>
      <c r="G38" s="36">
        <f>+B38/(table11!$B37*1000)*100</f>
        <v>0.66066363439523712</v>
      </c>
      <c r="H38" s="36">
        <f>+C38/(table11!$B37*1000)*100</f>
        <v>0.50859782630230133</v>
      </c>
      <c r="I38" s="36">
        <f>+D38/(table11!$B37*1000)*100</f>
        <v>0</v>
      </c>
      <c r="J38" s="36">
        <f>+E38/(table11!$B37*1000)*100</f>
        <v>0.15206580809293582</v>
      </c>
    </row>
    <row r="39" spans="1:10">
      <c r="A39" s="12" t="s">
        <v>24</v>
      </c>
      <c r="B39" s="14">
        <f t="shared" si="0"/>
        <v>75488903.340000004</v>
      </c>
      <c r="C39" s="41">
        <f>'table 2a'!C38</f>
        <v>71939828</v>
      </c>
      <c r="D39" s="13">
        <f>+table4!$C38</f>
        <v>3549075.34</v>
      </c>
      <c r="E39" s="13">
        <f>+table5!$C38</f>
        <v>0</v>
      </c>
      <c r="F39" s="13"/>
      <c r="G39" s="35">
        <f>+B39/(table11!$B38*1000)*100</f>
        <v>0.43059140149697861</v>
      </c>
      <c r="H39" s="35">
        <f>+C39/(table11!$B38*1000)*100</f>
        <v>0.41034734896668823</v>
      </c>
      <c r="I39" s="35">
        <f>+D39/(table11!$B38*1000)*100</f>
        <v>2.0244052530290282E-2</v>
      </c>
      <c r="J39" s="35">
        <f>+E39/(table11!$B38*1000)*100</f>
        <v>0</v>
      </c>
    </row>
    <row r="40" spans="1:10">
      <c r="A40" s="57"/>
      <c r="B40" s="1"/>
      <c r="G40" s="36"/>
      <c r="H40" s="36"/>
      <c r="I40" s="36"/>
      <c r="J40" s="36"/>
    </row>
    <row r="41" spans="1:10">
      <c r="A41" s="64"/>
    </row>
  </sheetData>
  <sheetProtection password="CAF5" sheet="1" objects="1" scenarios="1"/>
  <mergeCells count="5">
    <mergeCell ref="G6:J6"/>
    <mergeCell ref="A1:J1"/>
    <mergeCell ref="A3:J3"/>
    <mergeCell ref="A4:J4"/>
    <mergeCell ref="B6:E6"/>
  </mergeCells>
  <phoneticPr fontId="0" type="noConversion"/>
  <printOptions horizontalCentered="1"/>
  <pageMargins left="0.61" right="0.69" top="0.83" bottom="1" header="0.67" footer="0.5"/>
  <pageSetup scale="97" orientation="landscape" r:id="rId1"/>
  <headerFooter alignWithMargins="0">
    <oddHeader xml:space="preserve">&amp;R
</oddHeader>
    <oddFooter>&amp;L&amp;"Arial,Italic"&amp;9MSDE - LFRO  12 / 2014&amp;C- 20 -&amp;R&amp;"Arial,Italic"&amp;9Selected Financial Data-Part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Normal="100" workbookViewId="0">
      <selection sqref="A1:J1"/>
    </sheetView>
  </sheetViews>
  <sheetFormatPr defaultRowHeight="12.75"/>
  <cols>
    <col min="1" max="1" width="14.28515625" bestFit="1" customWidth="1"/>
    <col min="2" max="2" width="16.5703125" bestFit="1" customWidth="1"/>
    <col min="3" max="3" width="16.85546875" bestFit="1" customWidth="1"/>
    <col min="4" max="4" width="14.42578125" bestFit="1" customWidth="1"/>
    <col min="5" max="5" width="15.140625" bestFit="1" customWidth="1"/>
    <col min="6" max="6" width="4.7109375" customWidth="1"/>
    <col min="7" max="7" width="11.7109375" customWidth="1"/>
    <col min="8" max="8" width="11.42578125" customWidth="1"/>
    <col min="9" max="9" width="11.140625" customWidth="1"/>
    <col min="10" max="10" width="12.7109375" customWidth="1"/>
  </cols>
  <sheetData>
    <row r="1" spans="1:10">
      <c r="A1" s="469" t="s">
        <v>221</v>
      </c>
      <c r="B1" s="469"/>
      <c r="C1" s="469"/>
      <c r="D1" s="469"/>
      <c r="E1" s="469"/>
      <c r="F1" s="469"/>
      <c r="G1" s="469"/>
      <c r="H1" s="469"/>
      <c r="I1" s="469"/>
      <c r="J1" s="469"/>
    </row>
    <row r="3" spans="1:10">
      <c r="A3" s="469" t="s">
        <v>220</v>
      </c>
      <c r="B3" s="469"/>
      <c r="C3" s="469"/>
      <c r="D3" s="469"/>
      <c r="E3" s="469"/>
      <c r="F3" s="469"/>
      <c r="G3" s="469"/>
      <c r="H3" s="469"/>
      <c r="I3" s="469"/>
      <c r="J3" s="469"/>
    </row>
    <row r="4" spans="1:10">
      <c r="A4" s="461" t="s">
        <v>274</v>
      </c>
      <c r="B4" s="469"/>
      <c r="C4" s="469"/>
      <c r="D4" s="469"/>
      <c r="E4" s="469"/>
      <c r="F4" s="469"/>
      <c r="G4" s="469"/>
      <c r="H4" s="469"/>
      <c r="I4" s="469"/>
      <c r="J4" s="469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Top="1">
      <c r="A6" s="3"/>
      <c r="B6" s="556" t="s">
        <v>172</v>
      </c>
      <c r="C6" s="556"/>
      <c r="D6" s="556"/>
      <c r="E6" s="556"/>
      <c r="F6" s="192"/>
      <c r="G6" s="502" t="s">
        <v>219</v>
      </c>
      <c r="H6" s="502"/>
      <c r="I6" s="502"/>
      <c r="J6" s="502"/>
    </row>
    <row r="7" spans="1:10">
      <c r="A7" s="3" t="s">
        <v>77</v>
      </c>
      <c r="B7" s="4"/>
      <c r="C7" s="76" t="s">
        <v>109</v>
      </c>
      <c r="D7" s="4" t="s">
        <v>34</v>
      </c>
      <c r="E7" s="4"/>
      <c r="F7" s="4"/>
      <c r="G7" s="4"/>
      <c r="H7" s="4"/>
      <c r="I7" s="4" t="s">
        <v>34</v>
      </c>
      <c r="J7" s="4"/>
    </row>
    <row r="8" spans="1:10">
      <c r="A8" s="3" t="s">
        <v>33</v>
      </c>
      <c r="B8" s="4" t="s">
        <v>108</v>
      </c>
      <c r="C8" s="75" t="s">
        <v>58</v>
      </c>
      <c r="D8" s="4" t="s">
        <v>39</v>
      </c>
      <c r="E8" s="4" t="s">
        <v>41</v>
      </c>
      <c r="F8" s="4"/>
      <c r="G8" s="4" t="s">
        <v>108</v>
      </c>
      <c r="H8" s="4" t="s">
        <v>109</v>
      </c>
      <c r="I8" s="4" t="s">
        <v>39</v>
      </c>
      <c r="J8" s="4" t="s">
        <v>41</v>
      </c>
    </row>
    <row r="9" spans="1:10" ht="13.5" thickBot="1">
      <c r="A9" s="7" t="s">
        <v>132</v>
      </c>
      <c r="B9" s="8" t="s">
        <v>45</v>
      </c>
      <c r="C9" s="187"/>
      <c r="D9" s="8" t="s">
        <v>40</v>
      </c>
      <c r="E9" s="8" t="s">
        <v>38</v>
      </c>
      <c r="F9" s="8"/>
      <c r="G9" s="8" t="s">
        <v>45</v>
      </c>
      <c r="H9" s="8" t="s">
        <v>116</v>
      </c>
      <c r="I9" s="8" t="s">
        <v>40</v>
      </c>
      <c r="J9" s="8" t="s">
        <v>38</v>
      </c>
    </row>
    <row r="10" spans="1:10">
      <c r="A10" s="3" t="s">
        <v>0</v>
      </c>
      <c r="B10" s="10">
        <f>SUM(B12:B39)</f>
        <v>6630152798.1700001</v>
      </c>
      <c r="C10" s="10">
        <f>SUM(C12:C39)</f>
        <v>5291722184.1499996</v>
      </c>
      <c r="D10" s="10">
        <f>SUM(D12:D39)</f>
        <v>642954515.04999995</v>
      </c>
      <c r="E10" s="10">
        <f>SUM(E12:E39)</f>
        <v>695476098.97000003</v>
      </c>
      <c r="F10" s="10"/>
      <c r="G10" s="37">
        <f>+B10/table9!C10</f>
        <v>1.5978224120421759E-2</v>
      </c>
      <c r="H10" s="37">
        <f>+C10/table9!C10</f>
        <v>1.2752695995889246E-2</v>
      </c>
      <c r="I10" s="37">
        <f>+D10/table9!C10</f>
        <v>1.5494773127312433E-3</v>
      </c>
      <c r="J10" s="37">
        <f>E10/table9!C10</f>
        <v>1.6760508118012693E-3</v>
      </c>
    </row>
    <row r="11" spans="1:10">
      <c r="A11" s="3"/>
      <c r="C11" s="4"/>
      <c r="D11" s="4"/>
      <c r="E11" s="4"/>
      <c r="F11" s="4"/>
    </row>
    <row r="12" spans="1:10">
      <c r="A12" s="3" t="s">
        <v>1</v>
      </c>
      <c r="B12" s="1">
        <f t="shared" ref="B12:B39" si="0">SUM(C12:E12)</f>
        <v>28779656.309999999</v>
      </c>
      <c r="C12" s="40">
        <f>'table 2a'!C11</f>
        <v>28256000</v>
      </c>
      <c r="D12" s="2">
        <f>+table4!$C11</f>
        <v>523656.31</v>
      </c>
      <c r="E12" s="199">
        <f>+table5!$C11</f>
        <v>0</v>
      </c>
      <c r="F12" s="2"/>
      <c r="G12" s="36">
        <f>+B12/table9!C12*100</f>
        <v>1.1657035891769763</v>
      </c>
      <c r="H12" s="36">
        <f>(+C12/table9!C12)*100</f>
        <v>1.1444931885562413</v>
      </c>
      <c r="I12" s="36">
        <f>(+D12/table9!C12)*100</f>
        <v>2.1210400620735256E-2</v>
      </c>
      <c r="J12" s="36">
        <f>(E12/table9!C12)*100</f>
        <v>0</v>
      </c>
    </row>
    <row r="13" spans="1:10">
      <c r="A13" s="3" t="s">
        <v>2</v>
      </c>
      <c r="B13" s="1">
        <f t="shared" si="0"/>
        <v>614915576</v>
      </c>
      <c r="C13" s="40">
        <f>'table 2a'!C12</f>
        <v>556105600</v>
      </c>
      <c r="D13" s="2">
        <f>+table4!$C12</f>
        <v>5532637</v>
      </c>
      <c r="E13" s="199">
        <f>+table5!$C12</f>
        <v>53277339</v>
      </c>
      <c r="F13" s="2"/>
      <c r="G13" s="36">
        <f>+B13/table9!C13*100</f>
        <v>1.3297406620624195</v>
      </c>
      <c r="H13" s="36">
        <f>(+C13/table9!C13)*100</f>
        <v>1.2025654538316963</v>
      </c>
      <c r="I13" s="36">
        <f>(+D13/table9!C13)*100</f>
        <v>1.1964199110368669E-2</v>
      </c>
      <c r="J13" s="36">
        <f>(E13/table9!C13)*100</f>
        <v>0.11521100912035437</v>
      </c>
    </row>
    <row r="14" spans="1:10">
      <c r="A14" s="3" t="s">
        <v>3</v>
      </c>
      <c r="B14" s="1">
        <f t="shared" si="0"/>
        <v>254982926.34999999</v>
      </c>
      <c r="C14" s="40">
        <f>'table 2a'!C13</f>
        <v>237952761.98000002</v>
      </c>
      <c r="D14" s="2">
        <f>+table4!$C13</f>
        <v>5726240.4500000002</v>
      </c>
      <c r="E14" s="199">
        <f>+table5!$C13</f>
        <v>11303923.92</v>
      </c>
      <c r="F14" s="2"/>
      <c r="G14" s="36">
        <f>+B14/table9!C14*100</f>
        <v>1.1144717039989391</v>
      </c>
      <c r="H14" s="36">
        <f>(+C14/table9!C14)*100</f>
        <v>1.0400367738783094</v>
      </c>
      <c r="I14" s="36">
        <f>(+D14/table9!C14)*100</f>
        <v>2.502807949995571E-2</v>
      </c>
      <c r="J14" s="36">
        <f>(E14/table9!C14)*100</f>
        <v>4.9406850620673987E-2</v>
      </c>
    </row>
    <row r="15" spans="1:10">
      <c r="A15" s="3" t="s">
        <v>4</v>
      </c>
      <c r="B15" s="1">
        <f t="shared" si="0"/>
        <v>800850311</v>
      </c>
      <c r="C15" s="40">
        <f>'table 2a'!C14</f>
        <v>668543770</v>
      </c>
      <c r="D15" s="2">
        <f>+table4!$C14</f>
        <v>98100917</v>
      </c>
      <c r="E15" s="199">
        <f>+table5!$C14</f>
        <v>34205624</v>
      </c>
      <c r="F15" s="2"/>
      <c r="G15" s="36">
        <f>+B15/table9!C15*100</f>
        <v>1.5562224017722579</v>
      </c>
      <c r="H15" s="36">
        <f>(+C15/table9!C15)*100</f>
        <v>1.2991226664320794</v>
      </c>
      <c r="I15" s="36">
        <f>(+D15/table9!C15)*100</f>
        <v>0.19063093635959261</v>
      </c>
      <c r="J15" s="36">
        <f>(E15/table9!C15)*100</f>
        <v>6.6468798980586011E-2</v>
      </c>
    </row>
    <row r="16" spans="1:10">
      <c r="A16" s="3" t="s">
        <v>5</v>
      </c>
      <c r="B16" s="1">
        <f t="shared" si="0"/>
        <v>121026583</v>
      </c>
      <c r="C16" s="40">
        <f>'table 2a'!C15</f>
        <v>109059947</v>
      </c>
      <c r="D16" s="2">
        <f>+table4!$C15</f>
        <v>5422927</v>
      </c>
      <c r="E16" s="199">
        <f>+table5!$C15</f>
        <v>6543709</v>
      </c>
      <c r="F16" s="2"/>
      <c r="G16" s="36">
        <f>+B16/table9!C16*100</f>
        <v>1.5734503259169026</v>
      </c>
      <c r="H16" s="36">
        <f>(+C16/table9!C16)*100</f>
        <v>1.4178737009507252</v>
      </c>
      <c r="I16" s="36">
        <f>(+D16/table9!C16)*100</f>
        <v>7.0502744472043563E-2</v>
      </c>
      <c r="J16" s="36">
        <f>(E16/table9!C16)*100</f>
        <v>8.5073880494133836E-2</v>
      </c>
    </row>
    <row r="17" spans="1:10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>
      <c r="A18" s="3" t="s">
        <v>6</v>
      </c>
      <c r="B18" s="1">
        <f t="shared" si="0"/>
        <v>12299444</v>
      </c>
      <c r="C18" s="40">
        <f>'table 2a'!C17</f>
        <v>12299444</v>
      </c>
      <c r="D18" s="2">
        <f>+table4!$C17</f>
        <v>0</v>
      </c>
      <c r="E18" s="199">
        <f>+table5!$C17</f>
        <v>0</v>
      </c>
      <c r="F18" s="2"/>
      <c r="G18" s="36">
        <f>+B18/table9!C18*100</f>
        <v>0.73351743206791487</v>
      </c>
      <c r="H18" s="36">
        <f>(+C18/table9!C18)*100</f>
        <v>0.73351743206791487</v>
      </c>
      <c r="I18" s="36">
        <f>(+D18/table9!C18)*100</f>
        <v>0</v>
      </c>
      <c r="J18" s="36">
        <f>(E18/table9!C18)*100</f>
        <v>0</v>
      </c>
    </row>
    <row r="19" spans="1:10">
      <c r="A19" s="3" t="s">
        <v>7</v>
      </c>
      <c r="B19" s="1">
        <f t="shared" si="0"/>
        <v>194227676.28999999</v>
      </c>
      <c r="C19" s="40">
        <f>'table 2a'!C18</f>
        <v>165372091</v>
      </c>
      <c r="D19" s="2">
        <f>+table4!$C18</f>
        <v>15331993.289999999</v>
      </c>
      <c r="E19" s="199">
        <f>+table5!$C18</f>
        <v>13523592</v>
      </c>
      <c r="F19" s="2"/>
      <c r="G19" s="36">
        <f>+B19/table9!C19*100</f>
        <v>1.6348499315745459</v>
      </c>
      <c r="H19" s="36">
        <f>(+C19/table9!C19)*100</f>
        <v>1.3919671841824393</v>
      </c>
      <c r="I19" s="36">
        <f>(+D19/table9!C19)*100</f>
        <v>0.12905219616401509</v>
      </c>
      <c r="J19" s="36">
        <f>(E19/table9!C19)*100</f>
        <v>0.11383055122809183</v>
      </c>
    </row>
    <row r="20" spans="1:10">
      <c r="A20" s="3" t="s">
        <v>8</v>
      </c>
      <c r="B20" s="1">
        <f t="shared" si="0"/>
        <v>69361934.769999996</v>
      </c>
      <c r="C20" s="40">
        <f>'table 2a'!C19</f>
        <v>67156014</v>
      </c>
      <c r="D20" s="2">
        <f>+table4!$C19</f>
        <v>2205920.77</v>
      </c>
      <c r="E20" s="199">
        <f>+table5!$C19</f>
        <v>0</v>
      </c>
      <c r="F20" s="2"/>
      <c r="G20" s="36">
        <f>+B20/table9!C20*100</f>
        <v>1.1474054904171911</v>
      </c>
      <c r="H20" s="36">
        <f>(+C20/table9!C20)*100</f>
        <v>1.1109145013564585</v>
      </c>
      <c r="I20" s="36">
        <f>(+D20/table9!C20)*100</f>
        <v>3.6490989060732594E-2</v>
      </c>
      <c r="J20" s="36">
        <f>(E20/table9!C20)*100</f>
        <v>0</v>
      </c>
    </row>
    <row r="21" spans="1:10">
      <c r="A21" s="3" t="s">
        <v>198</v>
      </c>
      <c r="B21" s="1">
        <f t="shared" si="0"/>
        <v>164385338.97</v>
      </c>
      <c r="C21" s="40">
        <f>'table 2a'!C20</f>
        <v>145620700</v>
      </c>
      <c r="D21" s="2">
        <f>+table4!$C20</f>
        <v>3764186.97</v>
      </c>
      <c r="E21" s="199">
        <f>+table5!$C20</f>
        <v>15000452</v>
      </c>
      <c r="F21" s="2"/>
      <c r="G21" s="36">
        <f>+B21/table9!C21*100</f>
        <v>1.5943353820909549</v>
      </c>
      <c r="H21" s="36">
        <f>(+C21/table9!C21)*100</f>
        <v>1.4123414887821752</v>
      </c>
      <c r="I21" s="36">
        <f>(+D21/table9!C21)*100</f>
        <v>3.6507978805652395E-2</v>
      </c>
      <c r="J21" s="36">
        <f>(E21/table9!C21)*100</f>
        <v>0.14548591450312737</v>
      </c>
    </row>
    <row r="22" spans="1:10">
      <c r="A22" s="3" t="s">
        <v>10</v>
      </c>
      <c r="B22" s="1">
        <f t="shared" si="0"/>
        <v>16759410</v>
      </c>
      <c r="C22" s="40">
        <f>'table 2a'!C21</f>
        <v>16481888</v>
      </c>
      <c r="D22" s="2">
        <f>+table4!$C21</f>
        <v>277522</v>
      </c>
      <c r="E22" s="199">
        <f>+table5!$C21</f>
        <v>0</v>
      </c>
      <c r="F22" s="2"/>
      <c r="G22" s="36">
        <f>+B22/table9!C22*100</f>
        <v>0.92988669747881469</v>
      </c>
      <c r="H22" s="36">
        <f>(+C22/table9!C22)*100</f>
        <v>0.91448854109635758</v>
      </c>
      <c r="I22" s="36">
        <f>(+D22/table9!C22)*100</f>
        <v>1.5398156382457116E-2</v>
      </c>
      <c r="J22" s="36">
        <f>(E22/table9!C22)*100</f>
        <v>0</v>
      </c>
    </row>
    <row r="23" spans="1:10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>
      <c r="A24" s="3" t="s">
        <v>11</v>
      </c>
      <c r="B24" s="1">
        <f t="shared" si="0"/>
        <v>307173858</v>
      </c>
      <c r="C24" s="40">
        <f>'table 2a'!C23</f>
        <v>230794715</v>
      </c>
      <c r="D24" s="2">
        <f>+table4!$C23</f>
        <v>9873073</v>
      </c>
      <c r="E24" s="2">
        <f>+table5!$C23</f>
        <v>66506070</v>
      </c>
      <c r="F24" s="2"/>
      <c r="G24" s="36">
        <f>+B24/table9!C24*100</f>
        <v>1.8312126653415746</v>
      </c>
      <c r="H24" s="36">
        <f>(+C24/table9!C24)*100</f>
        <v>1.3758794708431832</v>
      </c>
      <c r="I24" s="36">
        <f>(+D24/table9!C24)*100</f>
        <v>5.885818682995457E-2</v>
      </c>
      <c r="J24" s="36">
        <f>(E24/table9!C24)*100</f>
        <v>0.39647500766843685</v>
      </c>
    </row>
    <row r="25" spans="1:10">
      <c r="A25" s="3" t="s">
        <v>12</v>
      </c>
      <c r="B25" s="1">
        <f t="shared" si="0"/>
        <v>25018101.950000003</v>
      </c>
      <c r="C25" s="40">
        <f>'table 2a'!C24</f>
        <v>24870066.100000001</v>
      </c>
      <c r="D25" s="2">
        <f>+table4!$C24</f>
        <v>148035.85</v>
      </c>
      <c r="E25" s="2">
        <f>+table5!$C24</f>
        <v>0</v>
      </c>
      <c r="F25" s="2"/>
      <c r="G25" s="36">
        <f>+B25/table9!C25*100</f>
        <v>1.0505142227899844</v>
      </c>
      <c r="H25" s="36">
        <f>(+C25/table9!C25)*100</f>
        <v>1.0442981730585297</v>
      </c>
      <c r="I25" s="36">
        <f>(+D25/table9!C25)*100</f>
        <v>6.2160497314547357E-3</v>
      </c>
      <c r="J25" s="36">
        <f>(E25/table9!C25)*100</f>
        <v>0</v>
      </c>
    </row>
    <row r="26" spans="1:10">
      <c r="A26" s="3" t="s">
        <v>13</v>
      </c>
      <c r="B26" s="1">
        <f t="shared" si="0"/>
        <v>260006696.05000001</v>
      </c>
      <c r="C26" s="40">
        <f>'table 2a'!C25</f>
        <v>217782344</v>
      </c>
      <c r="D26" s="2">
        <f>+table4!$C25</f>
        <v>12068710</v>
      </c>
      <c r="E26" s="2">
        <f>+table5!$C25</f>
        <v>30155642.050000001</v>
      </c>
      <c r="F26" s="2"/>
      <c r="G26" s="36">
        <f>+B26/table9!C26*100</f>
        <v>1.5917976668092648</v>
      </c>
      <c r="H26" s="36">
        <f>(+C26/table9!C26)*100</f>
        <v>1.3332942278716853</v>
      </c>
      <c r="I26" s="36">
        <f>(+D26/table9!C26)*100</f>
        <v>7.3886344895145797E-2</v>
      </c>
      <c r="J26" s="36">
        <f>(E26/table9!C26)*100</f>
        <v>0.18461709404243382</v>
      </c>
    </row>
    <row r="27" spans="1:10">
      <c r="A27" s="3" t="s">
        <v>14</v>
      </c>
      <c r="B27" s="1">
        <f t="shared" si="0"/>
        <v>570008670</v>
      </c>
      <c r="C27" s="40">
        <f>'table 2a'!C26</f>
        <v>467617041</v>
      </c>
      <c r="D27" s="2">
        <f>+table4!$C26</f>
        <v>60108808</v>
      </c>
      <c r="E27" s="2">
        <f>+table5!$C26</f>
        <v>42282821</v>
      </c>
      <c r="F27" s="2"/>
      <c r="G27" s="36">
        <f>+B27/table9!C27*100</f>
        <v>2.0882444318819946</v>
      </c>
      <c r="H27" s="36">
        <f>(+C27/table9!C27)*100</f>
        <v>1.7131295250673721</v>
      </c>
      <c r="I27" s="36">
        <f>(+D27/table9!C27)*100</f>
        <v>0.22021048138279004</v>
      </c>
      <c r="J27" s="36">
        <f>(E27/table9!C27)*100</f>
        <v>0.15490442543183261</v>
      </c>
    </row>
    <row r="28" spans="1:10">
      <c r="A28" s="3" t="s">
        <v>15</v>
      </c>
      <c r="B28" s="1">
        <f t="shared" si="0"/>
        <v>16128112</v>
      </c>
      <c r="C28" s="40">
        <f>'table 2a'!C27</f>
        <v>16128112</v>
      </c>
      <c r="D28" s="2">
        <f>+table4!$C27</f>
        <v>0</v>
      </c>
      <c r="E28" s="2">
        <f>+table5!$C27</f>
        <v>0</v>
      </c>
      <c r="F28" s="2"/>
      <c r="G28" s="36">
        <f>+B28/table9!C28*100</f>
        <v>1.0081548969534799</v>
      </c>
      <c r="H28" s="36">
        <f>(+C28/table9!C28)*100</f>
        <v>1.0081548969534799</v>
      </c>
      <c r="I28" s="36">
        <f>(+D28/table9!C28)*100</f>
        <v>0</v>
      </c>
      <c r="J28" s="36">
        <f>(E28/table9!C28)*100</f>
        <v>0</v>
      </c>
    </row>
    <row r="29" spans="1:10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>
      <c r="A30" s="3" t="s">
        <v>16</v>
      </c>
      <c r="B30" s="1">
        <f t="shared" si="0"/>
        <v>1945509261.29</v>
      </c>
      <c r="C30" s="40">
        <f>'table 2a'!C29</f>
        <v>1370271392.29</v>
      </c>
      <c r="D30" s="2">
        <f>+table4!$C29</f>
        <v>338895857</v>
      </c>
      <c r="E30" s="2">
        <f>+table5!$C29</f>
        <v>236342012</v>
      </c>
      <c r="F30" s="2"/>
      <c r="G30" s="36">
        <f>+B30/table9!C30*100</f>
        <v>1.9839613136491203</v>
      </c>
      <c r="H30" s="36">
        <f>(+C30/table9!C30)*100</f>
        <v>1.3973541455674647</v>
      </c>
      <c r="I30" s="36">
        <f>(+D30/table9!C30)*100</f>
        <v>0.34559397018657634</v>
      </c>
      <c r="J30" s="36">
        <f>(E30/table9!C30)*100</f>
        <v>0.24101319789507922</v>
      </c>
    </row>
    <row r="31" spans="1:10">
      <c r="A31" s="3" t="s">
        <v>17</v>
      </c>
      <c r="B31" s="1">
        <f t="shared" si="0"/>
        <v>822958319.78999996</v>
      </c>
      <c r="C31" s="40">
        <f>'table 2a'!C30</f>
        <v>598027884.78999996</v>
      </c>
      <c r="D31" s="2">
        <f>+table4!$C30</f>
        <v>65299985</v>
      </c>
      <c r="E31" s="2">
        <f>+table5!$C30</f>
        <v>159630450</v>
      </c>
      <c r="F31" s="2"/>
      <c r="G31" s="36">
        <f>+B31/table9!C31*100</f>
        <v>1.5706575030743468</v>
      </c>
      <c r="H31" s="36">
        <f>(+C31/table9!C31)*100</f>
        <v>1.1413664115246827</v>
      </c>
      <c r="I31" s="36">
        <f>(+D31/table9!C31)*100</f>
        <v>0.12462831825682769</v>
      </c>
      <c r="J31" s="36">
        <f>(E31/table9!C31)*100</f>
        <v>0.30466277329283642</v>
      </c>
    </row>
    <row r="32" spans="1:10">
      <c r="A32" s="3" t="s">
        <v>18</v>
      </c>
      <c r="B32" s="1">
        <f t="shared" si="0"/>
        <v>51881911.549999997</v>
      </c>
      <c r="C32" s="40">
        <f>'table 2a'!C31</f>
        <v>43528032</v>
      </c>
      <c r="D32" s="2">
        <f>+table4!$C31</f>
        <v>8353879.5499999998</v>
      </c>
      <c r="E32" s="2">
        <f>+table5!$C31</f>
        <v>0</v>
      </c>
      <c r="F32" s="2"/>
      <c r="G32" s="36">
        <f>+B32/table9!C32*100</f>
        <v>1.1676410823130079</v>
      </c>
      <c r="H32" s="36">
        <f>(+C32/table9!C32)*100</f>
        <v>0.97963079765196603</v>
      </c>
      <c r="I32" s="36">
        <f>(+D32/table9!C32)*100</f>
        <v>0.18801028466104205</v>
      </c>
      <c r="J32" s="36">
        <f>(E32/table9!C32)*100</f>
        <v>0</v>
      </c>
    </row>
    <row r="33" spans="1:10">
      <c r="A33" s="3" t="s">
        <v>19</v>
      </c>
      <c r="B33" s="1">
        <f t="shared" si="0"/>
        <v>89493945.719999999</v>
      </c>
      <c r="C33" s="40">
        <f>'table 2a'!C32</f>
        <v>77045860</v>
      </c>
      <c r="D33" s="2">
        <f>+table4!$C32</f>
        <v>6080746.7199999997</v>
      </c>
      <c r="E33" s="2">
        <f>+table5!$C32</f>
        <v>6367339</v>
      </c>
      <c r="F33" s="2"/>
      <c r="G33" s="36">
        <f>+B33/table9!C33*100</f>
        <v>1.2228325617672029</v>
      </c>
      <c r="H33" s="36">
        <f>(+C33/table9!C33)*100</f>
        <v>1.0527436867307818</v>
      </c>
      <c r="I33" s="36">
        <f>(+D33/table9!C33)*100</f>
        <v>8.3086459416364583E-2</v>
      </c>
      <c r="J33" s="36">
        <f>(E33/table9!C33)*100</f>
        <v>8.700241562005652E-2</v>
      </c>
    </row>
    <row r="34" spans="1:10">
      <c r="A34" s="3" t="s">
        <v>20</v>
      </c>
      <c r="B34" s="1">
        <f t="shared" si="0"/>
        <v>8724251.2200000007</v>
      </c>
      <c r="C34" s="40">
        <f>'table 2a'!C33</f>
        <v>8724251.2200000007</v>
      </c>
      <c r="D34" s="2">
        <f>+table4!$C33</f>
        <v>0</v>
      </c>
      <c r="E34" s="2">
        <f>+table5!$C33</f>
        <v>0</v>
      </c>
      <c r="F34" s="2"/>
      <c r="G34" s="36">
        <f>+B34/table9!C34*100</f>
        <v>0.95749543133960024</v>
      </c>
      <c r="H34" s="36">
        <f>(+C34/table9!C34)*100</f>
        <v>0.95749543133960024</v>
      </c>
      <c r="I34" s="36">
        <f>(+D34/table9!C34)*100</f>
        <v>0</v>
      </c>
      <c r="J34" s="36">
        <f>(E34/table9!C34)*100</f>
        <v>0</v>
      </c>
    </row>
    <row r="35" spans="1:10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>
      <c r="A36" s="3" t="s">
        <v>21</v>
      </c>
      <c r="B36" s="1">
        <f t="shared" si="0"/>
        <v>37429350.799999997</v>
      </c>
      <c r="C36" s="40">
        <f>'table 2a'!C35</f>
        <v>32403006</v>
      </c>
      <c r="D36" s="2">
        <f>+table4!$C35</f>
        <v>1690343.8</v>
      </c>
      <c r="E36" s="2">
        <f>+table5!$C35</f>
        <v>3336001</v>
      </c>
      <c r="F36" s="2"/>
      <c r="G36" s="36">
        <f>+B36/table9!C36*100</f>
        <v>0.78362629088541969</v>
      </c>
      <c r="H36" s="36">
        <f>(+C36/table9!C36)*100</f>
        <v>0.67839401065214322</v>
      </c>
      <c r="I36" s="36">
        <f>(+D36/table9!C36)*100</f>
        <v>3.5389281780307182E-2</v>
      </c>
      <c r="J36" s="36">
        <f>(E36/table9!C36)*100</f>
        <v>6.9842998452969457E-2</v>
      </c>
    </row>
    <row r="37" spans="1:10">
      <c r="A37" s="3" t="s">
        <v>22</v>
      </c>
      <c r="B37" s="1">
        <f t="shared" si="0"/>
        <v>95723148.730000004</v>
      </c>
      <c r="C37" s="40">
        <f>'table 2a'!C36</f>
        <v>89544543.730000004</v>
      </c>
      <c r="D37" s="2">
        <f>+table4!$C36</f>
        <v>0</v>
      </c>
      <c r="E37" s="2">
        <f>+table5!$C36</f>
        <v>6178605</v>
      </c>
      <c r="F37" s="2"/>
      <c r="G37" s="36">
        <f>+B37/table9!C37*100</f>
        <v>1.2245374307576045</v>
      </c>
      <c r="H37" s="36">
        <f>(+C37/table9!C37)*100</f>
        <v>1.1454976875737817</v>
      </c>
      <c r="I37" s="36">
        <f>(+D37/table9!C37)*100</f>
        <v>0</v>
      </c>
      <c r="J37" s="36">
        <f>(E37/table9!C37)*100</f>
        <v>7.9039743183822952E-2</v>
      </c>
    </row>
    <row r="38" spans="1:10">
      <c r="A38" s="3" t="s">
        <v>23</v>
      </c>
      <c r="B38" s="1">
        <f t="shared" si="0"/>
        <v>47019411.039999999</v>
      </c>
      <c r="C38" s="40">
        <f>'table 2a'!C37</f>
        <v>36196892.039999999</v>
      </c>
      <c r="D38" s="2">
        <f>+table4!$C37</f>
        <v>0</v>
      </c>
      <c r="E38" s="2">
        <f>+table5!$C37</f>
        <v>10822519</v>
      </c>
      <c r="F38" s="2"/>
      <c r="G38" s="36">
        <f>+B38/table9!C38*100</f>
        <v>1.0885847206325328</v>
      </c>
      <c r="H38" s="36">
        <f>(+C38/table9!C38)*100</f>
        <v>0.83802375949814412</v>
      </c>
      <c r="I38" s="36">
        <f>(+D38/table9!C38)*100</f>
        <v>0</v>
      </c>
      <c r="J38" s="36">
        <f>(E38/table9!C38)*100</f>
        <v>0.25056096113438853</v>
      </c>
    </row>
    <row r="39" spans="1:10">
      <c r="A39" s="12" t="s">
        <v>24</v>
      </c>
      <c r="B39" s="14">
        <f t="shared" si="0"/>
        <v>75488903.340000004</v>
      </c>
      <c r="C39" s="41">
        <f>'table 2a'!C38</f>
        <v>71939828</v>
      </c>
      <c r="D39" s="13">
        <f>+table4!$C38</f>
        <v>3549075.34</v>
      </c>
      <c r="E39" s="13">
        <f>+table5!$C38</f>
        <v>0</v>
      </c>
      <c r="F39" s="13"/>
      <c r="G39" s="35">
        <f>+B39/table9!C39*100</f>
        <v>0.93654843325774584</v>
      </c>
      <c r="H39" s="35">
        <f>(+C39/table9!C39)*100</f>
        <v>0.89251704848295288</v>
      </c>
      <c r="I39" s="35">
        <f>(+D39/table9!C39)*100</f>
        <v>4.403138477479307E-2</v>
      </c>
      <c r="J39" s="35">
        <f>(E39/table9!C39)*100</f>
        <v>0</v>
      </c>
    </row>
  </sheetData>
  <sheetProtection password="CAF5" sheet="1" objects="1" scenarios="1"/>
  <mergeCells count="5">
    <mergeCell ref="A1:J1"/>
    <mergeCell ref="A3:J3"/>
    <mergeCell ref="A4:J4"/>
    <mergeCell ref="B6:E6"/>
    <mergeCell ref="G6:J6"/>
  </mergeCells>
  <phoneticPr fontId="0" type="noConversion"/>
  <pageMargins left="0.7" right="0.7" top="0.72" bottom="0.75" header="0.48" footer="0.3"/>
  <pageSetup scale="96" orientation="landscape" r:id="rId1"/>
  <headerFooter>
    <oddFooter>&amp;L&amp;"Arial,Italic"&amp;9MSDE - LFRO     12 / 2014&amp;C&amp;9- 21 -&amp;R&amp;"Arial,Italic"&amp;9Selected Financial Data Part 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E13" sqref="E13"/>
    </sheetView>
  </sheetViews>
  <sheetFormatPr defaultRowHeight="12.7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Normal="100" workbookViewId="0">
      <selection sqref="A1:L1"/>
    </sheetView>
  </sheetViews>
  <sheetFormatPr defaultRowHeight="12.75"/>
  <cols>
    <col min="1" max="1" width="14.140625" style="83" customWidth="1"/>
    <col min="2" max="3" width="17.7109375" style="83" bestFit="1" customWidth="1"/>
    <col min="4" max="4" width="15" style="83" bestFit="1" customWidth="1"/>
    <col min="5" max="5" width="17.7109375" style="83" bestFit="1" customWidth="1"/>
    <col min="6" max="7" width="16" style="83" bestFit="1" customWidth="1"/>
    <col min="8" max="8" width="2.7109375" style="83" customWidth="1"/>
    <col min="9" max="12" width="9.140625" style="83"/>
    <col min="15" max="15" width="15" bestFit="1" customWidth="1"/>
  </cols>
  <sheetData>
    <row r="1" spans="1:57">
      <c r="A1" s="461" t="s">
        <v>111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3" spans="1:57">
      <c r="A3" s="461" t="s">
        <v>262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</row>
    <row r="4" spans="1:57">
      <c r="A4" s="461" t="s">
        <v>133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</row>
    <row r="5" spans="1:57" ht="13.5" thickBot="1">
      <c r="A5" s="23"/>
      <c r="B5" s="23"/>
      <c r="C5" s="23"/>
      <c r="D5" s="23"/>
      <c r="E5" s="23"/>
      <c r="F5" s="23"/>
      <c r="G5" s="23"/>
      <c r="H5" s="23"/>
      <c r="I5" s="47"/>
      <c r="J5" s="23"/>
      <c r="K5" s="23"/>
      <c r="L5" s="23"/>
    </row>
    <row r="6" spans="1:57" ht="15" customHeight="1" thickTop="1">
      <c r="A6" s="99" t="s">
        <v>77</v>
      </c>
      <c r="B6" s="100" t="s">
        <v>43</v>
      </c>
      <c r="C6" s="459" t="s">
        <v>80</v>
      </c>
      <c r="D6" s="459"/>
      <c r="E6" s="460"/>
      <c r="F6" s="460"/>
      <c r="G6" s="99"/>
      <c r="H6" s="99"/>
      <c r="I6" s="459" t="s">
        <v>82</v>
      </c>
      <c r="J6" s="459"/>
      <c r="K6" s="459"/>
      <c r="L6" s="45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>
      <c r="A7" s="32" t="s">
        <v>33</v>
      </c>
      <c r="B7" s="101" t="s">
        <v>83</v>
      </c>
      <c r="C7" s="458" t="s">
        <v>77</v>
      </c>
      <c r="D7" s="458"/>
      <c r="E7" s="102"/>
      <c r="F7" s="102"/>
      <c r="G7" s="101" t="s">
        <v>79</v>
      </c>
      <c r="H7" s="101"/>
      <c r="I7" s="103"/>
      <c r="J7" s="103"/>
      <c r="K7" s="103"/>
      <c r="L7" s="103" t="s">
        <v>79</v>
      </c>
    </row>
    <row r="8" spans="1:57" ht="13.5" thickBot="1">
      <c r="A8" s="52" t="s">
        <v>132</v>
      </c>
      <c r="B8" s="104" t="s">
        <v>84</v>
      </c>
      <c r="C8" s="49" t="s">
        <v>194</v>
      </c>
      <c r="D8" s="49" t="s">
        <v>201</v>
      </c>
      <c r="E8" s="49" t="s">
        <v>44</v>
      </c>
      <c r="F8" s="49" t="s">
        <v>51</v>
      </c>
      <c r="G8" s="49" t="s">
        <v>81</v>
      </c>
      <c r="H8" s="49"/>
      <c r="I8" s="104" t="s">
        <v>77</v>
      </c>
      <c r="J8" s="104" t="s">
        <v>44</v>
      </c>
      <c r="K8" s="105" t="s">
        <v>51</v>
      </c>
      <c r="L8" s="49" t="s">
        <v>81</v>
      </c>
      <c r="O8" s="3"/>
    </row>
    <row r="9" spans="1:57">
      <c r="A9" s="32" t="s">
        <v>0</v>
      </c>
      <c r="B9" s="118">
        <f t="shared" ref="B9:G9" si="0">SUM(B11:B38)</f>
        <v>11180093821.230001</v>
      </c>
      <c r="C9" s="118">
        <f t="shared" si="0"/>
        <v>5291722184.1499996</v>
      </c>
      <c r="D9" s="118">
        <f t="shared" si="0"/>
        <v>117950202.51000001</v>
      </c>
      <c r="E9" s="118">
        <f t="shared" si="0"/>
        <v>4888648473.2700005</v>
      </c>
      <c r="F9" s="118">
        <f t="shared" si="0"/>
        <v>846154753.78999984</v>
      </c>
      <c r="G9" s="118">
        <f t="shared" si="0"/>
        <v>35618207.50999999</v>
      </c>
      <c r="H9" s="106"/>
      <c r="I9" s="107">
        <f>IF(B9&lt;&gt;0,((+C9+D9)/B9),(IF(C9&lt;&gt;0,1,0)))</f>
        <v>0.48386645704059428</v>
      </c>
      <c r="J9" s="107">
        <f>IF($B9&lt;&gt;0,(E9/$B9),(IF(E9&lt;&gt;0,1,0)))</f>
        <v>0.43726363583701711</v>
      </c>
      <c r="K9" s="107">
        <f>IF($B9&lt;&gt;0,(F9/$B9),(IF(F9&lt;&gt;0,1,0)))</f>
        <v>7.5684047676167737E-2</v>
      </c>
      <c r="L9" s="107">
        <f>IF($B9&lt;&gt;0,(G9/$B9),(IF(G9&lt;&gt;0,1,0)))</f>
        <v>3.1858594462207636E-3</v>
      </c>
      <c r="O9" s="20"/>
    </row>
    <row r="10" spans="1:57">
      <c r="A10" s="32"/>
      <c r="B10" s="108"/>
      <c r="C10" s="109"/>
      <c r="D10" s="50"/>
      <c r="E10" s="103"/>
      <c r="F10" s="103"/>
      <c r="G10" s="103"/>
      <c r="H10" s="103"/>
      <c r="I10" s="110"/>
      <c r="J10" s="110"/>
      <c r="K10" s="110"/>
      <c r="L10" s="110"/>
      <c r="O10" s="3"/>
    </row>
    <row r="11" spans="1:57">
      <c r="A11" s="23" t="s">
        <v>1</v>
      </c>
      <c r="B11" s="119">
        <f t="shared" ref="B11:B38" si="1">SUM(C11:G11)</f>
        <v>120600729.46999998</v>
      </c>
      <c r="C11" s="138">
        <f>'table 2a'!C11</f>
        <v>28256000</v>
      </c>
      <c r="D11" s="138">
        <f>'table 2a'!D11</f>
        <v>545513.55000000005</v>
      </c>
      <c r="E11" s="138">
        <f>state1!C12-state1!I12</f>
        <v>78402538.589999989</v>
      </c>
      <c r="F11" s="172">
        <f>'fed1'!B12-'table 6'!I12</f>
        <v>13258911.33</v>
      </c>
      <c r="G11" s="138">
        <f>'table 2a'!G11</f>
        <v>137766</v>
      </c>
      <c r="H11" s="87"/>
      <c r="I11" s="89">
        <f t="shared" ref="I11:I38" si="2">IF(B11&lt;&gt;0,((+C11+D11)/B11*100),(IF(C11&lt;&gt;0,1,0)))</f>
        <v>23.88170757886213</v>
      </c>
      <c r="J11" s="89">
        <f>IF($B11&lt;&gt;0,(E11/$B11*100),(IF(E11&lt;&gt;0,1,0)))</f>
        <v>65.010003616522908</v>
      </c>
      <c r="K11" s="89">
        <f t="shared" ref="K11:L15" si="3">IF($B11&lt;&gt;0,(F11/$B11*100),(IF(F11&lt;&gt;0,1,0)))</f>
        <v>10.994055664728146</v>
      </c>
      <c r="L11" s="89">
        <f t="shared" si="3"/>
        <v>0.11423313988682793</v>
      </c>
      <c r="M11" s="18"/>
      <c r="O11" s="20"/>
    </row>
    <row r="12" spans="1:57">
      <c r="A12" s="83" t="s">
        <v>2</v>
      </c>
      <c r="B12" s="91">
        <f t="shared" si="1"/>
        <v>915303692.14999998</v>
      </c>
      <c r="C12" s="138">
        <f>'table 2a'!C12</f>
        <v>556105600</v>
      </c>
      <c r="D12" s="138">
        <f>'table 2a'!D12</f>
        <v>2719006.86</v>
      </c>
      <c r="E12" s="138">
        <f>state1!C13-state1!I13</f>
        <v>301237252.69</v>
      </c>
      <c r="F12" s="172">
        <f>'fed1'!B13-'table 6'!I13</f>
        <v>54800041.600000009</v>
      </c>
      <c r="G12" s="138">
        <f>'table 2a'!G12</f>
        <v>441791</v>
      </c>
      <c r="H12" s="90"/>
      <c r="I12" s="89">
        <f t="shared" si="2"/>
        <v>61.053463637555147</v>
      </c>
      <c r="J12" s="89">
        <f>IF($B12&lt;&gt;0,(E12/$B12*100),(IF(E12&lt;&gt;0,1,0)))</f>
        <v>32.911180766944099</v>
      </c>
      <c r="K12" s="89">
        <f t="shared" si="3"/>
        <v>5.9870884461612528</v>
      </c>
      <c r="L12" s="89">
        <f t="shared" si="3"/>
        <v>4.8267149339500236E-2</v>
      </c>
      <c r="O12" s="20"/>
    </row>
    <row r="13" spans="1:57">
      <c r="A13" s="83" t="s">
        <v>3</v>
      </c>
      <c r="B13" s="91">
        <f t="shared" si="1"/>
        <v>1326491801.5400002</v>
      </c>
      <c r="C13" s="138">
        <f>'table 2a'!C13</f>
        <v>237952761.98000002</v>
      </c>
      <c r="D13" s="138">
        <f>'table 2a'!D13</f>
        <v>15736884.210000001</v>
      </c>
      <c r="E13" s="138">
        <f>state1!C14-state1!I14</f>
        <v>868803262.42000008</v>
      </c>
      <c r="F13" s="172">
        <f>'fed1'!B14-'table 6'!I14</f>
        <v>203998892.92999998</v>
      </c>
      <c r="G13" s="138">
        <f>'table 2a'!G13</f>
        <v>0</v>
      </c>
      <c r="H13" s="90"/>
      <c r="I13" s="89">
        <f>IF(B13&lt;&gt;0,((+C13+D13)/B13*100),(IF(C13&lt;&gt;0,1,0)))</f>
        <v>19.124855946751968</v>
      </c>
      <c r="J13" s="89">
        <f>IF($B13&lt;&gt;0,(E13/$B13*100),(IF(E13&lt;&gt;0,1,0)))</f>
        <v>65.496316027837992</v>
      </c>
      <c r="K13" s="89">
        <f t="shared" si="3"/>
        <v>15.378828025410032</v>
      </c>
      <c r="L13" s="89">
        <f t="shared" si="3"/>
        <v>0</v>
      </c>
      <c r="O13" s="20"/>
    </row>
    <row r="14" spans="1:57">
      <c r="A14" s="83" t="s">
        <v>4</v>
      </c>
      <c r="B14" s="91">
        <f t="shared" si="1"/>
        <v>1315110937.25</v>
      </c>
      <c r="C14" s="138">
        <f>'table 2a'!C14</f>
        <v>668543770</v>
      </c>
      <c r="D14" s="138">
        <f>'table 2a'!D14</f>
        <v>4002841.83</v>
      </c>
      <c r="E14" s="138">
        <f>state1!C15-state1!I15</f>
        <v>541086681.90999997</v>
      </c>
      <c r="F14" s="172">
        <f>'fed1'!B15-'table 6'!I15</f>
        <v>88911026.510000005</v>
      </c>
      <c r="G14" s="138">
        <f>'table 2a'!G14</f>
        <v>12566617</v>
      </c>
      <c r="H14" s="90"/>
      <c r="I14" s="89">
        <f t="shared" si="2"/>
        <v>51.139914723570598</v>
      </c>
      <c r="J14" s="89">
        <f>IF($B14&lt;&gt;0,(E14/$B14*100),(IF(E14&lt;&gt;0,1,0)))</f>
        <v>41.14380517901057</v>
      </c>
      <c r="K14" s="89">
        <f t="shared" si="3"/>
        <v>6.7607244371277089</v>
      </c>
      <c r="L14" s="89">
        <f t="shared" si="3"/>
        <v>0.95555566029112193</v>
      </c>
      <c r="O14" s="20"/>
    </row>
    <row r="15" spans="1:57">
      <c r="A15" s="83" t="s">
        <v>5</v>
      </c>
      <c r="B15" s="91">
        <f t="shared" si="1"/>
        <v>205689002.92999998</v>
      </c>
      <c r="C15" s="138">
        <f>'table 2a'!C15</f>
        <v>109059947</v>
      </c>
      <c r="D15" s="138">
        <f>'table 2a'!D15</f>
        <v>3673032.49</v>
      </c>
      <c r="E15" s="138">
        <f>state1!C16-state1!I16</f>
        <v>82893859.659999996</v>
      </c>
      <c r="F15" s="172">
        <f>'fed1'!B16-'table 6'!I16</f>
        <v>10062163.780000001</v>
      </c>
      <c r="G15" s="138">
        <f>'table 2a'!G15</f>
        <v>0</v>
      </c>
      <c r="H15" s="90"/>
      <c r="I15" s="89">
        <f t="shared" si="2"/>
        <v>54.807489892089777</v>
      </c>
      <c r="J15" s="89">
        <f>IF($B15&lt;&gt;0,(E15/$B15*100),(IF(E15&lt;&gt;0,1,0)))</f>
        <v>40.300579262475402</v>
      </c>
      <c r="K15" s="89">
        <f t="shared" si="3"/>
        <v>4.8919308454348203</v>
      </c>
      <c r="L15" s="89">
        <f t="shared" si="3"/>
        <v>0</v>
      </c>
      <c r="O15" s="20"/>
    </row>
    <row r="16" spans="1:57">
      <c r="B16" s="91"/>
      <c r="C16" s="138"/>
      <c r="D16" s="138"/>
      <c r="E16" s="138"/>
      <c r="F16" s="172"/>
      <c r="G16" s="138"/>
      <c r="H16" s="90"/>
      <c r="I16" s="89"/>
      <c r="J16" s="89"/>
      <c r="K16" s="89"/>
      <c r="L16" s="89"/>
      <c r="O16" s="3"/>
    </row>
    <row r="17" spans="1:15">
      <c r="A17" s="83" t="s">
        <v>6</v>
      </c>
      <c r="B17" s="91">
        <f t="shared" si="1"/>
        <v>62833042.989999995</v>
      </c>
      <c r="C17" s="138">
        <f>'table 2a'!C17</f>
        <v>12299444</v>
      </c>
      <c r="D17" s="138">
        <f>'table 2a'!D17</f>
        <v>850354.87</v>
      </c>
      <c r="E17" s="138">
        <f>state1!C18-state1!I18</f>
        <v>42501373.920000002</v>
      </c>
      <c r="F17" s="172">
        <f>'fed1'!B18-'table 6'!I18</f>
        <v>7181870.1999999993</v>
      </c>
      <c r="G17" s="138">
        <f>'table 2a'!G17</f>
        <v>0</v>
      </c>
      <c r="H17" s="90"/>
      <c r="I17" s="89">
        <f t="shared" si="2"/>
        <v>20.928158567925504</v>
      </c>
      <c r="J17" s="89">
        <f>IF($B17&lt;&gt;0,(E17/$B17*100),(IF(E17&lt;&gt;0,1,0)))</f>
        <v>67.641756466838928</v>
      </c>
      <c r="K17" s="89">
        <f t="shared" ref="K17:L21" si="4">IF($B17&lt;&gt;0,(F17/$B17*100),(IF(F17&lt;&gt;0,1,0)))</f>
        <v>11.430084965235581</v>
      </c>
      <c r="L17" s="89">
        <f t="shared" si="4"/>
        <v>0</v>
      </c>
      <c r="O17" s="20"/>
    </row>
    <row r="18" spans="1:15">
      <c r="A18" s="83" t="s">
        <v>7</v>
      </c>
      <c r="B18" s="91">
        <f t="shared" si="1"/>
        <v>327725479.09999996</v>
      </c>
      <c r="C18" s="138">
        <f>'table 2a'!C18</f>
        <v>165372091</v>
      </c>
      <c r="D18" s="138">
        <f>'table 2a'!D18</f>
        <v>1569981.72</v>
      </c>
      <c r="E18" s="138">
        <f>state1!C19-state1!I19</f>
        <v>139570999.33999997</v>
      </c>
      <c r="F18" s="172">
        <f>'fed1'!B19-'table 6'!I19</f>
        <v>19519139.860000003</v>
      </c>
      <c r="G18" s="138">
        <f>'table 2a'!G18</f>
        <v>1693267.18</v>
      </c>
      <c r="H18" s="90"/>
      <c r="I18" s="89">
        <f t="shared" si="2"/>
        <v>50.939607496633002</v>
      </c>
      <c r="J18" s="89">
        <f>IF($B18&lt;&gt;0,(E18/$B18*100),(IF(E18&lt;&gt;0,1,0)))</f>
        <v>42.587777954674131</v>
      </c>
      <c r="K18" s="89">
        <f t="shared" si="4"/>
        <v>5.9559421237565919</v>
      </c>
      <c r="L18" s="89">
        <f t="shared" si="4"/>
        <v>0.51667242493627652</v>
      </c>
      <c r="O18" s="20"/>
    </row>
    <row r="19" spans="1:15">
      <c r="A19" s="83" t="s">
        <v>8</v>
      </c>
      <c r="B19" s="91">
        <f t="shared" si="1"/>
        <v>178988401.03</v>
      </c>
      <c r="C19" s="138">
        <f>'table 2a'!C19</f>
        <v>67156014</v>
      </c>
      <c r="D19" s="138">
        <f>'table 2a'!D19</f>
        <v>820433.42</v>
      </c>
      <c r="E19" s="138">
        <f>state1!C20-state1!I20</f>
        <v>97296896.269999996</v>
      </c>
      <c r="F19" s="172">
        <f>'fed1'!B20-'table 6'!I20</f>
        <v>13715057.34</v>
      </c>
      <c r="G19" s="138">
        <f>'table 2a'!G19</f>
        <v>0</v>
      </c>
      <c r="H19" s="90"/>
      <c r="I19" s="89">
        <f>IF(B19&lt;&gt;0,((+C19+D19)/B19*100),(IF(C19&lt;&gt;0,1,0)))</f>
        <v>37.978129883738418</v>
      </c>
      <c r="J19" s="89">
        <f>IF($B19&lt;&gt;0,(E19/$B19*100),(IF(E19&lt;&gt;0,1,0)))</f>
        <v>54.359330386828915</v>
      </c>
      <c r="K19" s="89">
        <f t="shared" si="4"/>
        <v>7.6625397294326563</v>
      </c>
      <c r="L19" s="89">
        <f t="shared" si="4"/>
        <v>0</v>
      </c>
      <c r="O19" s="20"/>
    </row>
    <row r="20" spans="1:15">
      <c r="A20" s="83" t="s">
        <v>9</v>
      </c>
      <c r="B20" s="91">
        <f t="shared" si="1"/>
        <v>326198039.66999996</v>
      </c>
      <c r="C20" s="138">
        <f>'table 2a'!C20</f>
        <v>145620700</v>
      </c>
      <c r="D20" s="138">
        <f>'table 2a'!D20</f>
        <v>1745584.91</v>
      </c>
      <c r="E20" s="138">
        <f>state1!C21-state1!I21</f>
        <v>155204585.13999999</v>
      </c>
      <c r="F20" s="172">
        <f>'fed1'!B21-'table 6'!I21</f>
        <v>23627169.619999997</v>
      </c>
      <c r="G20" s="138">
        <f>'table 2a'!G20</f>
        <v>0</v>
      </c>
      <c r="H20" s="90"/>
      <c r="I20" s="89">
        <f t="shared" si="2"/>
        <v>45.17693762325608</v>
      </c>
      <c r="J20" s="89">
        <f>IF($B20&lt;&gt;0,(E20/$B20*100),(IF(E20&lt;&gt;0,1,0)))</f>
        <v>47.579864458110649</v>
      </c>
      <c r="K20" s="89">
        <f t="shared" si="4"/>
        <v>7.24319791863328</v>
      </c>
      <c r="L20" s="89">
        <f t="shared" si="4"/>
        <v>0</v>
      </c>
      <c r="O20" s="20"/>
    </row>
    <row r="21" spans="1:15">
      <c r="A21" s="83" t="s">
        <v>10</v>
      </c>
      <c r="B21" s="91">
        <f t="shared" si="1"/>
        <v>54696658.850000001</v>
      </c>
      <c r="C21" s="138">
        <f>'table 2a'!C21</f>
        <v>16481888</v>
      </c>
      <c r="D21" s="138">
        <f>'table 2a'!D21</f>
        <v>1077249.99</v>
      </c>
      <c r="E21" s="138">
        <f>state1!C22-state1!I22</f>
        <v>31428094.039999999</v>
      </c>
      <c r="F21" s="172">
        <f>'fed1'!B22-'table 6'!I22</f>
        <v>5709426.8200000003</v>
      </c>
      <c r="G21" s="138">
        <f>'table 2a'!G21</f>
        <v>0</v>
      </c>
      <c r="H21" s="90"/>
      <c r="I21" s="89">
        <f t="shared" si="2"/>
        <v>32.102761593087685</v>
      </c>
      <c r="J21" s="89">
        <f>IF($B21&lt;&gt;0,(E21/$B21*100),(IF(E21&lt;&gt;0,1,0)))</f>
        <v>57.458891824066136</v>
      </c>
      <c r="K21" s="89">
        <f t="shared" si="4"/>
        <v>10.438346582846165</v>
      </c>
      <c r="L21" s="89">
        <f t="shared" si="4"/>
        <v>0</v>
      </c>
      <c r="O21" s="20"/>
    </row>
    <row r="22" spans="1:15">
      <c r="B22" s="91"/>
      <c r="C22" s="138"/>
      <c r="D22" s="138"/>
      <c r="E22" s="138"/>
      <c r="F22" s="172"/>
      <c r="G22" s="138"/>
      <c r="H22" s="90"/>
      <c r="I22" s="89"/>
      <c r="J22" s="89"/>
      <c r="K22" s="89"/>
      <c r="L22" s="89"/>
      <c r="O22" s="3"/>
    </row>
    <row r="23" spans="1:15">
      <c r="A23" s="83" t="s">
        <v>11</v>
      </c>
      <c r="B23" s="91">
        <f t="shared" si="1"/>
        <v>482177975.42999995</v>
      </c>
      <c r="C23" s="138">
        <f>'table 2a'!C23</f>
        <v>230794715</v>
      </c>
      <c r="D23" s="138">
        <f>'table 2a'!D23</f>
        <v>13191372.300000001</v>
      </c>
      <c r="E23" s="138">
        <f>state1!C24-state1!I24</f>
        <v>218197839.97999999</v>
      </c>
      <c r="F23" s="172">
        <f>'fed1'!B24-'table 6'!I24</f>
        <v>19994048.149999999</v>
      </c>
      <c r="G23" s="138">
        <f>'table 2a'!G23</f>
        <v>0</v>
      </c>
      <c r="H23" s="90"/>
      <c r="I23" s="89">
        <f t="shared" si="2"/>
        <v>50.600836150265152</v>
      </c>
      <c r="J23" s="89">
        <f>IF($B23&lt;&gt;0,(E23/$B23*100),(IF(E23&lt;&gt;0,1,0)))</f>
        <v>45.252552189969698</v>
      </c>
      <c r="K23" s="89">
        <f t="shared" ref="K23:L27" si="5">IF($B23&lt;&gt;0,(F23/$B23*100),(IF(F23&lt;&gt;0,1,0)))</f>
        <v>4.146611659765167</v>
      </c>
      <c r="L23" s="89">
        <f t="shared" si="5"/>
        <v>0</v>
      </c>
      <c r="O23" s="20"/>
    </row>
    <row r="24" spans="1:15">
      <c r="A24" s="83" t="s">
        <v>12</v>
      </c>
      <c r="B24" s="91">
        <f t="shared" si="1"/>
        <v>57017597.879999995</v>
      </c>
      <c r="C24" s="138">
        <f>'table 2a'!C24</f>
        <v>24870066.100000001</v>
      </c>
      <c r="D24" s="138">
        <f>'table 2a'!D24</f>
        <v>241388.38</v>
      </c>
      <c r="E24" s="138">
        <f>state1!C25-state1!I25</f>
        <v>22807304.18</v>
      </c>
      <c r="F24" s="172">
        <f>'fed1'!B25-'table 6'!I25</f>
        <v>4857541.9499999993</v>
      </c>
      <c r="G24" s="138">
        <f>'table 2a'!G24</f>
        <v>4241297.2699999996</v>
      </c>
      <c r="H24" s="90"/>
      <c r="I24" s="89">
        <f t="shared" si="2"/>
        <v>44.041586130741436</v>
      </c>
      <c r="J24" s="89">
        <f>IF($B24&lt;&gt;0,(E24/$B24*100),(IF(E24&lt;&gt;0,1,0)))</f>
        <v>40.000464817898077</v>
      </c>
      <c r="K24" s="89">
        <f t="shared" si="5"/>
        <v>8.5193731946113331</v>
      </c>
      <c r="L24" s="89">
        <f t="shared" si="5"/>
        <v>7.438575856749158</v>
      </c>
      <c r="O24" s="20"/>
    </row>
    <row r="25" spans="1:15">
      <c r="A25" s="83" t="s">
        <v>13</v>
      </c>
      <c r="B25" s="91">
        <f t="shared" si="1"/>
        <v>470737467.66999996</v>
      </c>
      <c r="C25" s="138">
        <f>'table 2a'!C25</f>
        <v>217782344</v>
      </c>
      <c r="D25" s="138">
        <f>'table 2a'!D25</f>
        <v>5907769.1399999997</v>
      </c>
      <c r="E25" s="138">
        <f>state1!C26-state1!I26</f>
        <v>210817967.14000002</v>
      </c>
      <c r="F25" s="172">
        <f>'fed1'!B26-'table 6'!I26</f>
        <v>27354003.399999999</v>
      </c>
      <c r="G25" s="138">
        <f>'table 2a'!G25</f>
        <v>8875383.9900000002</v>
      </c>
      <c r="H25" s="90"/>
      <c r="I25" s="89">
        <f>IF(B25&lt;&gt;0,((+C25+D25)/B25*100),(IF(C25&lt;&gt;0,1,0)))</f>
        <v>47.519079848730669</v>
      </c>
      <c r="J25" s="89">
        <f>IF($B25&lt;&gt;0,(E25/$B25*100),(IF(E25&lt;&gt;0,1,0)))</f>
        <v>44.784615973629968</v>
      </c>
      <c r="K25" s="89">
        <f t="shared" si="5"/>
        <v>5.8108829822689865</v>
      </c>
      <c r="L25" s="89">
        <f t="shared" si="5"/>
        <v>1.8854211953703865</v>
      </c>
      <c r="O25" s="20"/>
    </row>
    <row r="26" spans="1:15">
      <c r="A26" s="83" t="s">
        <v>14</v>
      </c>
      <c r="B26" s="91">
        <f t="shared" si="1"/>
        <v>712341381.4000001</v>
      </c>
      <c r="C26" s="138">
        <f>'table 2a'!C26</f>
        <v>467617041</v>
      </c>
      <c r="D26" s="138">
        <f>'table 2a'!D26</f>
        <v>6176882</v>
      </c>
      <c r="E26" s="138">
        <f>state1!C27-state1!I27</f>
        <v>214231030.19</v>
      </c>
      <c r="F26" s="172">
        <f>'fed1'!B27-'table 6'!I27</f>
        <v>23191068.210000005</v>
      </c>
      <c r="G26" s="138">
        <f>'table 2a'!G26</f>
        <v>1125360</v>
      </c>
      <c r="H26" s="90"/>
      <c r="I26" s="89">
        <f t="shared" si="2"/>
        <v>66.512199820376722</v>
      </c>
      <c r="J26" s="89">
        <f>IF($B26&lt;&gt;0,(E26/$B26*100),(IF(E26&lt;&gt;0,1,0)))</f>
        <v>30.074208207441362</v>
      </c>
      <c r="K26" s="89">
        <f t="shared" si="5"/>
        <v>3.2556115390097706</v>
      </c>
      <c r="L26" s="89">
        <f t="shared" si="5"/>
        <v>0.15798043317212229</v>
      </c>
      <c r="O26" s="20"/>
    </row>
    <row r="27" spans="1:15">
      <c r="A27" s="83" t="s">
        <v>15</v>
      </c>
      <c r="B27" s="91">
        <f t="shared" si="1"/>
        <v>29315179.919999998</v>
      </c>
      <c r="C27" s="138">
        <f>'table 2a'!C27</f>
        <v>16128112</v>
      </c>
      <c r="D27" s="138">
        <f>'table 2a'!D27</f>
        <v>225456.79</v>
      </c>
      <c r="E27" s="138">
        <f>state1!C28-state1!I28</f>
        <v>9559589.379999999</v>
      </c>
      <c r="F27" s="172">
        <f>'fed1'!B28-'table 6'!I28</f>
        <v>3402021.75</v>
      </c>
      <c r="G27" s="138">
        <f>'table 2a'!G27</f>
        <v>0</v>
      </c>
      <c r="H27" s="90"/>
      <c r="I27" s="89">
        <f t="shared" si="2"/>
        <v>55.785326355247555</v>
      </c>
      <c r="J27" s="89">
        <f>IF($B27&lt;&gt;0,(E27/$B27*100),(IF(E27&lt;&gt;0,1,0)))</f>
        <v>32.609690290449358</v>
      </c>
      <c r="K27" s="89">
        <f t="shared" si="5"/>
        <v>11.604983354303085</v>
      </c>
      <c r="L27" s="89">
        <f t="shared" si="5"/>
        <v>0</v>
      </c>
      <c r="O27" s="20"/>
    </row>
    <row r="28" spans="1:15">
      <c r="B28" s="91"/>
      <c r="C28" s="138"/>
      <c r="D28" s="138"/>
      <c r="E28" s="138"/>
      <c r="F28" s="172"/>
      <c r="G28" s="138"/>
      <c r="H28" s="90"/>
      <c r="I28" s="89"/>
      <c r="J28" s="89"/>
      <c r="K28" s="89"/>
      <c r="L28" s="89"/>
      <c r="O28" s="3"/>
    </row>
    <row r="29" spans="1:15">
      <c r="A29" s="83" t="s">
        <v>16</v>
      </c>
      <c r="B29" s="91">
        <f t="shared" si="1"/>
        <v>2050999042.3499999</v>
      </c>
      <c r="C29" s="138">
        <f>'table 2a'!C29</f>
        <v>1370271392.29</v>
      </c>
      <c r="D29" s="138">
        <f>'table 2a'!D29</f>
        <v>12980457.25</v>
      </c>
      <c r="E29" s="138">
        <f>state1!C30-state1!I30</f>
        <v>560299217.58000004</v>
      </c>
      <c r="F29" s="172">
        <f>'fed1'!B30-'table 6'!I30</f>
        <v>107122800.26000001</v>
      </c>
      <c r="G29" s="138">
        <f>'table 2a'!G29</f>
        <v>325174.96999999997</v>
      </c>
      <c r="H29" s="90"/>
      <c r="I29" s="89">
        <f t="shared" si="2"/>
        <v>67.442832540530759</v>
      </c>
      <c r="J29" s="89">
        <f>IF($B29&lt;&gt;0,(E29/$B29*100),(IF(E29&lt;&gt;0,1,0)))</f>
        <v>27.318355884653105</v>
      </c>
      <c r="K29" s="89">
        <f t="shared" ref="K29:L33" si="6">IF($B29&lt;&gt;0,(F29/$B29*100),(IF(F29&lt;&gt;0,1,0)))</f>
        <v>5.2229571076376766</v>
      </c>
      <c r="L29" s="89">
        <f t="shared" si="6"/>
        <v>1.5854467178464404E-2</v>
      </c>
      <c r="O29" s="20"/>
    </row>
    <row r="30" spans="1:15">
      <c r="A30" s="83" t="s">
        <v>17</v>
      </c>
      <c r="B30" s="91">
        <f t="shared" si="1"/>
        <v>1651092535.3599999</v>
      </c>
      <c r="C30" s="138">
        <f>'table 2a'!C30</f>
        <v>598027884.78999996</v>
      </c>
      <c r="D30" s="138">
        <f>'table 2a'!D30</f>
        <v>40703978.789999999</v>
      </c>
      <c r="E30" s="138">
        <f>state1!C31-state1!I31</f>
        <v>870069679.73000002</v>
      </c>
      <c r="F30" s="172">
        <f>'fed1'!B31-'table 6'!I31</f>
        <v>142290992.04999998</v>
      </c>
      <c r="G30" s="138">
        <f>'table 2a'!G30</f>
        <v>0</v>
      </c>
      <c r="H30" s="90"/>
      <c r="I30" s="89">
        <f t="shared" si="2"/>
        <v>38.685406777684477</v>
      </c>
      <c r="J30" s="89">
        <f>IF($B30&lt;&gt;0,(E30/$B30*100),(IF(E30&lt;&gt;0,1,0)))</f>
        <v>52.696603073206447</v>
      </c>
      <c r="K30" s="89">
        <f t="shared" si="6"/>
        <v>8.6179901491090707</v>
      </c>
      <c r="L30" s="89">
        <f t="shared" si="6"/>
        <v>0</v>
      </c>
      <c r="O30" s="20"/>
    </row>
    <row r="31" spans="1:15">
      <c r="A31" s="83" t="s">
        <v>18</v>
      </c>
      <c r="B31" s="91">
        <f t="shared" si="1"/>
        <v>81373378.329999983</v>
      </c>
      <c r="C31" s="138">
        <f>'table 2a'!C31</f>
        <v>43528032</v>
      </c>
      <c r="D31" s="138">
        <f>'table 2a'!D31</f>
        <v>874450.04</v>
      </c>
      <c r="E31" s="138">
        <f>state1!C32-state1!I32</f>
        <v>31437681.129999995</v>
      </c>
      <c r="F31" s="172">
        <f>'fed1'!B32-'table 6'!I32</f>
        <v>5533215.1600000001</v>
      </c>
      <c r="G31" s="138">
        <f>'table 2a'!G31</f>
        <v>0</v>
      </c>
      <c r="H31" s="90"/>
      <c r="I31" s="89">
        <f>IF(B31&lt;&gt;0,((+C31+D31)/B31*100),(IF(C31&lt;&gt;0,1,0)))</f>
        <v>54.566349525186297</v>
      </c>
      <c r="J31" s="89">
        <f>IF($B31&lt;&gt;0,(E31/$B31*100),(IF(E31&lt;&gt;0,1,0)))</f>
        <v>38.633865000059657</v>
      </c>
      <c r="K31" s="89">
        <f t="shared" si="6"/>
        <v>6.7997854747540512</v>
      </c>
      <c r="L31" s="89">
        <f t="shared" si="6"/>
        <v>0</v>
      </c>
      <c r="O31" s="20"/>
    </row>
    <row r="32" spans="1:15">
      <c r="A32" s="83" t="s">
        <v>19</v>
      </c>
      <c r="B32" s="91">
        <f t="shared" si="1"/>
        <v>189075898.44000003</v>
      </c>
      <c r="C32" s="138">
        <f>'table 2a'!C32</f>
        <v>77045860</v>
      </c>
      <c r="D32" s="138">
        <f>'table 2a'!D32</f>
        <v>1007642.41</v>
      </c>
      <c r="E32" s="138">
        <f>state1!C33-state1!I33</f>
        <v>92066703.710000008</v>
      </c>
      <c r="F32" s="172">
        <f>'fed1'!B33-'table 6'!I33</f>
        <v>15488237.920000002</v>
      </c>
      <c r="G32" s="138">
        <f>'table 2a'!G32</f>
        <v>3467454.4</v>
      </c>
      <c r="H32" s="90"/>
      <c r="I32" s="89">
        <f t="shared" si="2"/>
        <v>41.281571609069431</v>
      </c>
      <c r="J32" s="89">
        <f>IF($B32&lt;&gt;0,(E32/$B32*100),(IF(E32&lt;&gt;0,1,0)))</f>
        <v>48.692987561931794</v>
      </c>
      <c r="K32" s="89">
        <f t="shared" si="6"/>
        <v>8.1915453253366</v>
      </c>
      <c r="L32" s="89">
        <f t="shared" si="6"/>
        <v>1.8338955036621636</v>
      </c>
      <c r="O32" s="20"/>
    </row>
    <row r="33" spans="1:256">
      <c r="A33" s="83" t="s">
        <v>20</v>
      </c>
      <c r="B33" s="91">
        <f t="shared" si="1"/>
        <v>38292051.57</v>
      </c>
      <c r="C33" s="138">
        <f>'table 2a'!C33</f>
        <v>8724251.2200000007</v>
      </c>
      <c r="D33" s="138">
        <f>'table 2a'!D33</f>
        <v>459187.54</v>
      </c>
      <c r="E33" s="138">
        <f>state1!C34-state1!I34</f>
        <v>23540416.100000001</v>
      </c>
      <c r="F33" s="172">
        <f>'fed1'!B34-'table 6'!I34</f>
        <v>5568196.71</v>
      </c>
      <c r="G33" s="138">
        <f>'table 2a'!G33</f>
        <v>0</v>
      </c>
      <c r="H33" s="90"/>
      <c r="I33" s="89">
        <f t="shared" si="2"/>
        <v>23.982624026326096</v>
      </c>
      <c r="J33" s="89">
        <f>IF($B33&lt;&gt;0,(E33/$B33*100),(IF(E33&lt;&gt;0,1,0)))</f>
        <v>61.475985576188862</v>
      </c>
      <c r="K33" s="89">
        <f t="shared" si="6"/>
        <v>14.54139039748504</v>
      </c>
      <c r="L33" s="89">
        <f t="shared" si="6"/>
        <v>0</v>
      </c>
      <c r="O33" s="20"/>
    </row>
    <row r="34" spans="1:256">
      <c r="B34" s="91"/>
      <c r="C34" s="64"/>
      <c r="D34" s="138"/>
      <c r="E34" s="172"/>
      <c r="F34" s="172"/>
      <c r="G34" s="138"/>
      <c r="H34" s="90"/>
      <c r="I34" s="89"/>
      <c r="J34" s="89"/>
      <c r="K34" s="89"/>
      <c r="L34" s="89"/>
      <c r="O34" s="3"/>
    </row>
    <row r="35" spans="1:256">
      <c r="A35" s="83" t="s">
        <v>21</v>
      </c>
      <c r="B35" s="91">
        <f t="shared" si="1"/>
        <v>48408026.130000003</v>
      </c>
      <c r="C35" s="138">
        <f>'table 2a'!C35</f>
        <v>32403006</v>
      </c>
      <c r="D35" s="138">
        <f>'table 2a'!D35</f>
        <v>921565.94</v>
      </c>
      <c r="E35" s="138">
        <f>state1!C36-state1!I36</f>
        <v>11337829.1</v>
      </c>
      <c r="F35" s="172">
        <f>'fed1'!B36-'table 6'!I36</f>
        <v>3739855.5000000005</v>
      </c>
      <c r="G35" s="138">
        <f>'table 2a'!G35</f>
        <v>5769.59</v>
      </c>
      <c r="H35" s="90"/>
      <c r="I35" s="89">
        <f t="shared" si="2"/>
        <v>68.841005519429146</v>
      </c>
      <c r="J35" s="89">
        <f>IF($B35&lt;&gt;0,(E35/$B35*100),(IF(E35&lt;&gt;0,1,0)))</f>
        <v>23.421382787953799</v>
      </c>
      <c r="K35" s="89">
        <f t="shared" ref="K35:L38" si="7">IF($B35&lt;&gt;0,(F35/$B35*100),(IF(F35&lt;&gt;0,1,0)))</f>
        <v>7.7256930285829029</v>
      </c>
      <c r="L35" s="89">
        <f t="shared" si="7"/>
        <v>1.1918664034153627E-2</v>
      </c>
      <c r="O35" s="20"/>
    </row>
    <row r="36" spans="1:256">
      <c r="A36" s="83" t="s">
        <v>22</v>
      </c>
      <c r="B36" s="91">
        <f t="shared" si="1"/>
        <v>265405511.42000005</v>
      </c>
      <c r="C36" s="138">
        <f>'table 2a'!C36</f>
        <v>89544543.730000004</v>
      </c>
      <c r="D36" s="138">
        <f>'table 2a'!D36</f>
        <v>1227693.19</v>
      </c>
      <c r="E36" s="138">
        <f>state1!C37-state1!I37</f>
        <v>153011799.42000002</v>
      </c>
      <c r="F36" s="172">
        <f>'fed1'!B37-'table 6'!I37</f>
        <v>21234924.860000003</v>
      </c>
      <c r="G36" s="138">
        <f>'table 2a'!G36</f>
        <v>386550.22</v>
      </c>
      <c r="H36" s="90"/>
      <c r="I36" s="89">
        <f t="shared" si="2"/>
        <v>34.201338334814899</v>
      </c>
      <c r="J36" s="89">
        <f>IF($B36&lt;&gt;0,(E36/$B36*100),(IF(E36&lt;&gt;0,1,0)))</f>
        <v>57.652080622342936</v>
      </c>
      <c r="K36" s="89">
        <f t="shared" si="7"/>
        <v>8.0009359061108825</v>
      </c>
      <c r="L36" s="89">
        <f t="shared" si="7"/>
        <v>0.14564513673127547</v>
      </c>
      <c r="O36" s="20"/>
    </row>
    <row r="37" spans="1:256">
      <c r="A37" s="83" t="s">
        <v>23</v>
      </c>
      <c r="B37" s="91">
        <f t="shared" si="1"/>
        <v>169830103.28999999</v>
      </c>
      <c r="C37" s="138">
        <f>'table 2a'!C37</f>
        <v>36196892.039999999</v>
      </c>
      <c r="D37" s="138">
        <f>'table 2a'!D37</f>
        <v>909418.81</v>
      </c>
      <c r="E37" s="138">
        <f>state1!C38-state1!I38</f>
        <v>114249692.40000001</v>
      </c>
      <c r="F37" s="172">
        <f>'fed1'!B38-'table 6'!I38</f>
        <v>16122324.149999999</v>
      </c>
      <c r="G37" s="138">
        <f>'table 2a'!G37</f>
        <v>2351775.89</v>
      </c>
      <c r="H37" s="90"/>
      <c r="I37" s="89">
        <f t="shared" si="2"/>
        <v>21.849077478706867</v>
      </c>
      <c r="J37" s="89">
        <f>IF($B37&lt;&gt;0,(E37/$B37*100),(IF(E37&lt;&gt;0,1,0)))</f>
        <v>67.272933470992783</v>
      </c>
      <c r="K37" s="89">
        <f t="shared" si="7"/>
        <v>9.4932075278018857</v>
      </c>
      <c r="L37" s="89">
        <f t="shared" si="7"/>
        <v>1.3847815224984783</v>
      </c>
      <c r="O37" s="20"/>
    </row>
    <row r="38" spans="1:256">
      <c r="A38" s="121" t="s">
        <v>24</v>
      </c>
      <c r="B38" s="94">
        <f t="shared" si="1"/>
        <v>100389887.06</v>
      </c>
      <c r="C38" s="139">
        <f>'table 2a'!C38</f>
        <v>71939828</v>
      </c>
      <c r="D38" s="139">
        <f>'table 2a'!D38</f>
        <v>382056.08</v>
      </c>
      <c r="E38" s="139">
        <f>state1!C39-state1!I39</f>
        <v>18596179.25</v>
      </c>
      <c r="F38" s="139">
        <f>'fed1'!B39-'table 6'!I39</f>
        <v>9471823.7299999986</v>
      </c>
      <c r="G38" s="139">
        <f>'table 2a'!G38</f>
        <v>0</v>
      </c>
      <c r="H38" s="93"/>
      <c r="I38" s="95">
        <f t="shared" si="2"/>
        <v>72.041005521577489</v>
      </c>
      <c r="J38" s="95">
        <f>IF($B38&lt;&gt;0,(E38/$B38*100),(IF(E38&lt;&gt;0,1,0)))</f>
        <v>18.52395673967202</v>
      </c>
      <c r="K38" s="95">
        <f t="shared" si="7"/>
        <v>9.4350377387504931</v>
      </c>
      <c r="L38" s="95">
        <f t="shared" si="7"/>
        <v>0</v>
      </c>
      <c r="O38" s="20"/>
    </row>
    <row r="39" spans="1:256">
      <c r="A39" s="84"/>
      <c r="B39" s="91"/>
      <c r="C39" s="88"/>
      <c r="D39" s="88"/>
      <c r="E39" s="88"/>
      <c r="F39" s="88"/>
      <c r="G39" s="88"/>
      <c r="H39" s="87"/>
      <c r="I39" s="89"/>
      <c r="J39" s="89"/>
      <c r="K39" s="89"/>
      <c r="L39" s="89"/>
      <c r="O39" s="20"/>
    </row>
    <row r="40" spans="1:256">
      <c r="A40" s="133" t="s">
        <v>222</v>
      </c>
      <c r="C40" s="86"/>
      <c r="D40" s="90"/>
      <c r="E40" s="86"/>
      <c r="F40" s="86"/>
      <c r="G40" s="86"/>
      <c r="H40" s="86"/>
      <c r="I40" s="140"/>
      <c r="J40" s="140"/>
      <c r="K40" s="140"/>
      <c r="L40" s="86"/>
    </row>
    <row r="41" spans="1:256">
      <c r="A41" s="53" t="s">
        <v>289</v>
      </c>
      <c r="B41" s="53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>
      <c r="A42" s="53" t="s">
        <v>200</v>
      </c>
      <c r="C42" s="86"/>
      <c r="D42" s="90"/>
      <c r="E42" s="86"/>
      <c r="F42" s="86"/>
      <c r="G42" s="86"/>
      <c r="H42" s="86"/>
      <c r="I42" s="86"/>
      <c r="J42" s="86"/>
      <c r="K42" s="86"/>
      <c r="L42" s="86"/>
    </row>
    <row r="43" spans="1:256">
      <c r="A43" s="97"/>
      <c r="C43" s="86"/>
      <c r="D43" s="90"/>
      <c r="E43" s="86"/>
      <c r="F43" s="86"/>
      <c r="G43" s="86"/>
      <c r="H43" s="86"/>
      <c r="I43" s="86"/>
      <c r="J43" s="86"/>
      <c r="K43" s="86"/>
      <c r="L43" s="86"/>
    </row>
    <row r="44" spans="1:256">
      <c r="C44" s="86"/>
      <c r="D44" s="90"/>
      <c r="E44" s="86"/>
      <c r="F44" s="86"/>
      <c r="G44" s="86"/>
      <c r="H44" s="86"/>
      <c r="I44" s="86"/>
      <c r="J44" s="86"/>
      <c r="K44" s="86"/>
      <c r="L44" s="86"/>
    </row>
    <row r="45" spans="1:256">
      <c r="D45" s="96"/>
    </row>
    <row r="46" spans="1:256">
      <c r="D46" s="96"/>
    </row>
  </sheetData>
  <sheetProtection password="CAF5" sheet="1" objects="1" scenarios="1"/>
  <mergeCells count="6">
    <mergeCell ref="A1:L1"/>
    <mergeCell ref="C7:D7"/>
    <mergeCell ref="C6:F6"/>
    <mergeCell ref="I6:L6"/>
    <mergeCell ref="A3:L3"/>
    <mergeCell ref="A4:L4"/>
  </mergeCells>
  <phoneticPr fontId="0" type="noConversion"/>
  <printOptions horizontalCentered="1"/>
  <pageMargins left="0.7" right="0.72" top="0.83" bottom="1" header="0.67" footer="0.5"/>
  <pageSetup scale="81" orientation="landscape" r:id="rId1"/>
  <headerFooter alignWithMargins="0">
    <oddFooter>&amp;L&amp;"Arial,Italic"&amp;9MSDE - LFRO  12 / 2014&amp;C- 3 -&amp;R&amp;"Arial,Italic"&amp;9Selected Financial Data-Part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zoomScaleNormal="100" workbookViewId="0">
      <selection sqref="A1:K1"/>
    </sheetView>
  </sheetViews>
  <sheetFormatPr defaultRowHeight="12.75"/>
  <cols>
    <col min="1" max="1" width="14.140625" customWidth="1"/>
    <col min="2" max="2" width="14.85546875" customWidth="1"/>
    <col min="3" max="3" width="14.85546875" style="55" customWidth="1"/>
    <col min="4" max="4" width="13.28515625" style="55" customWidth="1"/>
    <col min="5" max="5" width="18.140625" style="55" customWidth="1"/>
    <col min="6" max="7" width="13.28515625" style="55" customWidth="1"/>
    <col min="8" max="11" width="9.140625" style="55"/>
  </cols>
  <sheetData>
    <row r="1" spans="1:58">
      <c r="A1" s="469" t="s">
        <v>87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3" spans="1:58">
      <c r="A3" s="461" t="s">
        <v>263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58">
      <c r="A4" s="469"/>
      <c r="B4" s="469"/>
      <c r="C4" s="469"/>
      <c r="D4" s="469"/>
      <c r="E4" s="469"/>
      <c r="F4" s="469"/>
      <c r="G4" s="469"/>
      <c r="H4" s="469"/>
      <c r="I4" s="469"/>
      <c r="J4" s="469"/>
    </row>
    <row r="5" spans="1:58" ht="13.5" thickBot="1">
      <c r="B5" s="11"/>
      <c r="C5" s="188"/>
      <c r="D5" s="188"/>
      <c r="E5" s="188"/>
      <c r="F5" s="188"/>
      <c r="G5" s="188"/>
      <c r="H5" s="188"/>
      <c r="I5" s="188"/>
      <c r="J5" s="188"/>
      <c r="K5" s="188"/>
    </row>
    <row r="6" spans="1:58" ht="15" customHeight="1" thickTop="1">
      <c r="A6" s="6" t="s">
        <v>77</v>
      </c>
      <c r="B6" s="17" t="s">
        <v>43</v>
      </c>
      <c r="C6" s="471" t="s">
        <v>80</v>
      </c>
      <c r="D6" s="471"/>
      <c r="E6" s="471"/>
      <c r="F6" s="471"/>
      <c r="G6" s="191"/>
      <c r="H6" s="471" t="s">
        <v>82</v>
      </c>
      <c r="I6" s="471"/>
      <c r="J6" s="471"/>
      <c r="K6" s="471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>
      <c r="A7" s="3" t="s">
        <v>33</v>
      </c>
      <c r="B7" s="9" t="s">
        <v>83</v>
      </c>
      <c r="C7" s="470" t="s">
        <v>77</v>
      </c>
      <c r="D7" s="470"/>
      <c r="E7" s="472" t="s">
        <v>44</v>
      </c>
      <c r="F7" s="472" t="s">
        <v>51</v>
      </c>
      <c r="G7" s="101" t="s">
        <v>79</v>
      </c>
      <c r="H7" s="65"/>
      <c r="I7" s="65"/>
      <c r="J7" s="65"/>
      <c r="K7" s="65" t="s">
        <v>79</v>
      </c>
    </row>
    <row r="8" spans="1:58" ht="13.5" thickBot="1">
      <c r="A8" s="7" t="s">
        <v>132</v>
      </c>
      <c r="B8" s="196" t="s">
        <v>84</v>
      </c>
      <c r="C8" s="80" t="s">
        <v>78</v>
      </c>
      <c r="D8" s="80" t="s">
        <v>113</v>
      </c>
      <c r="E8" s="473"/>
      <c r="F8" s="473"/>
      <c r="G8" s="49" t="s">
        <v>81</v>
      </c>
      <c r="H8" s="189" t="s">
        <v>77</v>
      </c>
      <c r="I8" s="189" t="s">
        <v>44</v>
      </c>
      <c r="J8" s="190" t="s">
        <v>51</v>
      </c>
      <c r="K8" s="80" t="s">
        <v>81</v>
      </c>
    </row>
    <row r="9" spans="1:58">
      <c r="A9" s="3" t="s">
        <v>0</v>
      </c>
      <c r="B9" s="60">
        <f t="shared" ref="B9:G9" si="0">SUM(B11:B38)</f>
        <v>1008203696.8400002</v>
      </c>
      <c r="C9" s="141">
        <f t="shared" si="0"/>
        <v>642954515.04999995</v>
      </c>
      <c r="D9" s="141">
        <f t="shared" si="0"/>
        <v>5700841.8100000005</v>
      </c>
      <c r="E9" s="141">
        <f t="shared" si="0"/>
        <v>272424814.59999996</v>
      </c>
      <c r="F9" s="141">
        <f t="shared" si="0"/>
        <v>0</v>
      </c>
      <c r="G9" s="141">
        <f t="shared" si="0"/>
        <v>87123525.379999995</v>
      </c>
      <c r="H9" s="142">
        <f>IF(B9&lt;&gt;0,((+C9+D9)/B9),(IF(C9&lt;&gt;0,1,0)))</f>
        <v>0.64337728466288313</v>
      </c>
      <c r="I9" s="142">
        <f>IF($B9&lt;&gt;0,(E9/$B9),(IF(E9&lt;&gt;0,1,0)))</f>
        <v>0.27020810918850779</v>
      </c>
      <c r="J9" s="142">
        <f>IF($B9&lt;&gt;0,(F9/$B9),(IF(F9&lt;&gt;0,1,0)))</f>
        <v>0</v>
      </c>
      <c r="K9" s="142">
        <f>IF($B9&lt;&gt;0,(G9/$B9),(IF(G9&lt;&gt;0,1,0)))</f>
        <v>8.6414606148608797E-2</v>
      </c>
    </row>
    <row r="10" spans="1:58">
      <c r="A10" s="3"/>
      <c r="B10" s="61"/>
      <c r="C10" s="143"/>
      <c r="D10" s="74"/>
      <c r="E10" s="73"/>
      <c r="F10" s="70"/>
      <c r="G10" s="70"/>
      <c r="H10" s="144"/>
      <c r="I10" s="144"/>
      <c r="J10" s="144"/>
      <c r="K10" s="144"/>
    </row>
    <row r="11" spans="1:58">
      <c r="A11" t="s">
        <v>1</v>
      </c>
      <c r="B11" s="111">
        <f t="shared" ref="B11:B38" si="1">SUM(C11:G11)</f>
        <v>2619248.39</v>
      </c>
      <c r="C11" s="322">
        <v>523656.31</v>
      </c>
      <c r="D11" s="322">
        <v>0</v>
      </c>
      <c r="E11" s="129">
        <v>1505419.03</v>
      </c>
      <c r="F11" s="322">
        <v>0</v>
      </c>
      <c r="G11" s="322">
        <v>590173.05000000005</v>
      </c>
      <c r="H11" s="136">
        <f t="shared" ref="H11:H38" si="2">IF(B11&lt;&gt;0,((+C11+D11)/B11*100),(IF(C11&lt;&gt;0,1,0)))</f>
        <v>19.99261742411532</v>
      </c>
      <c r="I11" s="136">
        <f>IF($B11&lt;&gt;0,(E11/$B11*100),(IF(E11&lt;&gt;0,1,0)))</f>
        <v>57.47522975474655</v>
      </c>
      <c r="J11" s="136">
        <f t="shared" ref="J11:K15" si="3">IF($B11&lt;&gt;0,(F11/$B11*100),(IF(F11&lt;&gt;0,1,0)))</f>
        <v>0</v>
      </c>
      <c r="K11" s="136">
        <f t="shared" si="3"/>
        <v>22.53215282113813</v>
      </c>
    </row>
    <row r="12" spans="1:58">
      <c r="A12" t="s">
        <v>2</v>
      </c>
      <c r="B12" s="111">
        <f t="shared" si="1"/>
        <v>109166419</v>
      </c>
      <c r="C12" s="322">
        <v>5532637</v>
      </c>
      <c r="D12" s="322">
        <v>45529</v>
      </c>
      <c r="E12" s="129">
        <v>33745034</v>
      </c>
      <c r="F12" s="322">
        <v>0</v>
      </c>
      <c r="G12" s="322">
        <v>69843219</v>
      </c>
      <c r="H12" s="136">
        <f t="shared" si="2"/>
        <v>5.1097819742534565</v>
      </c>
      <c r="I12" s="136">
        <f>IF($B12&lt;&gt;0,(E12/$B12*100),(IF(E12&lt;&gt;0,1,0)))</f>
        <v>30.911551655825587</v>
      </c>
      <c r="J12" s="136">
        <f t="shared" si="3"/>
        <v>0</v>
      </c>
      <c r="K12" s="136">
        <f t="shared" si="3"/>
        <v>63.978666369920958</v>
      </c>
    </row>
    <row r="13" spans="1:58">
      <c r="A13" t="s">
        <v>3</v>
      </c>
      <c r="B13" s="111">
        <f t="shared" si="1"/>
        <v>54294373.210000001</v>
      </c>
      <c r="C13" s="322">
        <v>5726240.4500000002</v>
      </c>
      <c r="D13" s="322">
        <v>32756.54</v>
      </c>
      <c r="E13" s="129">
        <v>40658683.049999997</v>
      </c>
      <c r="F13" s="322">
        <v>0</v>
      </c>
      <c r="G13" s="322">
        <v>7876693.1699999999</v>
      </c>
      <c r="H13" s="136">
        <f>IF(B13&lt;&gt;0,((+C13+D13)/B13*100),(IF(C13&lt;&gt;0,1,0)))</f>
        <v>10.606986782452259</v>
      </c>
      <c r="I13" s="136">
        <f>IF($B13&lt;&gt;0,(E13/$B13*100),(IF(E13&lt;&gt;0,1,0)))</f>
        <v>74.885629294844563</v>
      </c>
      <c r="J13" s="136">
        <f t="shared" si="3"/>
        <v>0</v>
      </c>
      <c r="K13" s="136">
        <f t="shared" si="3"/>
        <v>14.507383922703177</v>
      </c>
    </row>
    <row r="14" spans="1:58">
      <c r="A14" t="s">
        <v>4</v>
      </c>
      <c r="B14" s="111">
        <f t="shared" si="1"/>
        <v>140192600</v>
      </c>
      <c r="C14" s="322">
        <v>98100917</v>
      </c>
      <c r="D14" s="322">
        <v>0</v>
      </c>
      <c r="E14" s="129">
        <v>42091683</v>
      </c>
      <c r="F14" s="322">
        <v>0</v>
      </c>
      <c r="G14" s="322">
        <v>0</v>
      </c>
      <c r="H14" s="136">
        <f t="shared" si="2"/>
        <v>69.9758168405465</v>
      </c>
      <c r="I14" s="136">
        <f>IF($B14&lt;&gt;0,(E14/$B14*100),(IF(E14&lt;&gt;0,1,0)))</f>
        <v>30.024183159453493</v>
      </c>
      <c r="J14" s="136">
        <f t="shared" si="3"/>
        <v>0</v>
      </c>
      <c r="K14" s="136">
        <f t="shared" si="3"/>
        <v>0</v>
      </c>
    </row>
    <row r="15" spans="1:58">
      <c r="A15" t="s">
        <v>5</v>
      </c>
      <c r="B15" s="111">
        <f t="shared" si="1"/>
        <v>12305232</v>
      </c>
      <c r="C15" s="322">
        <v>5422927</v>
      </c>
      <c r="D15" s="322">
        <v>74</v>
      </c>
      <c r="E15" s="129">
        <v>6882231</v>
      </c>
      <c r="F15" s="322">
        <v>0</v>
      </c>
      <c r="G15" s="322">
        <v>0</v>
      </c>
      <c r="H15" s="136">
        <f t="shared" si="2"/>
        <v>44.070692856502014</v>
      </c>
      <c r="I15" s="136">
        <f>IF($B15&lt;&gt;0,(E15/$B15*100),(IF(E15&lt;&gt;0,1,0)))</f>
        <v>55.929307143497986</v>
      </c>
      <c r="J15" s="136">
        <f t="shared" si="3"/>
        <v>0</v>
      </c>
      <c r="K15" s="136">
        <f t="shared" si="3"/>
        <v>0</v>
      </c>
    </row>
    <row r="16" spans="1:58">
      <c r="B16" s="111"/>
      <c r="C16" s="336"/>
      <c r="D16" s="336"/>
      <c r="E16" s="339"/>
      <c r="F16" s="336"/>
      <c r="G16" s="336"/>
      <c r="H16" s="136"/>
      <c r="I16" s="136"/>
      <c r="J16" s="136"/>
      <c r="K16" s="136"/>
    </row>
    <row r="17" spans="1:11">
      <c r="A17" t="s">
        <v>6</v>
      </c>
      <c r="B17" s="111">
        <f t="shared" si="1"/>
        <v>2575543.0299999998</v>
      </c>
      <c r="C17" s="322">
        <v>0</v>
      </c>
      <c r="D17" s="322">
        <v>32394.04</v>
      </c>
      <c r="E17" s="129">
        <v>168742.71</v>
      </c>
      <c r="F17" s="322">
        <v>0</v>
      </c>
      <c r="G17" s="322">
        <v>2374406.2799999998</v>
      </c>
      <c r="H17" s="136">
        <f t="shared" si="2"/>
        <v>1.2577557285074754</v>
      </c>
      <c r="I17" s="136">
        <f>IF($B17&lt;&gt;0,(E17/$B17*100),(IF(E17&lt;&gt;0,1,0)))</f>
        <v>6.5517332863198181</v>
      </c>
      <c r="J17" s="136">
        <f t="shared" ref="J17:K21" si="4">IF($B17&lt;&gt;0,(F17/$B17*100),(IF(F17&lt;&gt;0,1,0)))</f>
        <v>0</v>
      </c>
      <c r="K17" s="136">
        <f t="shared" si="4"/>
        <v>92.190510985172708</v>
      </c>
    </row>
    <row r="18" spans="1:11">
      <c r="A18" t="s">
        <v>7</v>
      </c>
      <c r="B18" s="111">
        <f t="shared" si="1"/>
        <v>31863753.289999999</v>
      </c>
      <c r="C18" s="322">
        <v>15331993.289999999</v>
      </c>
      <c r="D18" s="322">
        <v>0</v>
      </c>
      <c r="E18" s="129">
        <v>16531760</v>
      </c>
      <c r="F18" s="322">
        <v>0</v>
      </c>
      <c r="G18" s="322">
        <v>0</v>
      </c>
      <c r="H18" s="136">
        <f t="shared" si="2"/>
        <v>48.117348733087681</v>
      </c>
      <c r="I18" s="136">
        <f>IF($B18&lt;&gt;0,(E18/$B18*100),(IF(E18&lt;&gt;0,1,0)))</f>
        <v>51.882651266912319</v>
      </c>
      <c r="J18" s="136">
        <f t="shared" si="4"/>
        <v>0</v>
      </c>
      <c r="K18" s="136">
        <f t="shared" si="4"/>
        <v>0</v>
      </c>
    </row>
    <row r="19" spans="1:11">
      <c r="A19" t="s">
        <v>8</v>
      </c>
      <c r="B19" s="111">
        <f t="shared" si="1"/>
        <v>4747843.75</v>
      </c>
      <c r="C19" s="322">
        <v>2205920.77</v>
      </c>
      <c r="D19" s="322">
        <v>91308.08</v>
      </c>
      <c r="E19" s="129">
        <v>2450614.9</v>
      </c>
      <c r="F19" s="322">
        <v>0</v>
      </c>
      <c r="G19" s="322">
        <v>0</v>
      </c>
      <c r="H19" s="136">
        <f>IF(B19&lt;&gt;0,((+C19+D19)/B19*100),(IF(C19&lt;&gt;0,1,0)))</f>
        <v>48.384676728251641</v>
      </c>
      <c r="I19" s="136">
        <f>IF($B19&lt;&gt;0,(E19/$B19*100),(IF(E19&lt;&gt;0,1,0)))</f>
        <v>51.615323271748359</v>
      </c>
      <c r="J19" s="136">
        <f t="shared" si="4"/>
        <v>0</v>
      </c>
      <c r="K19" s="136">
        <f t="shared" si="4"/>
        <v>0</v>
      </c>
    </row>
    <row r="20" spans="1:11">
      <c r="A20" t="s">
        <v>9</v>
      </c>
      <c r="B20" s="111">
        <f t="shared" si="1"/>
        <v>6867603.3799999999</v>
      </c>
      <c r="C20" s="322">
        <v>3764186.97</v>
      </c>
      <c r="D20" s="322">
        <v>21.78</v>
      </c>
      <c r="E20" s="129">
        <v>3103394.63</v>
      </c>
      <c r="F20" s="322">
        <v>0</v>
      </c>
      <c r="G20" s="322">
        <v>0</v>
      </c>
      <c r="H20" s="136">
        <f t="shared" si="2"/>
        <v>54.811096997275932</v>
      </c>
      <c r="I20" s="136">
        <f>IF($B20&lt;&gt;0,(E20/$B20*100),(IF(E20&lt;&gt;0,1,0)))</f>
        <v>45.188903002724075</v>
      </c>
      <c r="J20" s="136">
        <f t="shared" si="4"/>
        <v>0</v>
      </c>
      <c r="K20" s="136">
        <f t="shared" si="4"/>
        <v>0</v>
      </c>
    </row>
    <row r="21" spans="1:11">
      <c r="A21" t="s">
        <v>10</v>
      </c>
      <c r="B21" s="111">
        <f t="shared" si="1"/>
        <v>2987623</v>
      </c>
      <c r="C21" s="322">
        <v>277522</v>
      </c>
      <c r="D21" s="322">
        <v>0</v>
      </c>
      <c r="E21" s="129">
        <v>2710101</v>
      </c>
      <c r="F21" s="322">
        <v>0</v>
      </c>
      <c r="G21" s="322">
        <v>0</v>
      </c>
      <c r="H21" s="136">
        <f t="shared" si="2"/>
        <v>9.2890568856913998</v>
      </c>
      <c r="I21" s="136">
        <f>IF($B21&lt;&gt;0,(E21/$B21*100),(IF(E21&lt;&gt;0,1,0)))</f>
        <v>90.710943114308591</v>
      </c>
      <c r="J21" s="136">
        <f t="shared" si="4"/>
        <v>0</v>
      </c>
      <c r="K21" s="136">
        <f t="shared" si="4"/>
        <v>0</v>
      </c>
    </row>
    <row r="22" spans="1:11">
      <c r="B22" s="111"/>
      <c r="C22" s="336"/>
      <c r="D22" s="336"/>
      <c r="E22" s="339"/>
      <c r="F22" s="336"/>
      <c r="G22" s="336"/>
      <c r="H22" s="136"/>
      <c r="I22" s="136"/>
      <c r="J22" s="136"/>
      <c r="K22" s="136"/>
    </row>
    <row r="23" spans="1:11">
      <c r="A23" t="s">
        <v>11</v>
      </c>
      <c r="B23" s="111">
        <f t="shared" si="1"/>
        <v>27633195</v>
      </c>
      <c r="C23" s="322">
        <v>9873073</v>
      </c>
      <c r="D23" s="322">
        <v>0</v>
      </c>
      <c r="E23" s="129">
        <v>17760122</v>
      </c>
      <c r="F23" s="322">
        <v>0</v>
      </c>
      <c r="G23" s="322">
        <v>0</v>
      </c>
      <c r="H23" s="136">
        <f t="shared" si="2"/>
        <v>35.729031695393893</v>
      </c>
      <c r="I23" s="136">
        <f>IF($B23&lt;&gt;0,(E23/$B23*100),(IF(E23&lt;&gt;0,1,0)))</f>
        <v>64.270968304606114</v>
      </c>
      <c r="J23" s="136">
        <f t="shared" ref="J23:K27" si="5">IF($B23&lt;&gt;0,(F23/$B23*100),(IF(F23&lt;&gt;0,1,0)))</f>
        <v>0</v>
      </c>
      <c r="K23" s="136">
        <f t="shared" si="5"/>
        <v>0</v>
      </c>
    </row>
    <row r="24" spans="1:11">
      <c r="A24" t="s">
        <v>12</v>
      </c>
      <c r="B24" s="111">
        <f t="shared" si="1"/>
        <v>148035.85</v>
      </c>
      <c r="C24" s="322">
        <v>148035.85</v>
      </c>
      <c r="D24" s="322">
        <v>0</v>
      </c>
      <c r="E24" s="129">
        <v>0</v>
      </c>
      <c r="F24" s="322">
        <v>0</v>
      </c>
      <c r="G24" s="322">
        <v>0</v>
      </c>
      <c r="H24" s="136">
        <f t="shared" si="2"/>
        <v>100</v>
      </c>
      <c r="I24" s="136">
        <f>IF($B24&lt;&gt;0,(E24/$B24*100),(IF(E24&lt;&gt;0,1,0)))</f>
        <v>0</v>
      </c>
      <c r="J24" s="136">
        <f t="shared" si="5"/>
        <v>0</v>
      </c>
      <c r="K24" s="136">
        <f t="shared" si="5"/>
        <v>0</v>
      </c>
    </row>
    <row r="25" spans="1:11">
      <c r="A25" t="s">
        <v>13</v>
      </c>
      <c r="B25" s="111">
        <f t="shared" si="1"/>
        <v>28383194</v>
      </c>
      <c r="C25" s="322">
        <v>12068710</v>
      </c>
      <c r="D25" s="322">
        <v>708578</v>
      </c>
      <c r="E25" s="129">
        <v>15605906</v>
      </c>
      <c r="F25" s="322">
        <v>0</v>
      </c>
      <c r="G25" s="322">
        <v>0</v>
      </c>
      <c r="H25" s="136">
        <f>IF(B25&lt;&gt;0,((+C25+D25)/B25*100),(IF(C25&lt;&gt;0,1,0)))</f>
        <v>45.017090042790812</v>
      </c>
      <c r="I25" s="136">
        <f>IF($B25&lt;&gt;0,(E25/$B25*100),(IF(E25&lt;&gt;0,1,0)))</f>
        <v>54.982909957209181</v>
      </c>
      <c r="J25" s="136">
        <f t="shared" si="5"/>
        <v>0</v>
      </c>
      <c r="K25" s="136">
        <f t="shared" si="5"/>
        <v>0</v>
      </c>
    </row>
    <row r="26" spans="1:11">
      <c r="A26" t="s">
        <v>14</v>
      </c>
      <c r="B26" s="111">
        <f t="shared" si="1"/>
        <v>69628997</v>
      </c>
      <c r="C26" s="322">
        <v>60108808</v>
      </c>
      <c r="D26" s="322">
        <v>508</v>
      </c>
      <c r="E26" s="129">
        <v>9519681</v>
      </c>
      <c r="F26" s="322">
        <v>0</v>
      </c>
      <c r="G26" s="322">
        <v>0</v>
      </c>
      <c r="H26" s="136">
        <f>IF(B26&lt;&gt;0,((+C27+D26)/B26*100),(IF(C27&lt;&gt;0,1,0)))</f>
        <v>7.2958109679506088E-4</v>
      </c>
      <c r="I26" s="136">
        <f>IF($B26&lt;&gt;0,(E26/$B26*100),(IF(E26&lt;&gt;0,1,0)))</f>
        <v>13.672006506139963</v>
      </c>
      <c r="J26" s="136">
        <f t="shared" si="5"/>
        <v>0</v>
      </c>
      <c r="K26" s="136">
        <f t="shared" si="5"/>
        <v>0</v>
      </c>
    </row>
    <row r="27" spans="1:11">
      <c r="A27" t="s">
        <v>15</v>
      </c>
      <c r="B27" s="111">
        <f>SUM(C27:G27)</f>
        <v>0</v>
      </c>
      <c r="C27" s="322">
        <v>0</v>
      </c>
      <c r="D27" s="322">
        <v>0</v>
      </c>
      <c r="E27" s="129">
        <v>0</v>
      </c>
      <c r="F27" s="322">
        <v>0</v>
      </c>
      <c r="G27" s="322">
        <v>0</v>
      </c>
      <c r="H27" s="136">
        <f>IF(B27&lt;&gt;0,((+C28+D27)/B27*100),(IF(C28&lt;&gt;0,1,0)))</f>
        <v>0</v>
      </c>
      <c r="I27" s="136">
        <f>IF($B27&lt;&gt;0,(E27/$B27*100),(IF(E27&lt;&gt;0,1,0)))</f>
        <v>0</v>
      </c>
      <c r="J27" s="136">
        <f t="shared" si="5"/>
        <v>0</v>
      </c>
      <c r="K27" s="136">
        <f t="shared" si="5"/>
        <v>0</v>
      </c>
    </row>
    <row r="28" spans="1:11">
      <c r="B28" s="111"/>
      <c r="C28" s="338"/>
      <c r="D28" s="338"/>
      <c r="E28" s="339"/>
      <c r="F28" s="336"/>
      <c r="G28" s="336"/>
      <c r="H28" s="136"/>
      <c r="I28" s="136"/>
      <c r="J28" s="136"/>
      <c r="K28" s="136"/>
    </row>
    <row r="29" spans="1:11">
      <c r="A29" t="s">
        <v>16</v>
      </c>
      <c r="B29" s="111">
        <f t="shared" si="1"/>
        <v>376401542</v>
      </c>
      <c r="C29" s="322">
        <v>338895857</v>
      </c>
      <c r="D29" s="322">
        <v>4489654</v>
      </c>
      <c r="E29" s="129">
        <v>33016031</v>
      </c>
      <c r="F29" s="322">
        <v>0</v>
      </c>
      <c r="G29" s="322">
        <v>0</v>
      </c>
      <c r="H29" s="136">
        <f>IF(B29&lt;&gt;0,((+C30+D30)/B29*100),(IF(C30&lt;&gt;0,1,0)))</f>
        <v>17.348490299224121</v>
      </c>
      <c r="I29" s="136">
        <f>IF($B29&lt;&gt;0,(E29/$B29*100),(IF(E29&lt;&gt;0,1,0)))</f>
        <v>8.7714919616349505</v>
      </c>
      <c r="J29" s="136">
        <f t="shared" ref="J29:K33" si="6">IF($B29&lt;&gt;0,(F29/$B29*100),(IF(F29&lt;&gt;0,1,0)))</f>
        <v>0</v>
      </c>
      <c r="K29" s="136">
        <f t="shared" si="6"/>
        <v>0</v>
      </c>
    </row>
    <row r="30" spans="1:11">
      <c r="A30" t="s">
        <v>17</v>
      </c>
      <c r="B30" s="111">
        <f t="shared" si="1"/>
        <v>93099530</v>
      </c>
      <c r="C30" s="322">
        <v>65299985</v>
      </c>
      <c r="D30" s="322">
        <v>0</v>
      </c>
      <c r="E30" s="129">
        <v>27799545</v>
      </c>
      <c r="F30" s="322">
        <v>0</v>
      </c>
      <c r="G30" s="322">
        <v>0</v>
      </c>
      <c r="H30" s="136">
        <f>IF(B30&lt;&gt;0,((+C31+D31)/B30*100),(IF(C31&lt;&gt;0,1,0)))</f>
        <v>8.9863868807930611</v>
      </c>
      <c r="I30" s="136">
        <f>IF($B30&lt;&gt;0,(E30/$B30*100),(IF(E30&lt;&gt;0,1,0)))</f>
        <v>29.86002722033076</v>
      </c>
      <c r="J30" s="136">
        <f t="shared" si="6"/>
        <v>0</v>
      </c>
      <c r="K30" s="136">
        <f t="shared" si="6"/>
        <v>0</v>
      </c>
    </row>
    <row r="31" spans="1:11">
      <c r="A31" t="s">
        <v>18</v>
      </c>
      <c r="B31" s="111">
        <f t="shared" si="1"/>
        <v>14147155.560000001</v>
      </c>
      <c r="C31" s="322">
        <v>8353879.5499999998</v>
      </c>
      <c r="D31" s="322">
        <v>12404.4</v>
      </c>
      <c r="E31" s="129">
        <v>5780871.6100000003</v>
      </c>
      <c r="F31" s="322">
        <v>0</v>
      </c>
      <c r="G31" s="322">
        <v>0</v>
      </c>
      <c r="H31" s="136">
        <f>IF(B31&lt;&gt;0,((+C32+D32)/B31*100),(IF(C32&lt;&gt;0,1,0)))</f>
        <v>42.982260315231876</v>
      </c>
      <c r="I31" s="136">
        <f>IF($B31&lt;&gt;0,(E31/$B31*100),(IF(E31&lt;&gt;0,1,0)))</f>
        <v>40.862430511084305</v>
      </c>
      <c r="J31" s="136">
        <f t="shared" si="6"/>
        <v>0</v>
      </c>
      <c r="K31" s="136">
        <f t="shared" si="6"/>
        <v>0</v>
      </c>
    </row>
    <row r="32" spans="1:11">
      <c r="A32" t="s">
        <v>19</v>
      </c>
      <c r="B32" s="111">
        <f t="shared" si="1"/>
        <v>8349953.959999999</v>
      </c>
      <c r="C32" s="322">
        <v>6080746.7199999997</v>
      </c>
      <c r="D32" s="322">
        <v>20.51</v>
      </c>
      <c r="E32" s="129">
        <v>2269186.73</v>
      </c>
      <c r="F32" s="322">
        <v>0</v>
      </c>
      <c r="G32" s="322">
        <v>0</v>
      </c>
      <c r="H32" s="136">
        <f>IF(B32&lt;&gt;0,((+C32+D32)/B32*100),(IF(C32&lt;&gt;0,1,0)))</f>
        <v>72.823961175469762</v>
      </c>
      <c r="I32" s="136">
        <f>IF($B32&lt;&gt;0,(E32/$B32*100),(IF(E32&lt;&gt;0,1,0)))</f>
        <v>27.176038824530242</v>
      </c>
      <c r="J32" s="136">
        <f t="shared" si="6"/>
        <v>0</v>
      </c>
      <c r="K32" s="136">
        <f t="shared" si="6"/>
        <v>0</v>
      </c>
    </row>
    <row r="33" spans="1:11">
      <c r="A33" t="s">
        <v>20</v>
      </c>
      <c r="B33" s="111">
        <f t="shared" si="1"/>
        <v>3459381.69</v>
      </c>
      <c r="C33" s="322">
        <v>0</v>
      </c>
      <c r="D33" s="322">
        <v>287581.69</v>
      </c>
      <c r="E33" s="129">
        <v>3171800</v>
      </c>
      <c r="F33" s="322">
        <v>0</v>
      </c>
      <c r="G33" s="322">
        <v>0</v>
      </c>
      <c r="H33" s="136">
        <f t="shared" si="2"/>
        <v>8.3130951068888841</v>
      </c>
      <c r="I33" s="136">
        <f>IF($B33&lt;&gt;0,(E33/$B33*100),(IF(E33&lt;&gt;0,1,0)))</f>
        <v>91.686904893111119</v>
      </c>
      <c r="J33" s="136">
        <f t="shared" si="6"/>
        <v>0</v>
      </c>
      <c r="K33" s="136">
        <f t="shared" si="6"/>
        <v>0</v>
      </c>
    </row>
    <row r="34" spans="1:11">
      <c r="B34" s="111"/>
      <c r="C34" s="336"/>
      <c r="D34" s="336"/>
      <c r="E34" s="339"/>
      <c r="F34" s="336"/>
      <c r="G34" s="336"/>
      <c r="H34" s="136"/>
      <c r="I34" s="136"/>
      <c r="J34" s="136"/>
      <c r="K34" s="136"/>
    </row>
    <row r="35" spans="1:11">
      <c r="A35" t="s">
        <v>21</v>
      </c>
      <c r="B35" s="111">
        <f t="shared" si="1"/>
        <v>1954037.8</v>
      </c>
      <c r="C35" s="322">
        <v>1690343.8</v>
      </c>
      <c r="D35" s="322">
        <v>0</v>
      </c>
      <c r="E35" s="129">
        <v>263694</v>
      </c>
      <c r="F35" s="322">
        <v>0</v>
      </c>
      <c r="G35" s="322">
        <v>0</v>
      </c>
      <c r="H35" s="136">
        <f t="shared" si="2"/>
        <v>86.505174055486549</v>
      </c>
      <c r="I35" s="136">
        <f>IF($B35&lt;&gt;0,(E35/$B35*100),(IF(E35&lt;&gt;0,1,0)))</f>
        <v>13.494825944513458</v>
      </c>
      <c r="J35" s="136">
        <f t="shared" ref="J35:K38" si="7">IF($B35&lt;&gt;0,(F35/$B35*100),(IF(F35&lt;&gt;0,1,0)))</f>
        <v>0</v>
      </c>
      <c r="K35" s="136">
        <f t="shared" si="7"/>
        <v>0</v>
      </c>
    </row>
    <row r="36" spans="1:11">
      <c r="A36" t="s">
        <v>22</v>
      </c>
      <c r="B36" s="111">
        <f t="shared" si="1"/>
        <v>8082085.9700000007</v>
      </c>
      <c r="C36" s="322">
        <v>0</v>
      </c>
      <c r="D36" s="322">
        <v>0</v>
      </c>
      <c r="E36" s="129">
        <v>3982870.5</v>
      </c>
      <c r="F36" s="322">
        <v>0</v>
      </c>
      <c r="G36" s="322">
        <v>4099215.47</v>
      </c>
      <c r="H36" s="136">
        <f t="shared" si="2"/>
        <v>0</v>
      </c>
      <c r="I36" s="136">
        <f>IF($B36&lt;&gt;0,(E36/$B36*100),(IF(E36&lt;&gt;0,1,0)))</f>
        <v>49.280229321787331</v>
      </c>
      <c r="J36" s="136">
        <f t="shared" si="7"/>
        <v>0</v>
      </c>
      <c r="K36" s="136">
        <f t="shared" si="7"/>
        <v>50.719770678212669</v>
      </c>
    </row>
    <row r="37" spans="1:11">
      <c r="A37" t="s">
        <v>23</v>
      </c>
      <c r="B37" s="111">
        <f t="shared" si="1"/>
        <v>5515529.8499999996</v>
      </c>
      <c r="C37" s="322">
        <v>0</v>
      </c>
      <c r="D37" s="322">
        <v>0</v>
      </c>
      <c r="E37" s="129">
        <v>3175711.44</v>
      </c>
      <c r="F37" s="322">
        <v>0</v>
      </c>
      <c r="G37" s="322">
        <v>2339818.41</v>
      </c>
      <c r="H37" s="136">
        <f t="shared" si="2"/>
        <v>0</v>
      </c>
      <c r="I37" s="136">
        <f>IF($B37&lt;&gt;0,(E37/$B37*100),(IF(E37&lt;&gt;0,1,0)))</f>
        <v>57.577631276893563</v>
      </c>
      <c r="J37" s="136">
        <f t="shared" si="7"/>
        <v>0</v>
      </c>
      <c r="K37" s="136">
        <f t="shared" si="7"/>
        <v>42.422368723106452</v>
      </c>
    </row>
    <row r="38" spans="1:11">
      <c r="A38" s="12" t="s">
        <v>24</v>
      </c>
      <c r="B38" s="113">
        <f t="shared" si="1"/>
        <v>3780819.11</v>
      </c>
      <c r="C38" s="324">
        <v>3549075.34</v>
      </c>
      <c r="D38" s="324">
        <v>11.77</v>
      </c>
      <c r="E38" s="131">
        <v>231732</v>
      </c>
      <c r="F38" s="324">
        <v>0</v>
      </c>
      <c r="G38" s="324">
        <v>0</v>
      </c>
      <c r="H38" s="325">
        <f t="shared" si="2"/>
        <v>93.870851969958437</v>
      </c>
      <c r="I38" s="325">
        <f>IF($B38&lt;&gt;0,(E38/$B38*100),(IF(E38&lt;&gt;0,1,0)))</f>
        <v>6.1291480300415646</v>
      </c>
      <c r="J38" s="325">
        <f t="shared" si="7"/>
        <v>0</v>
      </c>
      <c r="K38" s="325">
        <f t="shared" si="7"/>
        <v>0</v>
      </c>
    </row>
    <row r="39" spans="1:11">
      <c r="A39" s="21" t="s">
        <v>206</v>
      </c>
      <c r="B39" s="3"/>
      <c r="C39" s="322"/>
      <c r="D39" s="322"/>
      <c r="E39" s="322"/>
      <c r="F39" s="322"/>
      <c r="G39" s="322"/>
      <c r="H39" s="326"/>
      <c r="I39" s="326"/>
      <c r="J39" s="326"/>
      <c r="K39" s="77"/>
    </row>
    <row r="40" spans="1:11">
      <c r="A40" s="21"/>
      <c r="C40" s="77"/>
      <c r="D40" s="327"/>
      <c r="E40" s="77"/>
      <c r="F40" s="77"/>
      <c r="G40" s="77"/>
      <c r="H40" s="77"/>
      <c r="I40" s="77"/>
      <c r="J40" s="77"/>
      <c r="K40" s="77"/>
    </row>
    <row r="41" spans="1:11">
      <c r="C41" s="77"/>
      <c r="D41" s="327"/>
      <c r="E41" s="77"/>
      <c r="F41" s="77"/>
      <c r="G41" s="77"/>
      <c r="H41" s="77"/>
      <c r="I41" s="77"/>
      <c r="J41" s="77"/>
      <c r="K41" s="77"/>
    </row>
    <row r="42" spans="1:11">
      <c r="D42" s="145"/>
    </row>
    <row r="43" spans="1:11">
      <c r="D43" s="145"/>
    </row>
    <row r="44" spans="1:11">
      <c r="D44" s="145"/>
    </row>
    <row r="45" spans="1:11">
      <c r="D45" s="145"/>
    </row>
  </sheetData>
  <sheetProtection password="CAF5" sheet="1" objects="1" scenarios="1"/>
  <mergeCells count="8">
    <mergeCell ref="A1:K1"/>
    <mergeCell ref="A3:K3"/>
    <mergeCell ref="C7:D7"/>
    <mergeCell ref="A4:J4"/>
    <mergeCell ref="C6:F6"/>
    <mergeCell ref="H6:K6"/>
    <mergeCell ref="E7:E8"/>
    <mergeCell ref="F7:F8"/>
  </mergeCells>
  <phoneticPr fontId="0" type="noConversion"/>
  <printOptions horizontalCentered="1"/>
  <pageMargins left="0.5" right="0.52" top="0.83" bottom="1" header="0.67" footer="0.5"/>
  <pageSetup scale="93" orientation="landscape" r:id="rId1"/>
  <headerFooter alignWithMargins="0">
    <oddFooter>&amp;L&amp;"Arial,Italic"&amp;9MSDE - LFRO  12 / 2014&amp;C- 4 -&amp;R&amp;"Arial,Italic"&amp;9Selected Financial Data-Part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zoomScaleNormal="100" workbookViewId="0">
      <selection sqref="A1:K1"/>
    </sheetView>
  </sheetViews>
  <sheetFormatPr defaultRowHeight="12.75"/>
  <cols>
    <col min="1" max="1" width="15.7109375" style="86" customWidth="1"/>
    <col min="2" max="2" width="14.85546875" style="86" customWidth="1"/>
    <col min="3" max="3" width="14.85546875" style="454" customWidth="1"/>
    <col min="4" max="4" width="13.28515625" style="86" customWidth="1"/>
    <col min="5" max="5" width="14.85546875" style="86" customWidth="1"/>
    <col min="6" max="7" width="13.28515625" style="86" customWidth="1"/>
    <col min="8" max="8" width="2.7109375" style="86" customWidth="1"/>
    <col min="9" max="11" width="9.140625" style="86"/>
    <col min="12" max="12" width="11.5703125" style="86" customWidth="1"/>
    <col min="13" max="13" width="9.140625" style="86"/>
  </cols>
  <sheetData>
    <row r="1" spans="1:56">
      <c r="A1" s="466" t="s">
        <v>88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77"/>
      <c r="M1" s="77"/>
    </row>
    <row r="2" spans="1:56">
      <c r="A2" s="146"/>
      <c r="B2" s="77"/>
      <c r="C2" s="443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56">
      <c r="A3" s="466" t="s">
        <v>264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77"/>
      <c r="M3" s="77"/>
    </row>
    <row r="4" spans="1:56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77"/>
      <c r="M4" s="77"/>
    </row>
    <row r="5" spans="1:56" ht="13.5" thickBot="1">
      <c r="A5" s="77"/>
      <c r="B5" s="147"/>
      <c r="C5" s="444"/>
      <c r="D5" s="147"/>
      <c r="E5" s="147"/>
      <c r="F5" s="147"/>
      <c r="G5" s="147"/>
      <c r="H5" s="147"/>
      <c r="I5" s="147"/>
      <c r="J5" s="147"/>
      <c r="K5" s="147"/>
      <c r="L5" s="147"/>
      <c r="M5" s="77"/>
    </row>
    <row r="6" spans="1:56" ht="15" customHeight="1" thickTop="1">
      <c r="A6" s="122" t="s">
        <v>77</v>
      </c>
      <c r="B6" s="124" t="s">
        <v>43</v>
      </c>
      <c r="C6" s="475" t="s">
        <v>80</v>
      </c>
      <c r="D6" s="475"/>
      <c r="E6" s="475"/>
      <c r="F6" s="475"/>
      <c r="G6" s="148"/>
      <c r="H6" s="148"/>
      <c r="I6" s="475" t="s">
        <v>82</v>
      </c>
      <c r="J6" s="475"/>
      <c r="K6" s="475"/>
      <c r="L6" s="475"/>
      <c r="M6" s="14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56">
      <c r="A7" s="148" t="s">
        <v>33</v>
      </c>
      <c r="B7" s="125" t="s">
        <v>83</v>
      </c>
      <c r="C7" s="474" t="s">
        <v>77</v>
      </c>
      <c r="D7" s="474"/>
      <c r="E7" s="135"/>
      <c r="F7" s="135"/>
      <c r="G7" s="125" t="s">
        <v>79</v>
      </c>
      <c r="H7" s="125"/>
      <c r="I7" s="124"/>
      <c r="J7" s="124"/>
      <c r="K7" s="124"/>
      <c r="L7" s="124" t="s">
        <v>79</v>
      </c>
      <c r="M7" s="77"/>
    </row>
    <row r="8" spans="1:56" ht="13.5" thickBot="1">
      <c r="A8" s="150" t="s">
        <v>132</v>
      </c>
      <c r="B8" s="126" t="s">
        <v>84</v>
      </c>
      <c r="C8" s="445" t="s">
        <v>78</v>
      </c>
      <c r="D8" s="151" t="s">
        <v>204</v>
      </c>
      <c r="E8" s="151" t="s">
        <v>44</v>
      </c>
      <c r="F8" s="151" t="s">
        <v>51</v>
      </c>
      <c r="G8" s="151" t="s">
        <v>81</v>
      </c>
      <c r="H8" s="151"/>
      <c r="I8" s="126" t="s">
        <v>77</v>
      </c>
      <c r="J8" s="126" t="s">
        <v>44</v>
      </c>
      <c r="K8" s="152" t="s">
        <v>51</v>
      </c>
      <c r="L8" s="151" t="s">
        <v>81</v>
      </c>
      <c r="M8" s="77"/>
    </row>
    <row r="9" spans="1:56">
      <c r="A9" s="148" t="s">
        <v>0</v>
      </c>
      <c r="B9" s="82">
        <f t="shared" ref="B9:G9" si="0">SUM(B11:B38)</f>
        <v>711001675.25999999</v>
      </c>
      <c r="C9" s="446">
        <f>SUM(C12:C38)</f>
        <v>695476098.97000003</v>
      </c>
      <c r="D9" s="312">
        <f>SUM(D11:D38)</f>
        <v>15525576.289999999</v>
      </c>
      <c r="E9" s="312">
        <f t="shared" si="0"/>
        <v>0</v>
      </c>
      <c r="F9" s="312">
        <f t="shared" si="0"/>
        <v>0</v>
      </c>
      <c r="G9" s="312">
        <f t="shared" si="0"/>
        <v>0</v>
      </c>
      <c r="H9" s="82"/>
      <c r="I9" s="153">
        <f>IF(B9&lt;&gt;0,((+C9+D9)/B9),(IF(C9&lt;&gt;0,1,0)))</f>
        <v>1</v>
      </c>
      <c r="J9" s="153">
        <f>IF($B9&lt;&gt;0,(E9/$B9),(IF(E9&lt;&gt;0,1,0)))</f>
        <v>0</v>
      </c>
      <c r="K9" s="153">
        <f>IF($B9&lt;&gt;0,(F9/$B9),(IF(F9&lt;&gt;0,1,0)))</f>
        <v>0</v>
      </c>
      <c r="L9" s="153">
        <f>IF($B9&lt;&gt;0,(G9/$B9),(IF(G9&lt;&gt;0,1,0)))</f>
        <v>0</v>
      </c>
      <c r="M9" s="77"/>
    </row>
    <row r="10" spans="1:56">
      <c r="A10" s="148"/>
      <c r="B10" s="135"/>
      <c r="C10" s="447"/>
      <c r="D10" s="197"/>
      <c r="E10" s="226"/>
      <c r="F10" s="226"/>
      <c r="G10" s="226"/>
      <c r="H10" s="124"/>
      <c r="I10" s="154"/>
      <c r="J10" s="154"/>
      <c r="K10" s="136"/>
      <c r="L10" s="136"/>
      <c r="M10" s="77"/>
    </row>
    <row r="11" spans="1:56">
      <c r="A11" s="77" t="s">
        <v>1</v>
      </c>
      <c r="B11" s="123">
        <f t="shared" ref="B11:B33" si="1">SUM(C11:G11)</f>
        <v>1559689</v>
      </c>
      <c r="C11" s="448">
        <v>0</v>
      </c>
      <c r="D11" s="130">
        <v>1559689</v>
      </c>
      <c r="E11" s="130">
        <v>0</v>
      </c>
      <c r="F11" s="130">
        <v>0</v>
      </c>
      <c r="G11" s="130">
        <v>0</v>
      </c>
      <c r="H11" s="87"/>
      <c r="I11" s="89">
        <f t="shared" ref="I11:I38" si="2">IF(B11&lt;&gt;0,((+C11+D11)/B11*100),(IF(C11&lt;&gt;0,1,0)))</f>
        <v>100</v>
      </c>
      <c r="J11" s="89">
        <f>IF($B11&lt;&gt;0,(E11/$B11*100),(IF(E11&lt;&gt;0,1,0)))</f>
        <v>0</v>
      </c>
      <c r="K11" s="89">
        <f t="shared" ref="K11:L15" si="3">IF($B11&lt;&gt;0,(F11/$B11*100),(IF(F11&lt;&gt;0,1,0)))</f>
        <v>0</v>
      </c>
      <c r="L11" s="89">
        <f t="shared" si="3"/>
        <v>0</v>
      </c>
    </row>
    <row r="12" spans="1:56">
      <c r="A12" s="86" t="s">
        <v>2</v>
      </c>
      <c r="B12" s="87">
        <f t="shared" si="1"/>
        <v>53277339</v>
      </c>
      <c r="C12" s="449">
        <v>53277339</v>
      </c>
      <c r="D12" s="130">
        <v>0</v>
      </c>
      <c r="E12" s="130">
        <v>0</v>
      </c>
      <c r="F12" s="130">
        <v>0</v>
      </c>
      <c r="G12" s="130">
        <v>0</v>
      </c>
      <c r="H12" s="90"/>
      <c r="I12" s="89">
        <f t="shared" si="2"/>
        <v>100</v>
      </c>
      <c r="J12" s="89">
        <f>IF($B12&lt;&gt;0,(E12/$B12*100),(IF(E12&lt;&gt;0,1,0)))</f>
        <v>0</v>
      </c>
      <c r="K12" s="89">
        <f t="shared" si="3"/>
        <v>0</v>
      </c>
      <c r="L12" s="89">
        <f t="shared" si="3"/>
        <v>0</v>
      </c>
    </row>
    <row r="13" spans="1:56">
      <c r="A13" s="86" t="s">
        <v>205</v>
      </c>
      <c r="B13" s="87">
        <f t="shared" si="1"/>
        <v>11303923.92</v>
      </c>
      <c r="C13" s="448">
        <v>11303923.92</v>
      </c>
      <c r="D13" s="130">
        <v>0</v>
      </c>
      <c r="E13" s="130">
        <v>0</v>
      </c>
      <c r="F13" s="130">
        <v>0</v>
      </c>
      <c r="G13" s="130">
        <v>0</v>
      </c>
      <c r="H13" s="90"/>
      <c r="I13" s="89">
        <f t="shared" si="2"/>
        <v>100</v>
      </c>
      <c r="J13" s="89">
        <f>IF($B13&lt;&gt;0,(E13/$B13*100),(IF(E13&lt;&gt;0,1,0)))</f>
        <v>0</v>
      </c>
      <c r="K13" s="89">
        <f t="shared" si="3"/>
        <v>0</v>
      </c>
      <c r="L13" s="89">
        <f t="shared" si="3"/>
        <v>0</v>
      </c>
    </row>
    <row r="14" spans="1:56">
      <c r="A14" s="86" t="s">
        <v>4</v>
      </c>
      <c r="B14" s="87">
        <f t="shared" si="1"/>
        <v>34205624</v>
      </c>
      <c r="C14" s="449">
        <v>34205624</v>
      </c>
      <c r="D14" s="130">
        <v>0</v>
      </c>
      <c r="E14" s="130">
        <v>0</v>
      </c>
      <c r="F14" s="130">
        <v>0</v>
      </c>
      <c r="G14" s="130">
        <v>0</v>
      </c>
      <c r="H14" s="90"/>
      <c r="I14" s="89">
        <f t="shared" si="2"/>
        <v>100</v>
      </c>
      <c r="J14" s="89">
        <f>IF($B14&lt;&gt;0,(E14/$B14*100),(IF(E14&lt;&gt;0,1,0)))</f>
        <v>0</v>
      </c>
      <c r="K14" s="89">
        <f t="shared" si="3"/>
        <v>0</v>
      </c>
      <c r="L14" s="89">
        <f t="shared" si="3"/>
        <v>0</v>
      </c>
    </row>
    <row r="15" spans="1:56">
      <c r="A15" s="86" t="s">
        <v>5</v>
      </c>
      <c r="B15" s="87">
        <f t="shared" si="1"/>
        <v>6543709</v>
      </c>
      <c r="C15" s="449">
        <v>6543709</v>
      </c>
      <c r="D15" s="130">
        <v>0</v>
      </c>
      <c r="E15" s="130">
        <v>0</v>
      </c>
      <c r="F15" s="130">
        <v>0</v>
      </c>
      <c r="G15" s="130">
        <v>0</v>
      </c>
      <c r="H15" s="90"/>
      <c r="I15" s="89">
        <f t="shared" si="2"/>
        <v>100</v>
      </c>
      <c r="J15" s="89">
        <f>IF($B15&lt;&gt;0,(E15/$B15*100),(IF(E15&lt;&gt;0,1,0)))</f>
        <v>0</v>
      </c>
      <c r="K15" s="89">
        <f t="shared" si="3"/>
        <v>0</v>
      </c>
      <c r="L15" s="89">
        <f t="shared" si="3"/>
        <v>0</v>
      </c>
    </row>
    <row r="16" spans="1:56">
      <c r="B16" s="87"/>
      <c r="C16" s="450"/>
      <c r="D16" s="341"/>
      <c r="E16" s="341"/>
      <c r="F16" s="341"/>
      <c r="G16" s="341"/>
      <c r="H16" s="90"/>
      <c r="I16" s="89"/>
      <c r="J16" s="89"/>
      <c r="K16" s="89"/>
      <c r="L16" s="89"/>
    </row>
    <row r="17" spans="1:12">
      <c r="A17" s="86" t="s">
        <v>6</v>
      </c>
      <c r="B17" s="87">
        <f t="shared" si="1"/>
        <v>1797573.29</v>
      </c>
      <c r="C17" s="448">
        <v>0</v>
      </c>
      <c r="D17" s="322">
        <v>1797573.29</v>
      </c>
      <c r="E17" s="130">
        <v>0</v>
      </c>
      <c r="F17" s="130">
        <v>0</v>
      </c>
      <c r="G17" s="130">
        <v>0</v>
      </c>
      <c r="H17" s="90"/>
      <c r="I17" s="89">
        <f t="shared" si="2"/>
        <v>100</v>
      </c>
      <c r="J17" s="89">
        <f>IF($B17&lt;&gt;0,(E17/$B17*100),(IF(E17&lt;&gt;0,1,0)))</f>
        <v>0</v>
      </c>
      <c r="K17" s="89">
        <f t="shared" ref="K17:L21" si="4">IF($B17&lt;&gt;0,(F17/$B17*100),(IF(F17&lt;&gt;0,1,0)))</f>
        <v>0</v>
      </c>
      <c r="L17" s="89">
        <f t="shared" si="4"/>
        <v>0</v>
      </c>
    </row>
    <row r="18" spans="1:12">
      <c r="A18" s="86" t="s">
        <v>7</v>
      </c>
      <c r="B18" s="87">
        <f t="shared" si="1"/>
        <v>13523592</v>
      </c>
      <c r="C18" s="442">
        <v>13523592</v>
      </c>
      <c r="D18" s="130">
        <v>0</v>
      </c>
      <c r="E18" s="130">
        <v>0</v>
      </c>
      <c r="F18" s="130">
        <v>0</v>
      </c>
      <c r="G18" s="130">
        <v>0</v>
      </c>
      <c r="H18" s="90"/>
      <c r="I18" s="89">
        <f t="shared" si="2"/>
        <v>100</v>
      </c>
      <c r="J18" s="89">
        <f>IF($B18&lt;&gt;0,(E18/$B18*100),(IF(E18&lt;&gt;0,1,0)))</f>
        <v>0</v>
      </c>
      <c r="K18" s="89">
        <f t="shared" si="4"/>
        <v>0</v>
      </c>
      <c r="L18" s="89">
        <f t="shared" si="4"/>
        <v>0</v>
      </c>
    </row>
    <row r="19" spans="1:12">
      <c r="A19" s="86" t="s">
        <v>8</v>
      </c>
      <c r="B19" s="87">
        <f t="shared" si="1"/>
        <v>8945089</v>
      </c>
      <c r="C19" s="448">
        <v>0</v>
      </c>
      <c r="D19" s="130">
        <v>8945089</v>
      </c>
      <c r="E19" s="130">
        <v>0</v>
      </c>
      <c r="F19" s="130">
        <v>0</v>
      </c>
      <c r="G19" s="130">
        <v>0</v>
      </c>
      <c r="H19" s="90"/>
      <c r="I19" s="89">
        <f>IF(B19&lt;&gt;0,((+C19+D19)/B19*100),(IF(C19&lt;&gt;0,1,0)))</f>
        <v>100</v>
      </c>
      <c r="J19" s="89">
        <f>IF($B19&lt;&gt;0,(E19/$B19*100),(IF(E19&lt;&gt;0,1,0)))</f>
        <v>0</v>
      </c>
      <c r="K19" s="89">
        <f t="shared" si="4"/>
        <v>0</v>
      </c>
      <c r="L19" s="89">
        <f t="shared" si="4"/>
        <v>0</v>
      </c>
    </row>
    <row r="20" spans="1:12">
      <c r="A20" s="86" t="s">
        <v>9</v>
      </c>
      <c r="B20" s="87">
        <f t="shared" si="1"/>
        <v>15000452</v>
      </c>
      <c r="C20" s="442">
        <v>15000452</v>
      </c>
      <c r="D20" s="130">
        <v>0</v>
      </c>
      <c r="E20" s="130">
        <v>0</v>
      </c>
      <c r="F20" s="130">
        <v>0</v>
      </c>
      <c r="G20" s="130">
        <v>0</v>
      </c>
      <c r="H20" s="90"/>
      <c r="I20" s="89">
        <f t="shared" si="2"/>
        <v>100</v>
      </c>
      <c r="J20" s="89">
        <f>IF($B20&lt;&gt;0,(E20/$B20*100),(IF(E20&lt;&gt;0,1,0)))</f>
        <v>0</v>
      </c>
      <c r="K20" s="89">
        <f t="shared" si="4"/>
        <v>0</v>
      </c>
      <c r="L20" s="89">
        <f t="shared" si="4"/>
        <v>0</v>
      </c>
    </row>
    <row r="21" spans="1:12">
      <c r="A21" s="86" t="s">
        <v>10</v>
      </c>
      <c r="B21" s="87">
        <f t="shared" si="1"/>
        <v>0</v>
      </c>
      <c r="C21" s="442">
        <v>0</v>
      </c>
      <c r="D21" s="130">
        <v>0</v>
      </c>
      <c r="E21" s="130">
        <v>0</v>
      </c>
      <c r="F21" s="130">
        <v>0</v>
      </c>
      <c r="G21" s="130">
        <v>0</v>
      </c>
      <c r="H21" s="90"/>
      <c r="I21" s="89">
        <f t="shared" si="2"/>
        <v>0</v>
      </c>
      <c r="J21" s="89">
        <f>IF($B21&lt;&gt;0,(E21/$B21*100),(IF(E21&lt;&gt;0,1,0)))</f>
        <v>0</v>
      </c>
      <c r="K21" s="89">
        <f t="shared" si="4"/>
        <v>0</v>
      </c>
      <c r="L21" s="89">
        <f t="shared" si="4"/>
        <v>0</v>
      </c>
    </row>
    <row r="22" spans="1:12">
      <c r="B22" s="87"/>
      <c r="C22" s="450"/>
      <c r="D22" s="341"/>
      <c r="E22" s="341"/>
      <c r="F22" s="341"/>
      <c r="G22" s="341"/>
      <c r="H22" s="90"/>
      <c r="I22" s="89"/>
      <c r="J22" s="89"/>
      <c r="K22" s="89"/>
      <c r="L22" s="89"/>
    </row>
    <row r="23" spans="1:12">
      <c r="A23" s="86" t="s">
        <v>11</v>
      </c>
      <c r="B23" s="87">
        <f t="shared" si="1"/>
        <v>66506070</v>
      </c>
      <c r="C23" s="442">
        <v>66506070</v>
      </c>
      <c r="D23" s="130">
        <v>0</v>
      </c>
      <c r="E23" s="130">
        <v>0</v>
      </c>
      <c r="F23" s="130">
        <v>0</v>
      </c>
      <c r="G23" s="130">
        <v>0</v>
      </c>
      <c r="H23" s="90"/>
      <c r="I23" s="89">
        <f t="shared" si="2"/>
        <v>100</v>
      </c>
      <c r="J23" s="89">
        <f>IF($B23&lt;&gt;0,(E23/$B23*100),(IF(E23&lt;&gt;0,1,0)))</f>
        <v>0</v>
      </c>
      <c r="K23" s="89">
        <f t="shared" ref="K23:L27" si="5">IF($B23&lt;&gt;0,(F23/$B23*100),(IF(F23&lt;&gt;0,1,0)))</f>
        <v>0</v>
      </c>
      <c r="L23" s="89">
        <f t="shared" si="5"/>
        <v>0</v>
      </c>
    </row>
    <row r="24" spans="1:12">
      <c r="A24" s="86" t="s">
        <v>12</v>
      </c>
      <c r="B24" s="87">
        <f t="shared" si="1"/>
        <v>0</v>
      </c>
      <c r="C24" s="448">
        <v>0</v>
      </c>
      <c r="D24" s="130">
        <v>0</v>
      </c>
      <c r="E24" s="130">
        <v>0</v>
      </c>
      <c r="F24" s="130">
        <v>0</v>
      </c>
      <c r="G24" s="130">
        <v>0</v>
      </c>
      <c r="H24" s="90"/>
      <c r="I24" s="89">
        <f t="shared" si="2"/>
        <v>0</v>
      </c>
      <c r="J24" s="89">
        <f>IF($B24&lt;&gt;0,(E24/$B24*100),(IF(E24&lt;&gt;0,1,0)))</f>
        <v>0</v>
      </c>
      <c r="K24" s="89">
        <f t="shared" si="5"/>
        <v>0</v>
      </c>
      <c r="L24" s="89">
        <f t="shared" si="5"/>
        <v>0</v>
      </c>
    </row>
    <row r="25" spans="1:12">
      <c r="A25" s="86" t="s">
        <v>13</v>
      </c>
      <c r="B25" s="87">
        <f t="shared" si="1"/>
        <v>30155642.050000001</v>
      </c>
      <c r="C25" s="451">
        <v>30155642.050000001</v>
      </c>
      <c r="D25" s="130">
        <v>0</v>
      </c>
      <c r="E25" s="130">
        <v>0</v>
      </c>
      <c r="F25" s="130">
        <v>0</v>
      </c>
      <c r="G25" s="130">
        <v>0</v>
      </c>
      <c r="H25" s="90"/>
      <c r="I25" s="89">
        <f>IF(B25&lt;&gt;0,((+C25+D25)/B25*100),(IF(C25&lt;&gt;0,1,0)))</f>
        <v>100</v>
      </c>
      <c r="J25" s="89">
        <f>IF($B25&lt;&gt;0,(E25/$B25*100),(IF(E25&lt;&gt;0,1,0)))</f>
        <v>0</v>
      </c>
      <c r="K25" s="89">
        <f t="shared" si="5"/>
        <v>0</v>
      </c>
      <c r="L25" s="89">
        <f t="shared" si="5"/>
        <v>0</v>
      </c>
    </row>
    <row r="26" spans="1:12">
      <c r="A26" s="86" t="s">
        <v>14</v>
      </c>
      <c r="B26" s="87">
        <f t="shared" si="1"/>
        <v>42282821</v>
      </c>
      <c r="C26" s="452">
        <v>42282821</v>
      </c>
      <c r="D26" s="130">
        <v>0</v>
      </c>
      <c r="E26" s="130">
        <v>0</v>
      </c>
      <c r="F26" s="130">
        <v>0</v>
      </c>
      <c r="G26" s="130">
        <v>0</v>
      </c>
      <c r="H26" s="90"/>
      <c r="I26" s="89">
        <f t="shared" si="2"/>
        <v>100</v>
      </c>
      <c r="J26" s="89">
        <f>IF($B26&lt;&gt;0,(E26/$B26*100),(IF(E26&lt;&gt;0,1,0)))</f>
        <v>0</v>
      </c>
      <c r="K26" s="89">
        <f t="shared" si="5"/>
        <v>0</v>
      </c>
      <c r="L26" s="89">
        <f t="shared" si="5"/>
        <v>0</v>
      </c>
    </row>
    <row r="27" spans="1:12">
      <c r="A27" s="86" t="s">
        <v>15</v>
      </c>
      <c r="B27" s="87">
        <f t="shared" si="1"/>
        <v>0</v>
      </c>
      <c r="C27" s="448">
        <v>0</v>
      </c>
      <c r="D27" s="392">
        <v>0</v>
      </c>
      <c r="E27" s="130">
        <v>0</v>
      </c>
      <c r="F27" s="130">
        <v>0</v>
      </c>
      <c r="G27" s="130">
        <v>0</v>
      </c>
      <c r="H27" s="90"/>
      <c r="I27" s="89">
        <f t="shared" si="2"/>
        <v>0</v>
      </c>
      <c r="J27" s="89">
        <f>IF($B27&lt;&gt;0,(E27/$B27*100),(IF(E27&lt;&gt;0,1,0)))</f>
        <v>0</v>
      </c>
      <c r="K27" s="89">
        <f t="shared" si="5"/>
        <v>0</v>
      </c>
      <c r="L27" s="89">
        <f t="shared" si="5"/>
        <v>0</v>
      </c>
    </row>
    <row r="28" spans="1:12">
      <c r="B28" s="87"/>
      <c r="C28" s="450"/>
      <c r="D28" s="341"/>
      <c r="E28" s="341"/>
      <c r="F28" s="341"/>
      <c r="G28" s="341"/>
      <c r="H28" s="90"/>
      <c r="I28" s="89"/>
      <c r="J28" s="89"/>
      <c r="K28" s="89"/>
      <c r="L28" s="89"/>
    </row>
    <row r="29" spans="1:12">
      <c r="A29" s="86" t="s">
        <v>16</v>
      </c>
      <c r="B29" s="87">
        <f t="shared" si="1"/>
        <v>239565237</v>
      </c>
      <c r="C29" s="442">
        <v>236342012</v>
      </c>
      <c r="D29" s="323">
        <v>3223225</v>
      </c>
      <c r="E29" s="130">
        <v>0</v>
      </c>
      <c r="F29" s="130">
        <v>0</v>
      </c>
      <c r="G29" s="130">
        <v>0</v>
      </c>
      <c r="H29" s="90"/>
      <c r="I29" s="89">
        <f t="shared" si="2"/>
        <v>100</v>
      </c>
      <c r="J29" s="89">
        <f>IF($B29&lt;&gt;0,(E29/$B29*100),(IF(E29&lt;&gt;0,1,0)))</f>
        <v>0</v>
      </c>
      <c r="K29" s="89">
        <f t="shared" ref="K29:L33" si="6">IF($B29&lt;&gt;0,(F29/$B29*100),(IF(F29&lt;&gt;0,1,0)))</f>
        <v>0</v>
      </c>
      <c r="L29" s="89">
        <f t="shared" si="6"/>
        <v>0</v>
      </c>
    </row>
    <row r="30" spans="1:12">
      <c r="A30" s="86" t="s">
        <v>17</v>
      </c>
      <c r="B30" s="87">
        <f t="shared" si="1"/>
        <v>159630450</v>
      </c>
      <c r="C30" s="442">
        <v>159630450</v>
      </c>
      <c r="D30" s="130">
        <v>0</v>
      </c>
      <c r="E30" s="130">
        <v>0</v>
      </c>
      <c r="F30" s="130">
        <v>0</v>
      </c>
      <c r="G30" s="130">
        <v>0</v>
      </c>
      <c r="H30" s="90"/>
      <c r="I30" s="89">
        <f t="shared" si="2"/>
        <v>100</v>
      </c>
      <c r="J30" s="89">
        <f>IF($B30&lt;&gt;0,(E30/$B30*100),(IF(E30&lt;&gt;0,1,0)))</f>
        <v>0</v>
      </c>
      <c r="K30" s="89">
        <f t="shared" si="6"/>
        <v>0</v>
      </c>
      <c r="L30" s="89">
        <f t="shared" si="6"/>
        <v>0</v>
      </c>
    </row>
    <row r="31" spans="1:12">
      <c r="A31" s="86" t="s">
        <v>18</v>
      </c>
      <c r="B31" s="87">
        <f t="shared" si="1"/>
        <v>0</v>
      </c>
      <c r="C31" s="455">
        <v>0</v>
      </c>
      <c r="D31" s="130">
        <v>0</v>
      </c>
      <c r="E31" s="130">
        <v>0</v>
      </c>
      <c r="F31" s="130">
        <v>0</v>
      </c>
      <c r="G31" s="130">
        <v>0</v>
      </c>
      <c r="H31" s="90"/>
      <c r="I31" s="89">
        <f>IF(B31&lt;&gt;0,((+C31+D31)/B31*100),(IF(C31&lt;&gt;0,1,0)))</f>
        <v>0</v>
      </c>
      <c r="J31" s="89">
        <f>IF($B31&lt;&gt;0,(E31/$B31*100),(IF(E31&lt;&gt;0,1,0)))</f>
        <v>0</v>
      </c>
      <c r="K31" s="89">
        <f t="shared" si="6"/>
        <v>0</v>
      </c>
      <c r="L31" s="89">
        <f t="shared" si="6"/>
        <v>0</v>
      </c>
    </row>
    <row r="32" spans="1:12">
      <c r="A32" s="86" t="s">
        <v>19</v>
      </c>
      <c r="B32" s="87">
        <f t="shared" si="1"/>
        <v>6367339</v>
      </c>
      <c r="C32" s="442">
        <v>6367339</v>
      </c>
      <c r="D32" s="130">
        <v>0</v>
      </c>
      <c r="E32" s="130">
        <v>0</v>
      </c>
      <c r="F32" s="130">
        <v>0</v>
      </c>
      <c r="G32" s="130">
        <v>0</v>
      </c>
      <c r="H32" s="90"/>
      <c r="I32" s="89">
        <f t="shared" si="2"/>
        <v>100</v>
      </c>
      <c r="J32" s="89">
        <f>IF($B32&lt;&gt;0,(E32/$B32*100),(IF(E32&lt;&gt;0,1,0)))</f>
        <v>0</v>
      </c>
      <c r="K32" s="89">
        <f t="shared" si="6"/>
        <v>0</v>
      </c>
      <c r="L32" s="89">
        <f t="shared" si="6"/>
        <v>0</v>
      </c>
    </row>
    <row r="33" spans="1:12">
      <c r="A33" s="86" t="s">
        <v>20</v>
      </c>
      <c r="B33" s="123">
        <f t="shared" si="1"/>
        <v>0</v>
      </c>
      <c r="C33" s="442">
        <v>0</v>
      </c>
      <c r="D33" s="130">
        <v>0</v>
      </c>
      <c r="E33" s="130">
        <v>0</v>
      </c>
      <c r="F33" s="130">
        <v>0</v>
      </c>
      <c r="G33" s="130">
        <v>0</v>
      </c>
      <c r="H33" s="90"/>
      <c r="I33" s="89">
        <f t="shared" si="2"/>
        <v>0</v>
      </c>
      <c r="J33" s="89">
        <f>IF($B33&lt;&gt;0,(E33/$B33*100),(IF(E33&lt;&gt;0,1,0)))</f>
        <v>0</v>
      </c>
      <c r="K33" s="89">
        <f t="shared" si="6"/>
        <v>0</v>
      </c>
      <c r="L33" s="89">
        <f t="shared" si="6"/>
        <v>0</v>
      </c>
    </row>
    <row r="34" spans="1:12">
      <c r="B34" s="87"/>
      <c r="C34" s="450"/>
      <c r="D34" s="341"/>
      <c r="E34" s="341"/>
      <c r="F34" s="341"/>
      <c r="G34" s="341"/>
      <c r="H34" s="90"/>
      <c r="I34" s="89"/>
      <c r="J34" s="89"/>
      <c r="K34" s="89"/>
      <c r="L34" s="89"/>
    </row>
    <row r="35" spans="1:12">
      <c r="A35" s="86" t="s">
        <v>21</v>
      </c>
      <c r="B35" s="87">
        <f>SUM(C35:G35)</f>
        <v>3336001</v>
      </c>
      <c r="C35" s="442">
        <v>3336001</v>
      </c>
      <c r="D35" s="130">
        <v>0</v>
      </c>
      <c r="E35" s="130">
        <v>0</v>
      </c>
      <c r="F35" s="130">
        <v>0</v>
      </c>
      <c r="G35" s="130">
        <v>0</v>
      </c>
      <c r="H35" s="90"/>
      <c r="I35" s="89">
        <f t="shared" si="2"/>
        <v>100</v>
      </c>
      <c r="J35" s="89">
        <f>IF($B35&lt;&gt;0,(E35/$B35*100),(IF(E35&lt;&gt;0,1,0)))</f>
        <v>0</v>
      </c>
      <c r="K35" s="89">
        <f t="shared" ref="K35:L38" si="7">IF($B35&lt;&gt;0,(F35/$B35*100),(IF(F35&lt;&gt;0,1,0)))</f>
        <v>0</v>
      </c>
      <c r="L35" s="89">
        <f t="shared" si="7"/>
        <v>0</v>
      </c>
    </row>
    <row r="36" spans="1:12">
      <c r="A36" s="86" t="s">
        <v>22</v>
      </c>
      <c r="B36" s="87">
        <f>SUM(C36:G36)</f>
        <v>6178605</v>
      </c>
      <c r="C36" s="442">
        <v>6178605</v>
      </c>
      <c r="D36" s="130">
        <v>0</v>
      </c>
      <c r="E36" s="130">
        <v>0</v>
      </c>
      <c r="F36" s="130">
        <v>0</v>
      </c>
      <c r="G36" s="130">
        <v>0</v>
      </c>
      <c r="H36" s="90"/>
      <c r="I36" s="89">
        <f t="shared" si="2"/>
        <v>100</v>
      </c>
      <c r="J36" s="89">
        <f>IF($B36&lt;&gt;0,(E36/$B36*100),(IF(E36&lt;&gt;0,1,0)))</f>
        <v>0</v>
      </c>
      <c r="K36" s="89">
        <f t="shared" si="7"/>
        <v>0</v>
      </c>
      <c r="L36" s="89">
        <f t="shared" si="7"/>
        <v>0</v>
      </c>
    </row>
    <row r="37" spans="1:12">
      <c r="A37" s="86" t="s">
        <v>23</v>
      </c>
      <c r="B37" s="90">
        <f>SUM(C37:G37)</f>
        <v>10822519</v>
      </c>
      <c r="C37" s="442">
        <v>10822519</v>
      </c>
      <c r="D37" s="130">
        <v>0</v>
      </c>
      <c r="E37" s="130">
        <v>0</v>
      </c>
      <c r="F37" s="130">
        <v>0</v>
      </c>
      <c r="G37" s="130">
        <v>0</v>
      </c>
      <c r="H37" s="90"/>
      <c r="I37" s="89">
        <f t="shared" si="2"/>
        <v>100</v>
      </c>
      <c r="J37" s="89">
        <f>IF($B37&lt;&gt;0,(E37/$B37*100),(IF(E37&lt;&gt;0,1,0)))</f>
        <v>0</v>
      </c>
      <c r="K37" s="89">
        <f t="shared" si="7"/>
        <v>0</v>
      </c>
      <c r="L37" s="89">
        <f t="shared" si="7"/>
        <v>0</v>
      </c>
    </row>
    <row r="38" spans="1:12">
      <c r="A38" s="92" t="s">
        <v>24</v>
      </c>
      <c r="B38" s="93">
        <f>SUM(C38:G38)</f>
        <v>0</v>
      </c>
      <c r="C38" s="453">
        <v>0</v>
      </c>
      <c r="D38" s="131">
        <v>0</v>
      </c>
      <c r="E38" s="131">
        <v>0</v>
      </c>
      <c r="F38" s="131">
        <v>0</v>
      </c>
      <c r="G38" s="131">
        <v>0</v>
      </c>
      <c r="H38" s="93"/>
      <c r="I38" s="95">
        <f t="shared" si="2"/>
        <v>0</v>
      </c>
      <c r="J38" s="95">
        <f>IF($B38&lt;&gt;0,(E38/$B38*100),(IF(E38&lt;&gt;0,1,0)))</f>
        <v>0</v>
      </c>
      <c r="K38" s="95">
        <f t="shared" si="7"/>
        <v>0</v>
      </c>
      <c r="L38" s="95">
        <f t="shared" si="7"/>
        <v>0</v>
      </c>
    </row>
    <row r="39" spans="1:12">
      <c r="D39" s="90"/>
      <c r="I39" s="140"/>
      <c r="J39" s="85"/>
      <c r="K39" s="85"/>
      <c r="L39" s="85"/>
    </row>
    <row r="40" spans="1:12">
      <c r="A40" s="86" t="s">
        <v>207</v>
      </c>
      <c r="D40" s="90"/>
      <c r="E40" s="130"/>
    </row>
    <row r="41" spans="1:12">
      <c r="A41" s="86" t="s">
        <v>208</v>
      </c>
      <c r="D41" s="90"/>
    </row>
    <row r="42" spans="1:12">
      <c r="A42" s="137" t="s">
        <v>288</v>
      </c>
      <c r="D42" s="90"/>
    </row>
    <row r="43" spans="1:12">
      <c r="D43" s="90"/>
    </row>
  </sheetData>
  <sheetProtection password="CAF5" sheet="1" objects="1" scenarios="1"/>
  <mergeCells count="6">
    <mergeCell ref="C7:D7"/>
    <mergeCell ref="A1:K1"/>
    <mergeCell ref="A3:K3"/>
    <mergeCell ref="A4:K4"/>
    <mergeCell ref="C6:F6"/>
    <mergeCell ref="I6:L6"/>
  </mergeCells>
  <phoneticPr fontId="0" type="noConversion"/>
  <printOptions horizontalCentered="1"/>
  <pageMargins left="0.59" right="0.59" top="0.83" bottom="1" header="0.67" footer="0.5"/>
  <pageSetup scale="90" orientation="landscape" r:id="rId1"/>
  <headerFooter alignWithMargins="0">
    <oddFooter>&amp;L&amp;"Arial,Italic"&amp;9MSDE - LFRO  12 / 2014&amp;C- 5 -&amp;R&amp;"Arial,Italic"&amp;9Selected Financial Data-Part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zoomScaleNormal="100" workbookViewId="0">
      <selection sqref="A1:P1"/>
    </sheetView>
  </sheetViews>
  <sheetFormatPr defaultRowHeight="12.75"/>
  <cols>
    <col min="1" max="1" width="14.140625" style="55" customWidth="1"/>
    <col min="2" max="2" width="14.42578125" style="55" customWidth="1"/>
    <col min="3" max="3" width="13.42578125" style="55" bestFit="1" customWidth="1"/>
    <col min="4" max="4" width="12.28515625" style="55" customWidth="1"/>
    <col min="5" max="5" width="14.42578125" style="55" customWidth="1"/>
    <col min="6" max="6" width="12.28515625" style="55" bestFit="1" customWidth="1"/>
    <col min="7" max="7" width="15.7109375" style="55" customWidth="1"/>
    <col min="8" max="8" width="13.28515625" style="55" customWidth="1"/>
    <col min="9" max="9" width="12.42578125" style="55" customWidth="1"/>
    <col min="10" max="10" width="0.85546875" style="55" customWidth="1"/>
    <col min="11" max="11" width="12.7109375" style="177" customWidth="1"/>
    <col min="12" max="12" width="1.140625" style="55" customWidth="1"/>
    <col min="13" max="13" width="8.85546875" style="55" customWidth="1"/>
    <col min="14" max="14" width="7.85546875" style="55" customWidth="1"/>
    <col min="15" max="15" width="8.7109375" style="55" customWidth="1"/>
    <col min="16" max="16" width="8.42578125" style="55" customWidth="1"/>
    <col min="18" max="18" width="11.28515625" bestFit="1" customWidth="1"/>
  </cols>
  <sheetData>
    <row r="1" spans="1:42">
      <c r="A1" s="467" t="s">
        <v>89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</row>
    <row r="2" spans="1:42">
      <c r="A2" s="81"/>
      <c r="B2" s="81"/>
      <c r="C2" s="81"/>
      <c r="D2" s="81"/>
      <c r="E2" s="81"/>
      <c r="F2" s="81"/>
      <c r="G2" s="81"/>
      <c r="H2" s="81"/>
      <c r="I2" s="81"/>
      <c r="J2" s="81"/>
      <c r="K2" s="155"/>
      <c r="L2" s="81"/>
      <c r="M2" s="81"/>
      <c r="N2" s="81"/>
      <c r="O2" s="81"/>
      <c r="P2" s="81"/>
    </row>
    <row r="3" spans="1:42">
      <c r="A3" s="466" t="s">
        <v>265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</row>
    <row r="4" spans="1:42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</row>
    <row r="5" spans="1:42" ht="13.5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155"/>
      <c r="L5" s="81"/>
      <c r="M5" s="156"/>
      <c r="N5" s="156"/>
      <c r="O5" s="156"/>
      <c r="P5" s="156"/>
    </row>
    <row r="6" spans="1:42" ht="15" customHeight="1" thickTop="1">
      <c r="A6" s="157"/>
      <c r="B6" s="158"/>
      <c r="C6" s="482" t="s">
        <v>80</v>
      </c>
      <c r="D6" s="482"/>
      <c r="E6" s="482"/>
      <c r="F6" s="482"/>
      <c r="G6" s="482"/>
      <c r="H6" s="482"/>
      <c r="I6" s="482"/>
      <c r="J6" s="482"/>
      <c r="K6" s="159"/>
      <c r="L6" s="157"/>
      <c r="M6" s="480"/>
      <c r="N6" s="480"/>
      <c r="O6" s="480"/>
      <c r="P6" s="48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>
      <c r="A7" s="64" t="s">
        <v>77</v>
      </c>
      <c r="B7" s="160" t="s">
        <v>43</v>
      </c>
      <c r="C7" s="478" t="s">
        <v>77</v>
      </c>
      <c r="D7" s="478"/>
      <c r="E7" s="478"/>
      <c r="F7" s="478"/>
      <c r="G7" s="160"/>
      <c r="H7" s="478" t="s">
        <v>51</v>
      </c>
      <c r="I7" s="478"/>
      <c r="J7" s="160"/>
      <c r="K7" s="161"/>
      <c r="L7" s="160"/>
      <c r="M7" s="481" t="s">
        <v>82</v>
      </c>
      <c r="N7" s="481"/>
      <c r="O7" s="481"/>
      <c r="P7" s="481"/>
    </row>
    <row r="8" spans="1:42">
      <c r="A8" s="64" t="s">
        <v>33</v>
      </c>
      <c r="B8" s="160" t="s">
        <v>83</v>
      </c>
      <c r="C8" s="160" t="s">
        <v>90</v>
      </c>
      <c r="D8" s="160" t="s">
        <v>36</v>
      </c>
      <c r="E8" s="476" t="s">
        <v>182</v>
      </c>
      <c r="F8" s="160"/>
      <c r="G8" s="160"/>
      <c r="H8" s="160" t="s">
        <v>112</v>
      </c>
      <c r="I8" s="160" t="s">
        <v>143</v>
      </c>
      <c r="J8" s="160"/>
      <c r="K8" s="160" t="s">
        <v>79</v>
      </c>
      <c r="L8" s="160"/>
      <c r="M8" s="162"/>
      <c r="N8" s="162"/>
      <c r="O8" s="162"/>
      <c r="P8" s="162" t="s">
        <v>79</v>
      </c>
    </row>
    <row r="9" spans="1:42" ht="13.5" thickBot="1">
      <c r="A9" s="163" t="s">
        <v>132</v>
      </c>
      <c r="B9" s="69" t="s">
        <v>84</v>
      </c>
      <c r="C9" s="71" t="s">
        <v>91</v>
      </c>
      <c r="D9" s="71" t="s">
        <v>92</v>
      </c>
      <c r="E9" s="477"/>
      <c r="F9" s="71" t="s">
        <v>113</v>
      </c>
      <c r="G9" s="69" t="s">
        <v>44</v>
      </c>
      <c r="H9" s="69" t="s">
        <v>91</v>
      </c>
      <c r="I9" s="69" t="s">
        <v>73</v>
      </c>
      <c r="J9" s="69"/>
      <c r="K9" s="71" t="s">
        <v>202</v>
      </c>
      <c r="L9" s="71"/>
      <c r="M9" s="164" t="s">
        <v>77</v>
      </c>
      <c r="N9" s="164" t="s">
        <v>44</v>
      </c>
      <c r="O9" s="164" t="s">
        <v>51</v>
      </c>
      <c r="P9" s="164" t="s">
        <v>81</v>
      </c>
    </row>
    <row r="10" spans="1:42">
      <c r="A10" s="64" t="s">
        <v>0</v>
      </c>
      <c r="B10" s="141">
        <f t="shared" ref="B10:I10" si="0">SUM(B12:B39)</f>
        <v>352242777.35000002</v>
      </c>
      <c r="C10" s="141">
        <f t="shared" si="0"/>
        <v>103242972.84</v>
      </c>
      <c r="D10" s="141">
        <f t="shared" si="0"/>
        <v>9067806.3499999996</v>
      </c>
      <c r="E10" s="141">
        <f t="shared" si="0"/>
        <v>62090.27</v>
      </c>
      <c r="F10" s="141">
        <f t="shared" si="0"/>
        <v>24131313.650000002</v>
      </c>
      <c r="G10" s="165">
        <f t="shared" si="0"/>
        <v>7244615.5699999994</v>
      </c>
      <c r="H10" s="141">
        <f t="shared" si="0"/>
        <v>191574057.64000002</v>
      </c>
      <c r="I10" s="141">
        <f t="shared" si="0"/>
        <v>13169750.220000001</v>
      </c>
      <c r="J10" s="141"/>
      <c r="K10" s="166">
        <f>SUM(K12:K39)</f>
        <v>3750170.81</v>
      </c>
      <c r="L10" s="141"/>
      <c r="M10" s="167">
        <f>SUM(C10:F10)/B10</f>
        <v>0.38752869295703096</v>
      </c>
      <c r="N10" s="167">
        <f>+G10/B10</f>
        <v>2.0567108925562187E-2</v>
      </c>
      <c r="O10" s="167">
        <f>(+H10+I10)/B10</f>
        <v>0.58125764678649416</v>
      </c>
      <c r="P10" s="167">
        <f>+K10/B10</f>
        <v>1.0646551330912619E-2</v>
      </c>
      <c r="R10" s="59"/>
    </row>
    <row r="11" spans="1:42">
      <c r="A11" s="64"/>
      <c r="B11" s="143"/>
      <c r="C11" s="70"/>
      <c r="D11" s="70"/>
      <c r="E11" s="70"/>
      <c r="F11" s="70"/>
      <c r="G11" s="73"/>
      <c r="H11" s="143"/>
      <c r="I11" s="74"/>
      <c r="J11" s="74"/>
      <c r="K11" s="168"/>
      <c r="L11" s="70"/>
      <c r="M11" s="169"/>
      <c r="N11" s="169"/>
      <c r="O11" s="169"/>
      <c r="P11" s="169"/>
      <c r="R11" s="45"/>
    </row>
    <row r="12" spans="1:42">
      <c r="A12" s="81" t="s">
        <v>1</v>
      </c>
      <c r="B12" s="138">
        <f>SUM(C12:K12)</f>
        <v>5573188.6899999995</v>
      </c>
      <c r="C12" s="322">
        <v>1063678.68</v>
      </c>
      <c r="D12" s="322">
        <v>424949.6</v>
      </c>
      <c r="E12" s="322">
        <v>0</v>
      </c>
      <c r="F12" s="322">
        <v>0</v>
      </c>
      <c r="G12" s="129">
        <v>211115.08</v>
      </c>
      <c r="H12" s="322">
        <f>'fed3'!F12+'fed3'!G12</f>
        <v>2767084.92</v>
      </c>
      <c r="I12" s="322">
        <v>351515.91</v>
      </c>
      <c r="J12" s="328"/>
      <c r="K12" s="329">
        <v>754844.5</v>
      </c>
      <c r="L12" s="170"/>
      <c r="M12" s="169">
        <f>SUM(C12:F12)/B12*100</f>
        <v>26.710530771568042</v>
      </c>
      <c r="N12" s="169">
        <f>+G12/B12*100</f>
        <v>3.788048310275316</v>
      </c>
      <c r="O12" s="169">
        <f>(+H12+I12)/B12*100</f>
        <v>55.957208762655405</v>
      </c>
      <c r="P12" s="169">
        <f>+K12/B12*100</f>
        <v>13.544212155501237</v>
      </c>
      <c r="Q12" s="42"/>
      <c r="R12" s="58"/>
    </row>
    <row r="13" spans="1:42">
      <c r="A13" s="81" t="s">
        <v>2</v>
      </c>
      <c r="B13" s="138">
        <f t="shared" ref="B13:B39" si="1">SUM(C13:K13)</f>
        <v>24532158</v>
      </c>
      <c r="C13" s="322">
        <v>11725964</v>
      </c>
      <c r="D13" s="322">
        <v>97171</v>
      </c>
      <c r="E13" s="322">
        <v>5687</v>
      </c>
      <c r="F13" s="322">
        <v>255088</v>
      </c>
      <c r="G13" s="129">
        <v>470713</v>
      </c>
      <c r="H13" s="322">
        <f>'fed3'!F13+'fed3'!G13</f>
        <v>11164662</v>
      </c>
      <c r="I13" s="322">
        <v>812873</v>
      </c>
      <c r="J13" s="328"/>
      <c r="K13" s="364">
        <v>0</v>
      </c>
      <c r="L13" s="171"/>
      <c r="M13" s="169">
        <f t="shared" ref="M13:M39" si="2">SUM(C13:F13)/B13*100</f>
        <v>49.25742774035615</v>
      </c>
      <c r="N13" s="169">
        <f t="shared" ref="N13:N39" si="3">+G13/B13*100</f>
        <v>1.9187590427226175</v>
      </c>
      <c r="O13" s="169">
        <f t="shared" ref="O13:O39" si="4">(+H13+I13)/B13*100</f>
        <v>48.823813216921238</v>
      </c>
      <c r="P13" s="169">
        <f t="shared" ref="P13:P39" si="5">+K13/B13*100</f>
        <v>0</v>
      </c>
      <c r="R13" s="58"/>
    </row>
    <row r="14" spans="1:42">
      <c r="A14" s="81" t="s">
        <v>3</v>
      </c>
      <c r="B14" s="138">
        <f t="shared" si="1"/>
        <v>38023235.479999997</v>
      </c>
      <c r="C14" s="322">
        <v>0</v>
      </c>
      <c r="D14" s="322">
        <v>1605412.33</v>
      </c>
      <c r="E14" s="322">
        <v>0</v>
      </c>
      <c r="F14" s="375">
        <v>0</v>
      </c>
      <c r="G14" s="129">
        <v>789281.25</v>
      </c>
      <c r="H14" s="322">
        <f>'fed3'!F14+'fed3'!G14</f>
        <v>34816384.649999999</v>
      </c>
      <c r="I14" s="322">
        <v>0</v>
      </c>
      <c r="J14" s="344"/>
      <c r="K14" s="364">
        <v>812157.25</v>
      </c>
      <c r="L14" s="171"/>
      <c r="M14" s="169">
        <f t="shared" si="2"/>
        <v>4.2221875906495061</v>
      </c>
      <c r="N14" s="169">
        <f t="shared" si="3"/>
        <v>2.0757866605411772</v>
      </c>
      <c r="O14" s="169">
        <f t="shared" si="4"/>
        <v>91.566075875666115</v>
      </c>
      <c r="P14" s="169">
        <f t="shared" si="5"/>
        <v>2.1359498731431996</v>
      </c>
      <c r="R14" s="58"/>
    </row>
    <row r="15" spans="1:42">
      <c r="A15" s="81" t="s">
        <v>4</v>
      </c>
      <c r="B15" s="138">
        <f t="shared" si="1"/>
        <v>40321638</v>
      </c>
      <c r="C15" s="322">
        <v>12663182</v>
      </c>
      <c r="D15" s="322">
        <v>1210603</v>
      </c>
      <c r="E15" s="322">
        <v>8598</v>
      </c>
      <c r="F15" s="322">
        <v>32876</v>
      </c>
      <c r="G15" s="129">
        <v>775524</v>
      </c>
      <c r="H15" s="322">
        <f>'fed3'!F15+'fed3'!G15</f>
        <v>23587287</v>
      </c>
      <c r="I15" s="322">
        <v>2043568</v>
      </c>
      <c r="J15" s="344"/>
      <c r="K15" s="329">
        <v>0</v>
      </c>
      <c r="L15" s="171"/>
      <c r="M15" s="169">
        <f t="shared" si="2"/>
        <v>34.51064909615031</v>
      </c>
      <c r="N15" s="169">
        <f t="shared" si="3"/>
        <v>1.92334448317799</v>
      </c>
      <c r="O15" s="169">
        <f t="shared" si="4"/>
        <v>63.566006420671698</v>
      </c>
      <c r="P15" s="169">
        <f t="shared" si="5"/>
        <v>0</v>
      </c>
      <c r="R15" s="58"/>
    </row>
    <row r="16" spans="1:42">
      <c r="A16" s="81" t="s">
        <v>5</v>
      </c>
      <c r="B16" s="456">
        <f t="shared" si="1"/>
        <v>5494225</v>
      </c>
      <c r="C16" s="322">
        <v>1147362</v>
      </c>
      <c r="D16" s="322">
        <v>0</v>
      </c>
      <c r="E16" s="322">
        <v>1344</v>
      </c>
      <c r="F16" s="375">
        <v>2557506</v>
      </c>
      <c r="G16" s="129">
        <v>35822</v>
      </c>
      <c r="H16" s="322">
        <f>'fed3'!F16+'fed3'!G16</f>
        <v>1543889</v>
      </c>
      <c r="I16" s="322">
        <v>208302</v>
      </c>
      <c r="J16" s="328"/>
      <c r="K16" s="329">
        <v>0</v>
      </c>
      <c r="L16" s="171"/>
      <c r="M16" s="169">
        <f t="shared" si="2"/>
        <v>67.456502054429876</v>
      </c>
      <c r="N16" s="169">
        <f t="shared" si="3"/>
        <v>0.65199368427758231</v>
      </c>
      <c r="O16" s="169">
        <f t="shared" si="4"/>
        <v>31.891504261292543</v>
      </c>
      <c r="P16" s="169">
        <f t="shared" si="5"/>
        <v>0</v>
      </c>
      <c r="R16" s="58"/>
    </row>
    <row r="17" spans="1:18">
      <c r="A17" s="81"/>
      <c r="B17" s="138"/>
      <c r="C17" s="336"/>
      <c r="D17" s="336"/>
      <c r="E17" s="336"/>
      <c r="F17" s="343"/>
      <c r="G17" s="339"/>
      <c r="H17" s="322"/>
      <c r="I17" s="336"/>
      <c r="J17" s="344"/>
      <c r="K17" s="345"/>
      <c r="L17" s="171"/>
      <c r="M17" s="169"/>
      <c r="N17" s="169"/>
      <c r="O17" s="169"/>
      <c r="P17" s="169"/>
      <c r="R17" s="40"/>
    </row>
    <row r="18" spans="1:18">
      <c r="A18" s="81" t="s">
        <v>6</v>
      </c>
      <c r="B18" s="138">
        <f t="shared" si="1"/>
        <v>2604188.7000000002</v>
      </c>
      <c r="C18" s="322">
        <v>752530.23</v>
      </c>
      <c r="D18" s="322">
        <v>0</v>
      </c>
      <c r="E18" s="322">
        <v>205.06</v>
      </c>
      <c r="F18" s="375">
        <v>32470.02</v>
      </c>
      <c r="G18" s="129">
        <v>95174.76</v>
      </c>
      <c r="H18" s="322">
        <f>'fed3'!F18+'fed3'!G18</f>
        <v>1723808.63</v>
      </c>
      <c r="I18" s="322">
        <v>0</v>
      </c>
      <c r="J18" s="328"/>
      <c r="K18" s="329">
        <v>0</v>
      </c>
      <c r="L18" s="171"/>
      <c r="M18" s="169">
        <f t="shared" si="2"/>
        <v>30.151628797099072</v>
      </c>
      <c r="N18" s="169">
        <f t="shared" si="3"/>
        <v>3.6546798624846186</v>
      </c>
      <c r="O18" s="169">
        <f t="shared" si="4"/>
        <v>66.193691340416294</v>
      </c>
      <c r="P18" s="169">
        <f t="shared" si="5"/>
        <v>0</v>
      </c>
      <c r="R18" s="58"/>
    </row>
    <row r="19" spans="1:18">
      <c r="A19" s="81" t="s">
        <v>7</v>
      </c>
      <c r="B19" s="138">
        <f t="shared" si="1"/>
        <v>7041660.4100000001</v>
      </c>
      <c r="C19" s="322">
        <v>3136914.92</v>
      </c>
      <c r="D19" s="322">
        <v>115583.7</v>
      </c>
      <c r="E19" s="322">
        <v>0</v>
      </c>
      <c r="F19" s="388">
        <v>45179.16</v>
      </c>
      <c r="G19" s="129">
        <v>78703.820000000007</v>
      </c>
      <c r="H19" s="322">
        <f>'fed3'!F19+'fed3'!G19</f>
        <v>2268730.48</v>
      </c>
      <c r="I19" s="322">
        <v>333607.23</v>
      </c>
      <c r="J19" s="328"/>
      <c r="K19" s="329">
        <v>1062941.1000000001</v>
      </c>
      <c r="L19" s="171"/>
      <c r="M19" s="169">
        <f t="shared" si="2"/>
        <v>46.83096866353997</v>
      </c>
      <c r="N19" s="169">
        <f t="shared" si="3"/>
        <v>1.1176883777046556</v>
      </c>
      <c r="O19" s="169">
        <f t="shared" si="4"/>
        <v>36.956308008042669</v>
      </c>
      <c r="P19" s="169">
        <f t="shared" si="5"/>
        <v>15.095034950712712</v>
      </c>
      <c r="R19" s="58"/>
    </row>
    <row r="20" spans="1:18">
      <c r="A20" s="81" t="s">
        <v>8</v>
      </c>
      <c r="B20" s="138">
        <f t="shared" si="1"/>
        <v>6243823.6900000013</v>
      </c>
      <c r="C20" s="322">
        <v>2191891.84</v>
      </c>
      <c r="D20" s="322">
        <v>6891.1</v>
      </c>
      <c r="E20" s="322">
        <v>2701.64</v>
      </c>
      <c r="F20" s="375">
        <v>77172.639999999999</v>
      </c>
      <c r="G20" s="129">
        <v>282935.7</v>
      </c>
      <c r="H20" s="322">
        <f>'fed3'!F20+'fed3'!G20</f>
        <v>3403074.87</v>
      </c>
      <c r="I20" s="322">
        <v>279155.90000000002</v>
      </c>
      <c r="J20" s="328"/>
      <c r="K20" s="329">
        <v>0</v>
      </c>
      <c r="L20" s="171"/>
      <c r="M20" s="169">
        <f t="shared" si="2"/>
        <v>36.494579814120279</v>
      </c>
      <c r="N20" s="169">
        <f t="shared" si="3"/>
        <v>4.5314492216227196</v>
      </c>
      <c r="O20" s="169">
        <f t="shared" si="4"/>
        <v>58.973970964256985</v>
      </c>
      <c r="P20" s="169">
        <f t="shared" si="5"/>
        <v>0</v>
      </c>
      <c r="R20" s="58"/>
    </row>
    <row r="21" spans="1:18">
      <c r="A21" s="81" t="s">
        <v>9</v>
      </c>
      <c r="B21" s="138">
        <f t="shared" si="1"/>
        <v>10664264.99</v>
      </c>
      <c r="C21" s="322">
        <v>5141113.18</v>
      </c>
      <c r="D21" s="322">
        <v>303393.75</v>
      </c>
      <c r="E21" s="322">
        <v>2027.17</v>
      </c>
      <c r="F21" s="375">
        <v>76641.990000000005</v>
      </c>
      <c r="G21" s="129">
        <v>222739.82</v>
      </c>
      <c r="H21" s="322">
        <f>'fed3'!F21+'fed3'!G21</f>
        <v>4858704.01</v>
      </c>
      <c r="I21" s="322">
        <v>59645.07</v>
      </c>
      <c r="J21" s="328"/>
      <c r="K21" s="389">
        <v>0</v>
      </c>
      <c r="L21" s="171"/>
      <c r="M21" s="169">
        <f t="shared" si="2"/>
        <v>51.791437058054569</v>
      </c>
      <c r="N21" s="169">
        <f t="shared" si="3"/>
        <v>2.0886560884305259</v>
      </c>
      <c r="O21" s="169">
        <f t="shared" si="4"/>
        <v>46.119906853514898</v>
      </c>
      <c r="P21" s="169">
        <f t="shared" si="5"/>
        <v>0</v>
      </c>
      <c r="R21" s="58"/>
    </row>
    <row r="22" spans="1:18">
      <c r="A22" s="81" t="s">
        <v>10</v>
      </c>
      <c r="B22" s="138">
        <f t="shared" si="1"/>
        <v>2445778</v>
      </c>
      <c r="C22" s="322">
        <v>531802</v>
      </c>
      <c r="D22" s="322">
        <v>10788</v>
      </c>
      <c r="E22" s="322">
        <v>281</v>
      </c>
      <c r="F22" s="375">
        <v>0</v>
      </c>
      <c r="G22" s="129">
        <v>95874</v>
      </c>
      <c r="H22" s="322">
        <f>'fed3'!F22+'fed3'!G22</f>
        <v>1689836</v>
      </c>
      <c r="I22" s="322">
        <v>117197</v>
      </c>
      <c r="J22" s="328"/>
      <c r="K22" s="390">
        <v>0</v>
      </c>
      <c r="L22" s="171"/>
      <c r="M22" s="169">
        <f t="shared" si="2"/>
        <v>22.19625002759858</v>
      </c>
      <c r="N22" s="169">
        <f t="shared" si="3"/>
        <v>3.9199796547356303</v>
      </c>
      <c r="O22" s="169">
        <f t="shared" si="4"/>
        <v>73.883770317665793</v>
      </c>
      <c r="P22" s="169">
        <f t="shared" si="5"/>
        <v>0</v>
      </c>
      <c r="R22" s="58"/>
    </row>
    <row r="23" spans="1:18">
      <c r="A23" s="81"/>
      <c r="B23" s="138"/>
      <c r="C23" s="336"/>
      <c r="D23" s="336"/>
      <c r="E23" s="336"/>
      <c r="F23" s="343"/>
      <c r="G23" s="339"/>
      <c r="H23" s="322"/>
      <c r="I23" s="336"/>
      <c r="J23" s="344"/>
      <c r="K23" s="342"/>
      <c r="L23" s="171"/>
      <c r="M23" s="169"/>
      <c r="N23" s="169"/>
      <c r="O23" s="169"/>
      <c r="P23" s="169"/>
      <c r="R23" s="40"/>
    </row>
    <row r="24" spans="1:18">
      <c r="A24" s="81" t="s">
        <v>11</v>
      </c>
      <c r="B24" s="138">
        <f t="shared" si="1"/>
        <v>11245937.199999999</v>
      </c>
      <c r="C24" s="322">
        <v>5813646.6299999999</v>
      </c>
      <c r="D24" s="391">
        <v>0</v>
      </c>
      <c r="E24" s="322">
        <v>4.71</v>
      </c>
      <c r="F24" s="375">
        <v>120429.27</v>
      </c>
      <c r="G24" s="129">
        <v>277135.53999999998</v>
      </c>
      <c r="H24" s="322">
        <f>'fed3'!F24+'fed3'!G24</f>
        <v>4505701.84</v>
      </c>
      <c r="I24" s="322">
        <v>529019.21</v>
      </c>
      <c r="J24" s="328"/>
      <c r="K24" s="390">
        <v>0</v>
      </c>
      <c r="L24" s="171"/>
      <c r="M24" s="169">
        <f t="shared" si="2"/>
        <v>52.766439154577526</v>
      </c>
      <c r="N24" s="169">
        <f t="shared" si="3"/>
        <v>2.4643169801801847</v>
      </c>
      <c r="O24" s="169">
        <f t="shared" si="4"/>
        <v>44.769243865242288</v>
      </c>
      <c r="P24" s="169">
        <f t="shared" si="5"/>
        <v>0</v>
      </c>
      <c r="R24" s="58"/>
    </row>
    <row r="25" spans="1:18">
      <c r="A25" s="81" t="s">
        <v>12</v>
      </c>
      <c r="B25" s="138">
        <f t="shared" si="1"/>
        <v>2711634</v>
      </c>
      <c r="C25" s="322">
        <v>403120</v>
      </c>
      <c r="D25" s="322">
        <v>616401</v>
      </c>
      <c r="E25" s="322">
        <v>268</v>
      </c>
      <c r="F25" s="375">
        <v>1058</v>
      </c>
      <c r="G25" s="129">
        <v>112523</v>
      </c>
      <c r="H25" s="322">
        <f>'fed3'!F25+'fed3'!G25</f>
        <v>1190769</v>
      </c>
      <c r="I25" s="322">
        <v>103431</v>
      </c>
      <c r="J25" s="328"/>
      <c r="K25" s="329">
        <v>284064</v>
      </c>
      <c r="L25" s="171"/>
      <c r="M25" s="169">
        <f t="shared" si="2"/>
        <v>37.646931702434763</v>
      </c>
      <c r="N25" s="169">
        <f t="shared" si="3"/>
        <v>4.1496381886346017</v>
      </c>
      <c r="O25" s="169">
        <f t="shared" si="4"/>
        <v>47.727680063017353</v>
      </c>
      <c r="P25" s="169">
        <f t="shared" si="5"/>
        <v>10.475750045913276</v>
      </c>
      <c r="R25" s="58"/>
    </row>
    <row r="26" spans="1:18">
      <c r="A26" s="81" t="s">
        <v>13</v>
      </c>
      <c r="B26" s="138">
        <f t="shared" si="1"/>
        <v>15488602</v>
      </c>
      <c r="C26" s="322">
        <v>7858551</v>
      </c>
      <c r="D26" s="322">
        <v>0</v>
      </c>
      <c r="E26" s="322">
        <v>0</v>
      </c>
      <c r="F26" s="375">
        <v>158884</v>
      </c>
      <c r="G26" s="129">
        <v>331667</v>
      </c>
      <c r="H26" s="322">
        <f>'fed3'!F26+'fed3'!G26</f>
        <v>6291882</v>
      </c>
      <c r="I26" s="322">
        <v>847618</v>
      </c>
      <c r="J26" s="328"/>
      <c r="K26" s="329">
        <v>0</v>
      </c>
      <c r="L26" s="171"/>
      <c r="M26" s="169">
        <f t="shared" si="2"/>
        <v>51.763451601377582</v>
      </c>
      <c r="N26" s="169">
        <f t="shared" si="3"/>
        <v>2.141361757504002</v>
      </c>
      <c r="O26" s="169">
        <f t="shared" si="4"/>
        <v>46.095186641118417</v>
      </c>
      <c r="P26" s="169">
        <f t="shared" si="5"/>
        <v>0</v>
      </c>
      <c r="R26" s="58"/>
    </row>
    <row r="27" spans="1:18">
      <c r="A27" s="81" t="s">
        <v>14</v>
      </c>
      <c r="B27" s="138">
        <f t="shared" si="1"/>
        <v>12122033</v>
      </c>
      <c r="C27" s="322">
        <v>6813114</v>
      </c>
      <c r="D27" s="322">
        <v>0</v>
      </c>
      <c r="E27" s="322">
        <v>2687</v>
      </c>
      <c r="F27" s="375">
        <v>0</v>
      </c>
      <c r="G27" s="129">
        <v>144237</v>
      </c>
      <c r="H27" s="322">
        <f>'fed3'!F27+'fed3'!G27</f>
        <v>4492837</v>
      </c>
      <c r="I27" s="322">
        <v>669158</v>
      </c>
      <c r="J27" s="328"/>
      <c r="K27" s="329">
        <v>0</v>
      </c>
      <c r="L27" s="171"/>
      <c r="M27" s="169">
        <f t="shared" si="2"/>
        <v>56.226550447437319</v>
      </c>
      <c r="N27" s="169">
        <f t="shared" si="3"/>
        <v>1.1898746687127482</v>
      </c>
      <c r="O27" s="169">
        <f t="shared" si="4"/>
        <v>42.583574883849927</v>
      </c>
      <c r="P27" s="169">
        <f t="shared" si="5"/>
        <v>0</v>
      </c>
      <c r="R27" s="58"/>
    </row>
    <row r="28" spans="1:18">
      <c r="A28" s="81" t="s">
        <v>15</v>
      </c>
      <c r="B28" s="138">
        <f t="shared" si="1"/>
        <v>1294400</v>
      </c>
      <c r="C28" s="322">
        <v>316566</v>
      </c>
      <c r="D28" s="322">
        <v>0</v>
      </c>
      <c r="E28" s="322">
        <v>0</v>
      </c>
      <c r="F28" s="322">
        <v>17347</v>
      </c>
      <c r="G28" s="129">
        <v>89486</v>
      </c>
      <c r="H28" s="322">
        <f>'fed3'!F28+'fed3'!G28</f>
        <v>794552</v>
      </c>
      <c r="I28" s="322">
        <v>76449</v>
      </c>
      <c r="J28" s="328"/>
      <c r="K28" s="329">
        <v>0</v>
      </c>
      <c r="L28" s="171"/>
      <c r="M28" s="169">
        <f t="shared" si="2"/>
        <v>25.796739802224973</v>
      </c>
      <c r="N28" s="169">
        <f t="shared" si="3"/>
        <v>6.9133189122373304</v>
      </c>
      <c r="O28" s="169">
        <f t="shared" si="4"/>
        <v>67.289941285537708</v>
      </c>
      <c r="P28" s="169">
        <f t="shared" si="5"/>
        <v>0</v>
      </c>
      <c r="R28" s="58"/>
    </row>
    <row r="29" spans="1:18">
      <c r="A29" s="81"/>
      <c r="B29" s="138"/>
      <c r="C29" s="336"/>
      <c r="D29" s="336"/>
      <c r="E29" s="336"/>
      <c r="F29" s="343"/>
      <c r="G29" s="339"/>
      <c r="H29" s="322"/>
      <c r="I29" s="336"/>
      <c r="J29" s="344"/>
      <c r="K29" s="345"/>
      <c r="L29" s="171"/>
      <c r="M29" s="169"/>
      <c r="N29" s="169"/>
      <c r="O29" s="169"/>
      <c r="P29" s="169"/>
      <c r="R29" s="40"/>
    </row>
    <row r="30" spans="1:18">
      <c r="A30" s="81" t="s">
        <v>16</v>
      </c>
      <c r="B30" s="138">
        <f t="shared" si="1"/>
        <v>49875399</v>
      </c>
      <c r="C30" s="322">
        <v>19252693</v>
      </c>
      <c r="D30" s="322">
        <v>0</v>
      </c>
      <c r="E30" s="322">
        <v>32226</v>
      </c>
      <c r="F30" s="375">
        <v>0</v>
      </c>
      <c r="G30" s="129">
        <v>958588</v>
      </c>
      <c r="H30" s="322">
        <f>'fed3'!F30+'fed3'!G30</f>
        <v>27268869</v>
      </c>
      <c r="I30" s="322">
        <v>2363023</v>
      </c>
      <c r="J30" s="328"/>
      <c r="K30" s="329">
        <v>0</v>
      </c>
      <c r="L30" s="171"/>
      <c r="M30" s="169">
        <f t="shared" si="2"/>
        <v>38.666194931092178</v>
      </c>
      <c r="N30" s="169">
        <f t="shared" si="3"/>
        <v>1.921965576656339</v>
      </c>
      <c r="O30" s="169">
        <f t="shared" si="4"/>
        <v>59.411839492251481</v>
      </c>
      <c r="P30" s="169">
        <f t="shared" si="5"/>
        <v>0</v>
      </c>
      <c r="R30" s="58"/>
    </row>
    <row r="31" spans="1:18">
      <c r="A31" s="81" t="s">
        <v>17</v>
      </c>
      <c r="B31" s="138">
        <f t="shared" si="1"/>
        <v>83577724</v>
      </c>
      <c r="C31" s="322">
        <v>16802793</v>
      </c>
      <c r="D31" s="322">
        <v>1263015</v>
      </c>
      <c r="E31" s="322">
        <v>0</v>
      </c>
      <c r="F31" s="322">
        <v>20213981</v>
      </c>
      <c r="G31" s="129">
        <v>1167243</v>
      </c>
      <c r="H31" s="322">
        <f>'fed3'!F31+'fed3'!G31</f>
        <v>41035895</v>
      </c>
      <c r="I31" s="322">
        <v>3094797</v>
      </c>
      <c r="J31" s="328"/>
      <c r="K31" s="329">
        <v>0</v>
      </c>
      <c r="L31" s="171"/>
      <c r="M31" s="169">
        <f t="shared" si="2"/>
        <v>45.801425509026785</v>
      </c>
      <c r="N31" s="169">
        <f t="shared" si="3"/>
        <v>1.3965958201972573</v>
      </c>
      <c r="O31" s="169">
        <f t="shared" si="4"/>
        <v>52.801978670775959</v>
      </c>
      <c r="P31" s="169">
        <f t="shared" si="5"/>
        <v>0</v>
      </c>
      <c r="R31" s="58"/>
    </row>
    <row r="32" spans="1:18">
      <c r="A32" s="81" t="s">
        <v>18</v>
      </c>
      <c r="B32" s="138">
        <f t="shared" si="1"/>
        <v>2352159.0499999998</v>
      </c>
      <c r="C32" s="322">
        <v>1248153.08</v>
      </c>
      <c r="D32" s="322">
        <v>161546.82</v>
      </c>
      <c r="E32" s="322">
        <v>909.97</v>
      </c>
      <c r="F32" s="375">
        <v>0</v>
      </c>
      <c r="G32" s="129">
        <v>47701.45</v>
      </c>
      <c r="H32" s="322">
        <f>'fed3'!F32+'fed3'!G32</f>
        <v>893847.73</v>
      </c>
      <c r="I32" s="322">
        <v>0</v>
      </c>
      <c r="J32" s="328"/>
      <c r="K32" s="329">
        <v>0</v>
      </c>
      <c r="L32" s="171"/>
      <c r="M32" s="169">
        <f t="shared" si="2"/>
        <v>59.970854011764217</v>
      </c>
      <c r="N32" s="169">
        <f t="shared" si="3"/>
        <v>2.0279857350632815</v>
      </c>
      <c r="O32" s="169">
        <f t="shared" si="4"/>
        <v>38.001160253172507</v>
      </c>
      <c r="P32" s="169">
        <f t="shared" si="5"/>
        <v>0</v>
      </c>
      <c r="R32" s="58"/>
    </row>
    <row r="33" spans="1:256">
      <c r="A33" s="81" t="s">
        <v>19</v>
      </c>
      <c r="B33" s="138">
        <f t="shared" si="1"/>
        <v>6681003.3999999994</v>
      </c>
      <c r="C33" s="322">
        <v>1971108.26</v>
      </c>
      <c r="D33" s="322">
        <v>1135623.94</v>
      </c>
      <c r="E33" s="322">
        <v>405.5</v>
      </c>
      <c r="F33" s="375">
        <v>0</v>
      </c>
      <c r="G33" s="129">
        <v>213822.52</v>
      </c>
      <c r="H33" s="322">
        <f>'fed3'!F33+'fed3'!G33</f>
        <v>2961321.38</v>
      </c>
      <c r="I33" s="322">
        <v>357342.6</v>
      </c>
      <c r="J33" s="328"/>
      <c r="K33" s="329">
        <v>41379.199999999997</v>
      </c>
      <c r="L33" s="171"/>
      <c r="M33" s="169">
        <f t="shared" si="2"/>
        <v>46.507051620419773</v>
      </c>
      <c r="N33" s="169">
        <f t="shared" si="3"/>
        <v>3.2004551891112643</v>
      </c>
      <c r="O33" s="169">
        <f t="shared" si="4"/>
        <v>49.673137121888011</v>
      </c>
      <c r="P33" s="169">
        <f t="shared" si="5"/>
        <v>0.61935606858095604</v>
      </c>
      <c r="R33" s="58"/>
    </row>
    <row r="34" spans="1:256">
      <c r="A34" s="81" t="s">
        <v>20</v>
      </c>
      <c r="B34" s="138">
        <f t="shared" si="1"/>
        <v>1561690.4100000001</v>
      </c>
      <c r="C34" s="322">
        <v>0</v>
      </c>
      <c r="D34" s="322">
        <v>0</v>
      </c>
      <c r="E34" s="322">
        <v>0</v>
      </c>
      <c r="F34" s="322">
        <v>305422.90000000002</v>
      </c>
      <c r="G34" s="129">
        <v>83874.490000000005</v>
      </c>
      <c r="H34" s="322">
        <f>'fed3'!F34+'fed3'!G34</f>
        <v>1172393.02</v>
      </c>
      <c r="I34" s="322">
        <v>0</v>
      </c>
      <c r="J34" s="328"/>
      <c r="K34" s="329">
        <v>0</v>
      </c>
      <c r="L34" s="171"/>
      <c r="M34" s="169">
        <f t="shared" si="2"/>
        <v>19.557198920111187</v>
      </c>
      <c r="N34" s="169">
        <f t="shared" si="3"/>
        <v>5.3707501475916724</v>
      </c>
      <c r="O34" s="169">
        <f t="shared" si="4"/>
        <v>75.072050932297131</v>
      </c>
      <c r="P34" s="169">
        <f t="shared" si="5"/>
        <v>0</v>
      </c>
      <c r="R34" s="58"/>
    </row>
    <row r="35" spans="1:256">
      <c r="A35" s="81"/>
      <c r="B35" s="138"/>
      <c r="C35" s="336"/>
      <c r="D35" s="336"/>
      <c r="E35" s="336"/>
      <c r="F35" s="343"/>
      <c r="G35" s="339"/>
      <c r="H35" s="322"/>
      <c r="I35" s="336"/>
      <c r="J35" s="344"/>
      <c r="K35" s="345"/>
      <c r="L35" s="171"/>
      <c r="M35" s="169"/>
      <c r="N35" s="169"/>
      <c r="O35" s="169"/>
      <c r="P35" s="169"/>
      <c r="R35" s="40"/>
      <c r="S35" s="3"/>
      <c r="T35" s="3"/>
    </row>
    <row r="36" spans="1:256">
      <c r="A36" s="81" t="s">
        <v>21</v>
      </c>
      <c r="B36" s="138">
        <f t="shared" si="1"/>
        <v>1847392.81</v>
      </c>
      <c r="C36" s="322">
        <v>368502.03</v>
      </c>
      <c r="D36" s="322">
        <v>404918.02</v>
      </c>
      <c r="E36" s="322">
        <v>2380.75</v>
      </c>
      <c r="F36" s="375">
        <v>0</v>
      </c>
      <c r="G36" s="129">
        <v>78802.78</v>
      </c>
      <c r="H36" s="322">
        <f>'fed3'!F36+'fed3'!G36</f>
        <v>921553.38</v>
      </c>
      <c r="I36" s="322">
        <v>71235.850000000006</v>
      </c>
      <c r="J36" s="328"/>
      <c r="K36" s="329">
        <v>0</v>
      </c>
      <c r="L36" s="171"/>
      <c r="M36" s="169">
        <f t="shared" si="2"/>
        <v>41.994360690404555</v>
      </c>
      <c r="N36" s="169">
        <f t="shared" si="3"/>
        <v>4.2656212351503093</v>
      </c>
      <c r="O36" s="169">
        <f t="shared" si="4"/>
        <v>53.740018074445139</v>
      </c>
      <c r="P36" s="169">
        <f t="shared" si="5"/>
        <v>0</v>
      </c>
      <c r="R36" s="58"/>
      <c r="S36" s="3"/>
      <c r="T36" s="3"/>
    </row>
    <row r="37" spans="1:256">
      <c r="A37" s="81" t="s">
        <v>22</v>
      </c>
      <c r="B37" s="138">
        <f t="shared" si="1"/>
        <v>10690739.290000001</v>
      </c>
      <c r="C37" s="322">
        <v>3069953.39</v>
      </c>
      <c r="D37" s="322">
        <v>523679.53</v>
      </c>
      <c r="E37" s="322">
        <v>31.45</v>
      </c>
      <c r="F37" s="375">
        <v>95450</v>
      </c>
      <c r="G37" s="129">
        <v>362134</v>
      </c>
      <c r="H37" s="322">
        <f>'fed3'!F37+'fed3'!G37</f>
        <v>6035816.1100000003</v>
      </c>
      <c r="I37" s="322">
        <v>558890.05000000005</v>
      </c>
      <c r="J37" s="328"/>
      <c r="K37" s="329">
        <v>44784.76</v>
      </c>
      <c r="L37" s="171"/>
      <c r="M37" s="169">
        <f t="shared" si="2"/>
        <v>34.507570243067818</v>
      </c>
      <c r="N37" s="169">
        <f t="shared" si="3"/>
        <v>3.387361623706755</v>
      </c>
      <c r="O37" s="169">
        <f t="shared" si="4"/>
        <v>61.686156411733052</v>
      </c>
      <c r="P37" s="169">
        <f t="shared" si="5"/>
        <v>0.41891172149236838</v>
      </c>
      <c r="R37" s="58"/>
      <c r="S37" s="3"/>
      <c r="T37" s="3"/>
    </row>
    <row r="38" spans="1:256">
      <c r="A38" s="81" t="s">
        <v>23</v>
      </c>
      <c r="B38" s="138">
        <f t="shared" si="1"/>
        <v>7257361.25</v>
      </c>
      <c r="C38" s="322">
        <v>559266.65</v>
      </c>
      <c r="D38" s="322">
        <v>923893.24</v>
      </c>
      <c r="E38" s="322">
        <v>0</v>
      </c>
      <c r="F38" s="375">
        <v>77945.759999999995</v>
      </c>
      <c r="G38" s="129">
        <v>195261.35</v>
      </c>
      <c r="H38" s="322">
        <f>'fed3'!F38+'fed3'!G38</f>
        <v>4458071.8499999996</v>
      </c>
      <c r="I38" s="322">
        <v>292922.40000000002</v>
      </c>
      <c r="J38" s="328"/>
      <c r="K38" s="329">
        <v>750000</v>
      </c>
      <c r="L38" s="171"/>
      <c r="M38" s="169">
        <f t="shared" si="2"/>
        <v>21.510650995911224</v>
      </c>
      <c r="N38" s="169">
        <f t="shared" si="3"/>
        <v>2.6905281861227452</v>
      </c>
      <c r="O38" s="169">
        <f t="shared" si="4"/>
        <v>65.464486145015869</v>
      </c>
      <c r="P38" s="169">
        <f t="shared" si="5"/>
        <v>10.33433467295017</v>
      </c>
      <c r="R38" s="58"/>
      <c r="S38" s="3"/>
      <c r="T38" s="3"/>
    </row>
    <row r="39" spans="1:256">
      <c r="A39" s="173" t="s">
        <v>24</v>
      </c>
      <c r="B39" s="139">
        <f t="shared" si="1"/>
        <v>2592540.98</v>
      </c>
      <c r="C39" s="324">
        <v>411066.95</v>
      </c>
      <c r="D39" s="324">
        <v>263936.32</v>
      </c>
      <c r="E39" s="324">
        <v>2333.02</v>
      </c>
      <c r="F39" s="324">
        <v>63861.91</v>
      </c>
      <c r="G39" s="131">
        <v>124256.01</v>
      </c>
      <c r="H39" s="324">
        <f>'fed3'!F39+'fed3'!G39</f>
        <v>1727086.77</v>
      </c>
      <c r="I39" s="324">
        <v>0</v>
      </c>
      <c r="J39" s="383"/>
      <c r="K39" s="387">
        <v>0</v>
      </c>
      <c r="L39" s="174"/>
      <c r="M39" s="175">
        <f t="shared" si="2"/>
        <v>28.589642583007507</v>
      </c>
      <c r="N39" s="175">
        <f t="shared" si="3"/>
        <v>4.7928272285208005</v>
      </c>
      <c r="O39" s="175">
        <f t="shared" si="4"/>
        <v>66.61753018847169</v>
      </c>
      <c r="P39" s="175">
        <f t="shared" si="5"/>
        <v>0</v>
      </c>
      <c r="R39" s="58"/>
      <c r="S39" s="3"/>
      <c r="T39" s="3"/>
    </row>
    <row r="40" spans="1:256">
      <c r="A40" s="64"/>
      <c r="B40" s="81"/>
      <c r="C40" s="81"/>
      <c r="D40" s="81"/>
      <c r="E40" s="81"/>
      <c r="F40" s="81"/>
      <c r="G40" s="81"/>
      <c r="H40" s="81"/>
      <c r="I40" s="81"/>
      <c r="J40" s="171"/>
      <c r="K40" s="155"/>
      <c r="L40" s="81"/>
      <c r="M40" s="156"/>
      <c r="N40" s="169"/>
      <c r="O40" s="169"/>
      <c r="P40" s="169"/>
      <c r="R40" s="3"/>
      <c r="S40" s="3"/>
      <c r="T40" s="3"/>
    </row>
    <row r="41" spans="1:256" s="55" customFormat="1">
      <c r="A41" s="194"/>
      <c r="B41" s="194"/>
      <c r="C41" s="194"/>
      <c r="D41" s="194"/>
      <c r="E41" s="194"/>
      <c r="F41" s="194"/>
      <c r="G41" s="194"/>
      <c r="H41" s="19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>
      <c r="A42" s="176" t="s">
        <v>199</v>
      </c>
      <c r="B42" s="176"/>
      <c r="C42" s="176"/>
      <c r="D42" s="176"/>
      <c r="E42" s="176"/>
      <c r="F42" s="176"/>
      <c r="G42" s="176"/>
      <c r="H42" s="134"/>
      <c r="I42" s="176"/>
      <c r="J42" s="176"/>
      <c r="K42" s="176"/>
      <c r="L42" s="176"/>
      <c r="M42" s="176"/>
      <c r="N42" s="176"/>
      <c r="O42" s="176"/>
      <c r="P42" s="176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>
      <c r="I43" s="145"/>
      <c r="J43" s="145"/>
      <c r="M43" s="178"/>
      <c r="N43" s="178"/>
      <c r="O43" s="178"/>
      <c r="P43" s="178"/>
    </row>
    <row r="44" spans="1:256">
      <c r="I44" s="145"/>
      <c r="J44" s="145"/>
      <c r="M44" s="178"/>
      <c r="N44" s="178"/>
      <c r="O44" s="178"/>
      <c r="P44" s="178"/>
    </row>
    <row r="45" spans="1:256">
      <c r="M45" s="178"/>
      <c r="N45" s="178"/>
      <c r="O45" s="178"/>
      <c r="P45" s="178"/>
    </row>
    <row r="46" spans="1:256">
      <c r="M46" s="178"/>
      <c r="N46" s="178"/>
      <c r="O46" s="178"/>
      <c r="P46" s="178"/>
    </row>
    <row r="47" spans="1:256">
      <c r="M47" s="178"/>
      <c r="N47" s="178"/>
      <c r="O47" s="178"/>
      <c r="P47" s="178"/>
    </row>
    <row r="48" spans="1:256">
      <c r="M48" s="178"/>
      <c r="N48" s="178"/>
      <c r="O48" s="178"/>
      <c r="P48" s="178"/>
    </row>
    <row r="49" spans="13:16">
      <c r="M49" s="178"/>
      <c r="N49" s="178"/>
      <c r="O49" s="178"/>
      <c r="P49" s="178"/>
    </row>
    <row r="50" spans="13:16">
      <c r="M50" s="178"/>
      <c r="N50" s="178"/>
      <c r="O50" s="178"/>
      <c r="P50" s="178"/>
    </row>
    <row r="51" spans="13:16">
      <c r="M51" s="178"/>
      <c r="N51" s="178"/>
      <c r="O51" s="178"/>
      <c r="P51" s="178"/>
    </row>
    <row r="52" spans="13:16">
      <c r="M52" s="178"/>
      <c r="N52" s="178"/>
      <c r="O52" s="178"/>
      <c r="P52" s="178"/>
    </row>
    <row r="53" spans="13:16">
      <c r="M53" s="178"/>
      <c r="N53" s="178"/>
      <c r="O53" s="178"/>
      <c r="P53" s="178"/>
    </row>
    <row r="54" spans="13:16">
      <c r="M54" s="178"/>
      <c r="N54" s="178"/>
      <c r="O54" s="178"/>
      <c r="P54" s="178"/>
    </row>
    <row r="55" spans="13:16">
      <c r="M55" s="178"/>
      <c r="N55" s="178"/>
      <c r="O55" s="178"/>
      <c r="P55" s="178"/>
    </row>
    <row r="56" spans="13:16">
      <c r="M56" s="178"/>
      <c r="N56" s="178"/>
      <c r="O56" s="178"/>
      <c r="P56" s="178"/>
    </row>
    <row r="57" spans="13:16">
      <c r="M57" s="178"/>
      <c r="N57" s="178"/>
      <c r="O57" s="178"/>
      <c r="P57" s="178"/>
    </row>
    <row r="58" spans="13:16">
      <c r="M58" s="178"/>
      <c r="N58" s="178"/>
      <c r="O58" s="178"/>
      <c r="P58" s="178"/>
    </row>
    <row r="59" spans="13:16">
      <c r="M59" s="178"/>
      <c r="N59" s="178"/>
      <c r="O59" s="178"/>
      <c r="P59" s="178"/>
    </row>
    <row r="60" spans="13:16">
      <c r="M60" s="178"/>
      <c r="N60" s="178"/>
      <c r="O60" s="178"/>
      <c r="P60" s="178"/>
    </row>
    <row r="61" spans="13:16">
      <c r="M61" s="178"/>
      <c r="N61" s="178"/>
      <c r="O61" s="178"/>
      <c r="P61" s="178"/>
    </row>
    <row r="62" spans="13:16">
      <c r="M62" s="178"/>
      <c r="N62" s="178"/>
      <c r="O62" s="178"/>
      <c r="P62" s="178"/>
    </row>
    <row r="63" spans="13:16">
      <c r="M63" s="178"/>
      <c r="N63" s="178"/>
      <c r="O63" s="178"/>
      <c r="P63" s="178"/>
    </row>
    <row r="64" spans="13:16">
      <c r="M64" s="178"/>
      <c r="N64" s="178"/>
      <c r="O64" s="178"/>
      <c r="P64" s="178"/>
    </row>
    <row r="65" spans="13:16">
      <c r="M65" s="178"/>
      <c r="N65" s="178"/>
      <c r="O65" s="178"/>
      <c r="P65" s="178"/>
    </row>
    <row r="66" spans="13:16">
      <c r="M66" s="178"/>
      <c r="N66" s="178"/>
      <c r="O66" s="178"/>
      <c r="P66" s="178"/>
    </row>
    <row r="67" spans="13:16">
      <c r="M67" s="178"/>
      <c r="N67" s="178"/>
      <c r="O67" s="178"/>
      <c r="P67" s="178"/>
    </row>
    <row r="68" spans="13:16">
      <c r="M68" s="178"/>
      <c r="N68" s="178"/>
      <c r="O68" s="178"/>
      <c r="P68" s="178"/>
    </row>
    <row r="69" spans="13:16">
      <c r="M69" s="178"/>
      <c r="N69" s="178"/>
      <c r="O69" s="178"/>
      <c r="P69" s="178"/>
    </row>
    <row r="70" spans="13:16">
      <c r="M70" s="178"/>
      <c r="N70" s="178"/>
      <c r="O70" s="178"/>
      <c r="P70" s="178"/>
    </row>
    <row r="71" spans="13:16">
      <c r="M71" s="178"/>
      <c r="N71" s="178"/>
      <c r="O71" s="178"/>
      <c r="P71" s="178"/>
    </row>
    <row r="72" spans="13:16">
      <c r="M72" s="178"/>
      <c r="N72" s="178"/>
      <c r="O72" s="178"/>
      <c r="P72" s="178"/>
    </row>
    <row r="73" spans="13:16">
      <c r="M73" s="178"/>
      <c r="N73" s="178"/>
      <c r="O73" s="178"/>
      <c r="P73" s="178"/>
    </row>
    <row r="74" spans="13:16">
      <c r="M74" s="178"/>
      <c r="N74" s="178"/>
      <c r="O74" s="178"/>
      <c r="P74" s="178"/>
    </row>
    <row r="75" spans="13:16">
      <c r="M75" s="178"/>
      <c r="N75" s="178"/>
      <c r="O75" s="178"/>
      <c r="P75" s="178"/>
    </row>
    <row r="76" spans="13:16">
      <c r="M76" s="178"/>
      <c r="N76" s="178"/>
      <c r="O76" s="178"/>
      <c r="P76" s="178"/>
    </row>
    <row r="77" spans="13:16">
      <c r="M77" s="178"/>
      <c r="N77" s="178"/>
      <c r="O77" s="178"/>
      <c r="P77" s="178"/>
    </row>
    <row r="78" spans="13:16">
      <c r="M78" s="178"/>
      <c r="N78" s="178"/>
      <c r="O78" s="178"/>
      <c r="P78" s="178"/>
    </row>
    <row r="79" spans="13:16">
      <c r="M79" s="178"/>
      <c r="N79" s="178"/>
      <c r="O79" s="178"/>
      <c r="P79" s="178"/>
    </row>
    <row r="80" spans="13:16">
      <c r="M80" s="178"/>
      <c r="N80" s="178"/>
      <c r="O80" s="178"/>
      <c r="P80" s="178"/>
    </row>
    <row r="81" spans="13:16">
      <c r="M81" s="178"/>
      <c r="N81" s="178"/>
      <c r="O81" s="178"/>
      <c r="P81" s="178"/>
    </row>
    <row r="82" spans="13:16">
      <c r="M82" s="178"/>
      <c r="N82" s="178"/>
      <c r="O82" s="178"/>
      <c r="P82" s="178"/>
    </row>
    <row r="83" spans="13:16">
      <c r="M83" s="178"/>
      <c r="N83" s="178"/>
      <c r="O83" s="178"/>
      <c r="P83" s="178"/>
    </row>
    <row r="84" spans="13:16">
      <c r="M84" s="178"/>
      <c r="N84" s="178"/>
      <c r="O84" s="178"/>
      <c r="P84" s="178"/>
    </row>
    <row r="85" spans="13:16">
      <c r="M85" s="178"/>
      <c r="N85" s="178"/>
      <c r="O85" s="178"/>
      <c r="P85" s="178"/>
    </row>
    <row r="86" spans="13:16">
      <c r="M86" s="178"/>
      <c r="N86" s="178"/>
      <c r="O86" s="178"/>
      <c r="P86" s="178"/>
    </row>
    <row r="87" spans="13:16">
      <c r="M87" s="178"/>
      <c r="N87" s="178"/>
      <c r="O87" s="178"/>
      <c r="P87" s="178"/>
    </row>
    <row r="88" spans="13:16">
      <c r="M88" s="178"/>
      <c r="N88" s="178"/>
      <c r="O88" s="178"/>
      <c r="P88" s="178"/>
    </row>
    <row r="89" spans="13:16">
      <c r="M89" s="178"/>
      <c r="N89" s="178"/>
      <c r="O89" s="178"/>
      <c r="P89" s="178"/>
    </row>
    <row r="90" spans="13:16">
      <c r="M90" s="178"/>
      <c r="N90" s="178"/>
      <c r="O90" s="178"/>
      <c r="P90" s="178"/>
    </row>
    <row r="91" spans="13:16">
      <c r="M91" s="178"/>
      <c r="N91" s="178"/>
      <c r="O91" s="178"/>
      <c r="P91" s="178"/>
    </row>
    <row r="92" spans="13:16">
      <c r="M92" s="178"/>
      <c r="N92" s="178"/>
      <c r="O92" s="178"/>
      <c r="P92" s="178"/>
    </row>
    <row r="93" spans="13:16">
      <c r="M93" s="178"/>
      <c r="N93" s="178"/>
      <c r="O93" s="178"/>
      <c r="P93" s="178"/>
    </row>
    <row r="94" spans="13:16">
      <c r="M94" s="178"/>
      <c r="N94" s="178"/>
      <c r="O94" s="178"/>
      <c r="P94" s="178"/>
    </row>
    <row r="95" spans="13:16">
      <c r="M95" s="178"/>
      <c r="N95" s="178"/>
      <c r="O95" s="178"/>
      <c r="P95" s="178"/>
    </row>
    <row r="96" spans="13:16">
      <c r="M96" s="178"/>
      <c r="N96" s="178"/>
      <c r="O96" s="178"/>
      <c r="P96" s="178"/>
    </row>
    <row r="97" spans="13:16">
      <c r="M97" s="178"/>
      <c r="N97" s="178"/>
      <c r="O97" s="178"/>
      <c r="P97" s="178"/>
    </row>
    <row r="98" spans="13:16">
      <c r="M98" s="178"/>
      <c r="N98" s="178"/>
      <c r="O98" s="178"/>
      <c r="P98" s="178"/>
    </row>
    <row r="99" spans="13:16">
      <c r="M99" s="178"/>
      <c r="N99" s="178"/>
      <c r="O99" s="178"/>
      <c r="P99" s="178"/>
    </row>
    <row r="100" spans="13:16">
      <c r="M100" s="178"/>
      <c r="N100" s="178"/>
      <c r="O100" s="178"/>
      <c r="P100" s="178"/>
    </row>
    <row r="101" spans="13:16">
      <c r="M101" s="178"/>
      <c r="N101" s="178"/>
      <c r="O101" s="178"/>
      <c r="P101" s="178"/>
    </row>
    <row r="102" spans="13:16">
      <c r="M102" s="178"/>
      <c r="N102" s="178"/>
      <c r="O102" s="178"/>
      <c r="P102" s="178"/>
    </row>
    <row r="103" spans="13:16">
      <c r="M103" s="178"/>
      <c r="N103" s="178"/>
      <c r="O103" s="178"/>
      <c r="P103" s="178"/>
    </row>
    <row r="104" spans="13:16">
      <c r="M104" s="178"/>
      <c r="N104" s="178"/>
      <c r="O104" s="178"/>
      <c r="P104" s="178"/>
    </row>
    <row r="105" spans="13:16">
      <c r="M105" s="178"/>
      <c r="N105" s="178"/>
      <c r="O105" s="178"/>
      <c r="P105" s="178"/>
    </row>
    <row r="106" spans="13:16">
      <c r="M106" s="178"/>
      <c r="N106" s="178"/>
      <c r="O106" s="178"/>
      <c r="P106" s="178"/>
    </row>
    <row r="107" spans="13:16">
      <c r="M107" s="178"/>
      <c r="N107" s="178"/>
      <c r="O107" s="178"/>
      <c r="P107" s="178"/>
    </row>
    <row r="108" spans="13:16">
      <c r="M108" s="178"/>
      <c r="N108" s="178"/>
      <c r="O108" s="178"/>
      <c r="P108" s="178"/>
    </row>
    <row r="109" spans="13:16">
      <c r="M109" s="178"/>
      <c r="N109" s="178"/>
      <c r="O109" s="178"/>
      <c r="P109" s="178"/>
    </row>
    <row r="110" spans="13:16">
      <c r="M110" s="178"/>
      <c r="N110" s="178"/>
      <c r="O110" s="178"/>
      <c r="P110" s="178"/>
    </row>
    <row r="111" spans="13:16">
      <c r="M111" s="178"/>
      <c r="N111" s="178"/>
      <c r="O111" s="178"/>
      <c r="P111" s="178"/>
    </row>
    <row r="112" spans="13:16">
      <c r="M112" s="178"/>
      <c r="N112" s="178"/>
      <c r="O112" s="178"/>
      <c r="P112" s="178"/>
    </row>
    <row r="113" spans="13:16">
      <c r="M113" s="178"/>
      <c r="N113" s="178"/>
      <c r="O113" s="178"/>
      <c r="P113" s="178"/>
    </row>
    <row r="114" spans="13:16">
      <c r="M114" s="178"/>
      <c r="N114" s="178"/>
      <c r="O114" s="178"/>
      <c r="P114" s="178"/>
    </row>
    <row r="115" spans="13:16">
      <c r="M115" s="178"/>
      <c r="N115" s="178"/>
      <c r="O115" s="178"/>
      <c r="P115" s="178"/>
    </row>
    <row r="116" spans="13:16">
      <c r="M116" s="178"/>
      <c r="N116" s="178"/>
      <c r="O116" s="178"/>
      <c r="P116" s="178"/>
    </row>
    <row r="117" spans="13:16">
      <c r="M117" s="178"/>
      <c r="N117" s="178"/>
      <c r="O117" s="178"/>
      <c r="P117" s="178"/>
    </row>
    <row r="118" spans="13:16">
      <c r="M118" s="178"/>
      <c r="N118" s="178"/>
      <c r="O118" s="178"/>
      <c r="P118" s="178"/>
    </row>
    <row r="119" spans="13:16">
      <c r="M119" s="178"/>
      <c r="N119" s="178"/>
      <c r="O119" s="178"/>
      <c r="P119" s="178"/>
    </row>
    <row r="120" spans="13:16">
      <c r="M120" s="178"/>
      <c r="N120" s="178"/>
      <c r="O120" s="178"/>
      <c r="P120" s="178"/>
    </row>
    <row r="121" spans="13:16">
      <c r="M121" s="178"/>
      <c r="N121" s="178"/>
      <c r="O121" s="178"/>
      <c r="P121" s="178"/>
    </row>
    <row r="122" spans="13:16">
      <c r="M122" s="178"/>
      <c r="N122" s="178"/>
      <c r="O122" s="178"/>
      <c r="P122" s="178"/>
    </row>
    <row r="123" spans="13:16">
      <c r="M123" s="178"/>
      <c r="N123" s="178"/>
      <c r="O123" s="178"/>
      <c r="P123" s="178"/>
    </row>
    <row r="124" spans="13:16">
      <c r="M124" s="178"/>
      <c r="N124" s="178"/>
      <c r="O124" s="178"/>
      <c r="P124" s="178"/>
    </row>
    <row r="125" spans="13:16">
      <c r="M125" s="178"/>
      <c r="N125" s="178"/>
      <c r="O125" s="178"/>
      <c r="P125" s="178"/>
    </row>
    <row r="126" spans="13:16">
      <c r="M126" s="178"/>
      <c r="N126" s="178"/>
      <c r="O126" s="178"/>
      <c r="P126" s="178"/>
    </row>
    <row r="127" spans="13:16">
      <c r="M127" s="178"/>
      <c r="N127" s="178"/>
      <c r="O127" s="178"/>
      <c r="P127" s="178"/>
    </row>
    <row r="128" spans="13:16">
      <c r="M128" s="178"/>
      <c r="N128" s="178"/>
      <c r="O128" s="178"/>
      <c r="P128" s="178"/>
    </row>
    <row r="129" spans="13:16">
      <c r="M129" s="178"/>
      <c r="N129" s="178"/>
      <c r="O129" s="178"/>
      <c r="P129" s="178"/>
    </row>
    <row r="130" spans="13:16">
      <c r="M130" s="178"/>
      <c r="N130" s="178"/>
      <c r="O130" s="178"/>
      <c r="P130" s="178"/>
    </row>
    <row r="131" spans="13:16">
      <c r="M131" s="178"/>
      <c r="N131" s="178"/>
      <c r="O131" s="178"/>
      <c r="P131" s="178"/>
    </row>
    <row r="132" spans="13:16">
      <c r="M132" s="178"/>
      <c r="N132" s="178"/>
      <c r="O132" s="178"/>
      <c r="P132" s="178"/>
    </row>
    <row r="133" spans="13:16">
      <c r="M133" s="178"/>
      <c r="N133" s="178"/>
      <c r="O133" s="178"/>
      <c r="P133" s="178"/>
    </row>
    <row r="134" spans="13:16">
      <c r="M134" s="178"/>
      <c r="N134" s="178"/>
      <c r="O134" s="178"/>
      <c r="P134" s="178"/>
    </row>
    <row r="135" spans="13:16">
      <c r="M135" s="178"/>
      <c r="N135" s="178"/>
      <c r="O135" s="178"/>
      <c r="P135" s="178"/>
    </row>
    <row r="136" spans="13:16">
      <c r="M136" s="178"/>
      <c r="N136" s="178"/>
      <c r="O136" s="178"/>
      <c r="P136" s="178"/>
    </row>
    <row r="137" spans="13:16">
      <c r="M137" s="178"/>
      <c r="N137" s="178"/>
      <c r="O137" s="178"/>
      <c r="P137" s="178"/>
    </row>
    <row r="138" spans="13:16">
      <c r="M138" s="178"/>
      <c r="N138" s="178"/>
      <c r="O138" s="178"/>
      <c r="P138" s="178"/>
    </row>
    <row r="139" spans="13:16">
      <c r="M139" s="178"/>
      <c r="N139" s="178"/>
      <c r="O139" s="178"/>
      <c r="P139" s="178"/>
    </row>
    <row r="140" spans="13:16">
      <c r="M140" s="178"/>
      <c r="N140" s="178"/>
      <c r="O140" s="178"/>
      <c r="P140" s="178"/>
    </row>
    <row r="141" spans="13:16">
      <c r="M141" s="178"/>
      <c r="N141" s="178"/>
      <c r="O141" s="178"/>
      <c r="P141" s="178"/>
    </row>
    <row r="142" spans="13:16">
      <c r="M142" s="178"/>
      <c r="N142" s="178"/>
      <c r="O142" s="178"/>
      <c r="P142" s="178"/>
    </row>
    <row r="143" spans="13:16">
      <c r="M143" s="178"/>
      <c r="N143" s="178"/>
      <c r="O143" s="178"/>
      <c r="P143" s="178"/>
    </row>
    <row r="144" spans="13:16">
      <c r="M144" s="178"/>
      <c r="N144" s="178"/>
      <c r="O144" s="178"/>
      <c r="P144" s="178"/>
    </row>
    <row r="145" spans="13:16">
      <c r="M145" s="178"/>
      <c r="N145" s="178"/>
      <c r="O145" s="178"/>
      <c r="P145" s="178"/>
    </row>
    <row r="146" spans="13:16">
      <c r="M146" s="178"/>
      <c r="N146" s="178"/>
      <c r="O146" s="178"/>
      <c r="P146" s="178"/>
    </row>
    <row r="147" spans="13:16">
      <c r="M147" s="178"/>
      <c r="N147" s="178"/>
      <c r="O147" s="178"/>
      <c r="P147" s="178"/>
    </row>
    <row r="148" spans="13:16">
      <c r="M148" s="178"/>
      <c r="N148" s="178"/>
      <c r="O148" s="178"/>
      <c r="P148" s="178"/>
    </row>
    <row r="149" spans="13:16">
      <c r="M149" s="178"/>
      <c r="N149" s="178"/>
      <c r="O149" s="178"/>
      <c r="P149" s="178"/>
    </row>
    <row r="150" spans="13:16">
      <c r="M150" s="178"/>
      <c r="N150" s="178"/>
      <c r="O150" s="178"/>
      <c r="P150" s="178"/>
    </row>
    <row r="151" spans="13:16">
      <c r="M151" s="178"/>
      <c r="N151" s="178"/>
      <c r="O151" s="178"/>
      <c r="P151" s="178"/>
    </row>
    <row r="152" spans="13:16">
      <c r="M152" s="178"/>
      <c r="N152" s="178"/>
      <c r="O152" s="178"/>
      <c r="P152" s="178"/>
    </row>
    <row r="153" spans="13:16">
      <c r="M153" s="178"/>
      <c r="N153" s="178"/>
      <c r="O153" s="178"/>
      <c r="P153" s="178"/>
    </row>
    <row r="154" spans="13:16">
      <c r="M154" s="178"/>
      <c r="N154" s="178"/>
      <c r="O154" s="178"/>
      <c r="P154" s="178"/>
    </row>
    <row r="155" spans="13:16">
      <c r="M155" s="178"/>
      <c r="N155" s="178"/>
      <c r="O155" s="178"/>
      <c r="P155" s="178"/>
    </row>
    <row r="156" spans="13:16">
      <c r="M156" s="178"/>
      <c r="N156" s="178"/>
      <c r="O156" s="178"/>
      <c r="P156" s="178"/>
    </row>
    <row r="157" spans="13:16">
      <c r="M157" s="178"/>
      <c r="N157" s="178"/>
      <c r="O157" s="178"/>
      <c r="P157" s="178"/>
    </row>
    <row r="158" spans="13:16">
      <c r="M158" s="178"/>
      <c r="N158" s="178"/>
      <c r="O158" s="178"/>
      <c r="P158" s="178"/>
    </row>
    <row r="159" spans="13:16">
      <c r="M159" s="178"/>
      <c r="N159" s="178"/>
      <c r="O159" s="178"/>
      <c r="P159" s="178"/>
    </row>
    <row r="160" spans="13:16">
      <c r="M160" s="178"/>
      <c r="N160" s="178"/>
      <c r="O160" s="178"/>
      <c r="P160" s="178"/>
    </row>
    <row r="161" spans="13:16">
      <c r="M161" s="178"/>
      <c r="N161" s="178"/>
      <c r="O161" s="178"/>
      <c r="P161" s="178"/>
    </row>
    <row r="162" spans="13:16">
      <c r="M162" s="178"/>
      <c r="N162" s="178"/>
      <c r="O162" s="178"/>
      <c r="P162" s="178"/>
    </row>
    <row r="163" spans="13:16">
      <c r="M163" s="178"/>
      <c r="N163" s="178"/>
      <c r="O163" s="178"/>
      <c r="P163" s="178"/>
    </row>
    <row r="164" spans="13:16">
      <c r="M164" s="178"/>
      <c r="N164" s="178"/>
      <c r="O164" s="178"/>
      <c r="P164" s="178"/>
    </row>
    <row r="165" spans="13:16">
      <c r="M165" s="178"/>
      <c r="N165" s="178"/>
      <c r="O165" s="178"/>
      <c r="P165" s="178"/>
    </row>
    <row r="166" spans="13:16">
      <c r="M166" s="178"/>
      <c r="N166" s="178"/>
      <c r="O166" s="178"/>
      <c r="P166" s="178"/>
    </row>
    <row r="167" spans="13:16">
      <c r="M167" s="178"/>
      <c r="N167" s="178"/>
      <c r="O167" s="178"/>
      <c r="P167" s="178"/>
    </row>
    <row r="168" spans="13:16">
      <c r="M168" s="178"/>
      <c r="N168" s="178"/>
      <c r="O168" s="178"/>
      <c r="P168" s="178"/>
    </row>
    <row r="169" spans="13:16">
      <c r="M169" s="178"/>
      <c r="N169" s="178"/>
      <c r="O169" s="178"/>
      <c r="P169" s="178"/>
    </row>
    <row r="170" spans="13:16">
      <c r="M170" s="178"/>
      <c r="N170" s="178"/>
      <c r="O170" s="178"/>
      <c r="P170" s="178"/>
    </row>
    <row r="171" spans="13:16">
      <c r="M171" s="178"/>
      <c r="N171" s="178"/>
      <c r="O171" s="178"/>
      <c r="P171" s="178"/>
    </row>
    <row r="172" spans="13:16">
      <c r="M172" s="178"/>
      <c r="N172" s="178"/>
      <c r="O172" s="178"/>
      <c r="P172" s="178"/>
    </row>
    <row r="173" spans="13:16">
      <c r="M173" s="178"/>
      <c r="N173" s="178"/>
      <c r="O173" s="178"/>
      <c r="P173" s="178"/>
    </row>
    <row r="174" spans="13:16">
      <c r="M174" s="178"/>
      <c r="N174" s="178"/>
      <c r="O174" s="178"/>
      <c r="P174" s="178"/>
    </row>
    <row r="175" spans="13:16">
      <c r="M175" s="178"/>
      <c r="N175" s="178"/>
      <c r="O175" s="178"/>
      <c r="P175" s="178"/>
    </row>
    <row r="176" spans="13:16">
      <c r="M176" s="178"/>
      <c r="N176" s="178"/>
      <c r="O176" s="178"/>
      <c r="P176" s="178"/>
    </row>
    <row r="177" spans="13:16">
      <c r="M177" s="178"/>
      <c r="N177" s="178"/>
      <c r="O177" s="178"/>
      <c r="P177" s="178"/>
    </row>
    <row r="178" spans="13:16">
      <c r="M178" s="178"/>
      <c r="N178" s="178"/>
      <c r="O178" s="178"/>
      <c r="P178" s="178"/>
    </row>
    <row r="179" spans="13:16">
      <c r="M179" s="178"/>
      <c r="N179" s="178"/>
      <c r="O179" s="178"/>
      <c r="P179" s="178"/>
    </row>
    <row r="180" spans="13:16">
      <c r="M180" s="178"/>
      <c r="N180" s="178"/>
      <c r="O180" s="178"/>
      <c r="P180" s="178"/>
    </row>
    <row r="181" spans="13:16">
      <c r="M181" s="178"/>
      <c r="N181" s="178"/>
      <c r="O181" s="178"/>
      <c r="P181" s="178"/>
    </row>
    <row r="182" spans="13:16">
      <c r="M182" s="178"/>
      <c r="N182" s="178"/>
      <c r="O182" s="178"/>
      <c r="P182" s="178"/>
    </row>
    <row r="183" spans="13:16">
      <c r="M183" s="178"/>
      <c r="N183" s="178"/>
      <c r="O183" s="178"/>
      <c r="P183" s="178"/>
    </row>
    <row r="184" spans="13:16">
      <c r="M184" s="178"/>
      <c r="N184" s="178"/>
      <c r="O184" s="178"/>
      <c r="P184" s="178"/>
    </row>
    <row r="185" spans="13:16">
      <c r="M185" s="178"/>
      <c r="N185" s="178"/>
      <c r="O185" s="178"/>
      <c r="P185" s="178"/>
    </row>
    <row r="186" spans="13:16">
      <c r="M186" s="178"/>
      <c r="N186" s="178"/>
      <c r="O186" s="178"/>
      <c r="P186" s="178"/>
    </row>
    <row r="187" spans="13:16">
      <c r="M187" s="178"/>
      <c r="N187" s="178"/>
      <c r="O187" s="178"/>
      <c r="P187" s="178"/>
    </row>
    <row r="188" spans="13:16">
      <c r="M188" s="178"/>
      <c r="N188" s="178"/>
      <c r="O188" s="178"/>
      <c r="P188" s="178"/>
    </row>
    <row r="189" spans="13:16">
      <c r="M189" s="178"/>
      <c r="N189" s="178"/>
      <c r="O189" s="178"/>
      <c r="P189" s="178"/>
    </row>
    <row r="190" spans="13:16">
      <c r="M190" s="178"/>
      <c r="N190" s="178"/>
      <c r="O190" s="178"/>
      <c r="P190" s="178"/>
    </row>
    <row r="191" spans="13:16">
      <c r="M191" s="178"/>
      <c r="N191" s="178"/>
      <c r="O191" s="178"/>
      <c r="P191" s="178"/>
    </row>
    <row r="192" spans="13:16">
      <c r="M192" s="178"/>
      <c r="N192" s="178"/>
      <c r="O192" s="178"/>
      <c r="P192" s="178"/>
    </row>
    <row r="193" spans="13:16">
      <c r="M193" s="178"/>
      <c r="N193" s="178"/>
      <c r="O193" s="178"/>
      <c r="P193" s="178"/>
    </row>
    <row r="194" spans="13:16">
      <c r="M194" s="178"/>
      <c r="N194" s="178"/>
      <c r="O194" s="178"/>
      <c r="P194" s="178"/>
    </row>
    <row r="195" spans="13:16">
      <c r="M195" s="178"/>
      <c r="N195" s="178"/>
      <c r="O195" s="178"/>
      <c r="P195" s="178"/>
    </row>
    <row r="196" spans="13:16">
      <c r="M196" s="178"/>
      <c r="N196" s="178"/>
      <c r="O196" s="178"/>
      <c r="P196" s="178"/>
    </row>
    <row r="197" spans="13:16">
      <c r="M197" s="178"/>
      <c r="N197" s="178"/>
      <c r="O197" s="178"/>
      <c r="P197" s="178"/>
    </row>
    <row r="198" spans="13:16">
      <c r="M198" s="178"/>
      <c r="N198" s="178"/>
      <c r="O198" s="178"/>
      <c r="P198" s="178"/>
    </row>
    <row r="199" spans="13:16">
      <c r="M199" s="178"/>
      <c r="N199" s="178"/>
      <c r="O199" s="178"/>
      <c r="P199" s="178"/>
    </row>
    <row r="200" spans="13:16">
      <c r="M200" s="178"/>
      <c r="N200" s="178"/>
      <c r="O200" s="178"/>
      <c r="P200" s="178"/>
    </row>
    <row r="201" spans="13:16">
      <c r="M201" s="178"/>
      <c r="N201" s="178"/>
      <c r="O201" s="178"/>
      <c r="P201" s="178"/>
    </row>
    <row r="202" spans="13:16">
      <c r="M202" s="178"/>
      <c r="N202" s="178"/>
      <c r="O202" s="178"/>
      <c r="P202" s="178"/>
    </row>
    <row r="203" spans="13:16">
      <c r="M203" s="178"/>
      <c r="N203" s="178"/>
      <c r="O203" s="178"/>
      <c r="P203" s="178"/>
    </row>
    <row r="204" spans="13:16">
      <c r="M204" s="178"/>
      <c r="N204" s="178"/>
      <c r="O204" s="178"/>
      <c r="P204" s="178"/>
    </row>
    <row r="205" spans="13:16">
      <c r="M205" s="178"/>
      <c r="N205" s="178"/>
      <c r="O205" s="178"/>
      <c r="P205" s="178"/>
    </row>
    <row r="206" spans="13:16">
      <c r="M206" s="178"/>
      <c r="N206" s="178"/>
      <c r="O206" s="178"/>
      <c r="P206" s="178"/>
    </row>
    <row r="207" spans="13:16">
      <c r="M207" s="178"/>
      <c r="N207" s="178"/>
      <c r="O207" s="178"/>
      <c r="P207" s="178"/>
    </row>
    <row r="208" spans="13:16">
      <c r="M208" s="178"/>
      <c r="N208" s="178"/>
      <c r="O208" s="178"/>
      <c r="P208" s="178"/>
    </row>
    <row r="209" spans="13:16">
      <c r="M209" s="178"/>
      <c r="N209" s="178"/>
      <c r="O209" s="178"/>
      <c r="P209" s="178"/>
    </row>
    <row r="210" spans="13:16">
      <c r="M210" s="178"/>
      <c r="N210" s="178"/>
      <c r="O210" s="178"/>
      <c r="P210" s="178"/>
    </row>
    <row r="211" spans="13:16">
      <c r="M211" s="178"/>
      <c r="N211" s="178"/>
      <c r="O211" s="178"/>
      <c r="P211" s="178"/>
    </row>
    <row r="212" spans="13:16">
      <c r="M212" s="178"/>
      <c r="N212" s="178"/>
      <c r="O212" s="178"/>
      <c r="P212" s="178"/>
    </row>
    <row r="213" spans="13:16">
      <c r="M213" s="178"/>
      <c r="N213" s="178"/>
      <c r="O213" s="178"/>
      <c r="P213" s="178"/>
    </row>
    <row r="214" spans="13:16">
      <c r="M214" s="178"/>
      <c r="N214" s="178"/>
      <c r="O214" s="178"/>
      <c r="P214" s="178"/>
    </row>
    <row r="215" spans="13:16">
      <c r="M215" s="178"/>
      <c r="N215" s="178"/>
      <c r="O215" s="178"/>
      <c r="P215" s="178"/>
    </row>
    <row r="216" spans="13:16">
      <c r="M216" s="178"/>
      <c r="N216" s="178"/>
      <c r="O216" s="178"/>
      <c r="P216" s="178"/>
    </row>
    <row r="217" spans="13:16">
      <c r="M217" s="178"/>
      <c r="N217" s="178"/>
      <c r="O217" s="178"/>
      <c r="P217" s="178"/>
    </row>
    <row r="218" spans="13:16">
      <c r="M218" s="178"/>
      <c r="N218" s="178"/>
      <c r="O218" s="178"/>
      <c r="P218" s="178"/>
    </row>
    <row r="219" spans="13:16">
      <c r="M219" s="178"/>
      <c r="N219" s="178"/>
      <c r="O219" s="178"/>
      <c r="P219" s="178"/>
    </row>
    <row r="220" spans="13:16">
      <c r="M220" s="178"/>
      <c r="N220" s="178"/>
      <c r="O220" s="178"/>
      <c r="P220" s="178"/>
    </row>
    <row r="221" spans="13:16">
      <c r="M221" s="178"/>
      <c r="N221" s="178"/>
      <c r="O221" s="178"/>
      <c r="P221" s="178"/>
    </row>
    <row r="222" spans="13:16">
      <c r="M222" s="178"/>
      <c r="N222" s="178"/>
      <c r="O222" s="178"/>
      <c r="P222" s="178"/>
    </row>
    <row r="223" spans="13:16">
      <c r="M223" s="178"/>
      <c r="N223" s="178"/>
      <c r="O223" s="178"/>
      <c r="P223" s="178"/>
    </row>
    <row r="224" spans="13:16">
      <c r="M224" s="178"/>
      <c r="N224" s="178"/>
      <c r="O224" s="178"/>
      <c r="P224" s="178"/>
    </row>
    <row r="225" spans="13:16">
      <c r="M225" s="178"/>
      <c r="N225" s="178"/>
      <c r="O225" s="178"/>
      <c r="P225" s="178"/>
    </row>
    <row r="226" spans="13:16">
      <c r="M226" s="178"/>
      <c r="N226" s="178"/>
      <c r="O226" s="178"/>
      <c r="P226" s="178"/>
    </row>
    <row r="227" spans="13:16">
      <c r="M227" s="178"/>
      <c r="N227" s="178"/>
      <c r="O227" s="178"/>
      <c r="P227" s="178"/>
    </row>
    <row r="228" spans="13:16">
      <c r="M228" s="178"/>
      <c r="N228" s="178"/>
      <c r="O228" s="178"/>
      <c r="P228" s="178"/>
    </row>
    <row r="229" spans="13:16">
      <c r="M229" s="178"/>
      <c r="N229" s="178"/>
      <c r="O229" s="178"/>
      <c r="P229" s="178"/>
    </row>
    <row r="230" spans="13:16">
      <c r="M230" s="178"/>
      <c r="N230" s="178"/>
      <c r="O230" s="178"/>
      <c r="P230" s="178"/>
    </row>
    <row r="231" spans="13:16">
      <c r="M231" s="178"/>
      <c r="N231" s="178"/>
      <c r="O231" s="178"/>
      <c r="P231" s="178"/>
    </row>
    <row r="232" spans="13:16">
      <c r="M232" s="178"/>
      <c r="N232" s="178"/>
      <c r="O232" s="178"/>
      <c r="P232" s="178"/>
    </row>
    <row r="233" spans="13:16">
      <c r="M233" s="178"/>
      <c r="N233" s="178"/>
      <c r="O233" s="178"/>
      <c r="P233" s="178"/>
    </row>
    <row r="234" spans="13:16">
      <c r="M234" s="178"/>
      <c r="N234" s="178"/>
      <c r="O234" s="178"/>
      <c r="P234" s="178"/>
    </row>
    <row r="235" spans="13:16">
      <c r="M235" s="178"/>
      <c r="N235" s="178"/>
      <c r="O235" s="178"/>
      <c r="P235" s="178"/>
    </row>
    <row r="236" spans="13:16">
      <c r="M236" s="178"/>
      <c r="N236" s="178"/>
      <c r="O236" s="178"/>
      <c r="P236" s="178"/>
    </row>
    <row r="237" spans="13:16">
      <c r="M237" s="178"/>
      <c r="N237" s="178"/>
      <c r="O237" s="178"/>
      <c r="P237" s="178"/>
    </row>
    <row r="238" spans="13:16">
      <c r="M238" s="178"/>
      <c r="N238" s="178"/>
      <c r="O238" s="178"/>
      <c r="P238" s="178"/>
    </row>
    <row r="239" spans="13:16">
      <c r="M239" s="178"/>
      <c r="N239" s="178"/>
      <c r="O239" s="178"/>
      <c r="P239" s="178"/>
    </row>
    <row r="240" spans="13:16">
      <c r="M240" s="178"/>
      <c r="N240" s="178"/>
      <c r="O240" s="178"/>
      <c r="P240" s="178"/>
    </row>
    <row r="241" spans="13:16">
      <c r="M241" s="178"/>
      <c r="N241" s="178"/>
      <c r="O241" s="178"/>
      <c r="P241" s="178"/>
    </row>
    <row r="242" spans="13:16">
      <c r="M242" s="178"/>
      <c r="N242" s="178"/>
      <c r="O242" s="178"/>
      <c r="P242" s="178"/>
    </row>
    <row r="243" spans="13:16">
      <c r="M243" s="178"/>
      <c r="N243" s="178"/>
      <c r="O243" s="178"/>
      <c r="P243" s="178"/>
    </row>
    <row r="244" spans="13:16">
      <c r="M244" s="178"/>
      <c r="N244" s="178"/>
      <c r="O244" s="178"/>
      <c r="P244" s="178"/>
    </row>
    <row r="245" spans="13:16">
      <c r="M245" s="178"/>
      <c r="N245" s="178"/>
      <c r="O245" s="178"/>
      <c r="P245" s="178"/>
    </row>
    <row r="246" spans="13:16">
      <c r="M246" s="178"/>
      <c r="N246" s="178"/>
      <c r="O246" s="178"/>
      <c r="P246" s="178"/>
    </row>
    <row r="247" spans="13:16">
      <c r="M247" s="178"/>
      <c r="N247" s="178"/>
      <c r="O247" s="178"/>
      <c r="P247" s="178"/>
    </row>
    <row r="248" spans="13:16">
      <c r="M248" s="178"/>
      <c r="N248" s="178"/>
      <c r="O248" s="178"/>
      <c r="P248" s="178"/>
    </row>
    <row r="249" spans="13:16">
      <c r="M249" s="178"/>
      <c r="N249" s="178"/>
      <c r="O249" s="178"/>
      <c r="P249" s="178"/>
    </row>
    <row r="250" spans="13:16">
      <c r="M250" s="178"/>
      <c r="N250" s="178"/>
      <c r="O250" s="178"/>
      <c r="P250" s="178"/>
    </row>
    <row r="251" spans="13:16">
      <c r="M251" s="178"/>
      <c r="N251" s="178"/>
      <c r="O251" s="178"/>
      <c r="P251" s="178"/>
    </row>
    <row r="252" spans="13:16">
      <c r="M252" s="178"/>
      <c r="N252" s="178"/>
      <c r="O252" s="178"/>
      <c r="P252" s="178"/>
    </row>
    <row r="253" spans="13:16">
      <c r="M253" s="178"/>
      <c r="N253" s="178"/>
      <c r="O253" s="178"/>
      <c r="P253" s="178"/>
    </row>
    <row r="254" spans="13:16">
      <c r="M254" s="178"/>
      <c r="N254" s="178"/>
      <c r="O254" s="178"/>
      <c r="P254" s="178"/>
    </row>
    <row r="255" spans="13:16">
      <c r="M255" s="178"/>
      <c r="N255" s="178"/>
      <c r="O255" s="178"/>
      <c r="P255" s="178"/>
    </row>
    <row r="256" spans="13:16">
      <c r="M256" s="178"/>
      <c r="N256" s="178"/>
      <c r="O256" s="178"/>
      <c r="P256" s="178"/>
    </row>
    <row r="257" spans="13:16">
      <c r="M257" s="178"/>
      <c r="N257" s="178"/>
      <c r="O257" s="178"/>
      <c r="P257" s="178"/>
    </row>
    <row r="258" spans="13:16">
      <c r="M258" s="178"/>
      <c r="N258" s="178"/>
      <c r="O258" s="178"/>
      <c r="P258" s="178"/>
    </row>
    <row r="259" spans="13:16">
      <c r="M259" s="178"/>
      <c r="N259" s="178"/>
      <c r="O259" s="178"/>
      <c r="P259" s="178"/>
    </row>
    <row r="260" spans="13:16">
      <c r="M260" s="178"/>
      <c r="N260" s="178"/>
      <c r="O260" s="178"/>
      <c r="P260" s="178"/>
    </row>
    <row r="261" spans="13:16">
      <c r="M261" s="178"/>
      <c r="N261" s="178"/>
      <c r="O261" s="178"/>
      <c r="P261" s="178"/>
    </row>
    <row r="262" spans="13:16">
      <c r="M262" s="178"/>
      <c r="N262" s="178"/>
      <c r="O262" s="178"/>
      <c r="P262" s="178"/>
    </row>
    <row r="263" spans="13:16">
      <c r="M263" s="178"/>
      <c r="N263" s="178"/>
      <c r="O263" s="178"/>
      <c r="P263" s="178"/>
    </row>
    <row r="264" spans="13:16">
      <c r="M264" s="178"/>
      <c r="N264" s="178"/>
      <c r="O264" s="178"/>
      <c r="P264" s="178"/>
    </row>
    <row r="265" spans="13:16">
      <c r="M265" s="178"/>
      <c r="N265" s="178"/>
      <c r="O265" s="178"/>
      <c r="P265" s="178"/>
    </row>
    <row r="266" spans="13:16">
      <c r="M266" s="178"/>
      <c r="N266" s="178"/>
      <c r="O266" s="178"/>
      <c r="P266" s="178"/>
    </row>
    <row r="267" spans="13:16">
      <c r="M267" s="178"/>
      <c r="N267" s="178"/>
      <c r="O267" s="178"/>
      <c r="P267" s="178"/>
    </row>
    <row r="268" spans="13:16">
      <c r="M268" s="178"/>
      <c r="N268" s="178"/>
      <c r="O268" s="178"/>
      <c r="P268" s="178"/>
    </row>
    <row r="269" spans="13:16">
      <c r="M269" s="178"/>
      <c r="N269" s="178"/>
      <c r="O269" s="178"/>
      <c r="P269" s="178"/>
    </row>
    <row r="270" spans="13:16">
      <c r="M270" s="178"/>
      <c r="N270" s="178"/>
      <c r="O270" s="178"/>
      <c r="P270" s="178"/>
    </row>
    <row r="271" spans="13:16">
      <c r="M271" s="178"/>
      <c r="N271" s="178"/>
      <c r="O271" s="178"/>
      <c r="P271" s="178"/>
    </row>
    <row r="272" spans="13:16">
      <c r="M272" s="178"/>
      <c r="N272" s="178"/>
      <c r="O272" s="178"/>
      <c r="P272" s="178"/>
    </row>
    <row r="273" spans="13:16">
      <c r="M273" s="178"/>
      <c r="N273" s="178"/>
      <c r="O273" s="178"/>
      <c r="P273" s="178"/>
    </row>
    <row r="274" spans="13:16">
      <c r="M274" s="178"/>
      <c r="N274" s="178"/>
      <c r="O274" s="178"/>
      <c r="P274" s="178"/>
    </row>
    <row r="275" spans="13:16">
      <c r="M275" s="178"/>
      <c r="N275" s="178"/>
      <c r="O275" s="178"/>
      <c r="P275" s="178"/>
    </row>
    <row r="276" spans="13:16">
      <c r="M276" s="178"/>
      <c r="N276" s="178"/>
      <c r="O276" s="178"/>
      <c r="P276" s="178"/>
    </row>
    <row r="277" spans="13:16">
      <c r="M277" s="178"/>
      <c r="N277" s="178"/>
      <c r="O277" s="178"/>
      <c r="P277" s="178"/>
    </row>
    <row r="278" spans="13:16">
      <c r="M278" s="178"/>
      <c r="N278" s="178"/>
      <c r="O278" s="178"/>
      <c r="P278" s="178"/>
    </row>
    <row r="279" spans="13:16">
      <c r="M279" s="178"/>
      <c r="N279" s="178"/>
      <c r="O279" s="178"/>
      <c r="P279" s="178"/>
    </row>
    <row r="280" spans="13:16">
      <c r="M280" s="178"/>
      <c r="N280" s="178"/>
      <c r="O280" s="178"/>
      <c r="P280" s="178"/>
    </row>
    <row r="281" spans="13:16">
      <c r="M281" s="178"/>
      <c r="N281" s="178"/>
      <c r="O281" s="178"/>
      <c r="P281" s="178"/>
    </row>
    <row r="282" spans="13:16">
      <c r="M282" s="178"/>
      <c r="N282" s="178"/>
      <c r="O282" s="178"/>
      <c r="P282" s="178"/>
    </row>
    <row r="283" spans="13:16">
      <c r="M283" s="178"/>
      <c r="N283" s="178"/>
      <c r="O283" s="178"/>
      <c r="P283" s="178"/>
    </row>
    <row r="284" spans="13:16">
      <c r="M284" s="178"/>
      <c r="N284" s="178"/>
      <c r="O284" s="178"/>
      <c r="P284" s="178"/>
    </row>
    <row r="285" spans="13:16">
      <c r="M285" s="178"/>
      <c r="N285" s="178"/>
      <c r="O285" s="178"/>
      <c r="P285" s="178"/>
    </row>
    <row r="286" spans="13:16">
      <c r="M286" s="178"/>
      <c r="N286" s="178"/>
      <c r="O286" s="178"/>
      <c r="P286" s="178"/>
    </row>
    <row r="287" spans="13:16">
      <c r="M287" s="178"/>
      <c r="N287" s="178"/>
      <c r="O287" s="178"/>
      <c r="P287" s="178"/>
    </row>
    <row r="288" spans="13:16">
      <c r="M288" s="178"/>
      <c r="N288" s="178"/>
      <c r="O288" s="178"/>
      <c r="P288" s="178"/>
    </row>
    <row r="289" spans="13:16">
      <c r="M289" s="178"/>
      <c r="N289" s="178"/>
      <c r="O289" s="178"/>
      <c r="P289" s="178"/>
    </row>
    <row r="290" spans="13:16">
      <c r="M290" s="178"/>
      <c r="N290" s="178"/>
      <c r="O290" s="178"/>
      <c r="P290" s="178"/>
    </row>
    <row r="291" spans="13:16">
      <c r="M291" s="178"/>
      <c r="N291" s="178"/>
      <c r="O291" s="178"/>
      <c r="P291" s="178"/>
    </row>
    <row r="292" spans="13:16">
      <c r="M292" s="178"/>
      <c r="N292" s="178"/>
      <c r="O292" s="178"/>
      <c r="P292" s="178"/>
    </row>
    <row r="293" spans="13:16">
      <c r="M293" s="178"/>
      <c r="N293" s="178"/>
      <c r="O293" s="178"/>
      <c r="P293" s="178"/>
    </row>
    <row r="294" spans="13:16">
      <c r="M294" s="178"/>
      <c r="N294" s="178"/>
      <c r="O294" s="178"/>
      <c r="P294" s="178"/>
    </row>
    <row r="295" spans="13:16">
      <c r="M295" s="178"/>
      <c r="N295" s="178"/>
      <c r="O295" s="178"/>
      <c r="P295" s="178"/>
    </row>
    <row r="296" spans="13:16">
      <c r="M296" s="178"/>
      <c r="N296" s="178"/>
      <c r="O296" s="178"/>
      <c r="P296" s="178"/>
    </row>
    <row r="297" spans="13:16">
      <c r="M297" s="178"/>
      <c r="N297" s="178"/>
      <c r="O297" s="178"/>
      <c r="P297" s="178"/>
    </row>
  </sheetData>
  <sheetProtection password="CAF5" sheet="1" objects="1" scenarios="1"/>
  <mergeCells count="9">
    <mergeCell ref="E8:E9"/>
    <mergeCell ref="C7:F7"/>
    <mergeCell ref="A1:P1"/>
    <mergeCell ref="A3:P3"/>
    <mergeCell ref="A4:P4"/>
    <mergeCell ref="H7:I7"/>
    <mergeCell ref="M6:P6"/>
    <mergeCell ref="M7:P7"/>
    <mergeCell ref="C6:J6"/>
  </mergeCells>
  <phoneticPr fontId="0" type="noConversion"/>
  <printOptions horizontalCentered="1"/>
  <pageMargins left="0.47" right="0.59" top="0.83" bottom="1" header="0.67" footer="0.5"/>
  <pageSetup scale="75" orientation="landscape" r:id="rId1"/>
  <headerFooter alignWithMargins="0">
    <oddFooter>&amp;L&amp;"Arial,Italic"&amp;9MSDE - LFRO  12 / 2014&amp;C- 6 -&amp;R&amp;"Arial,Italic"&amp;9Selected Financial Data-Part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Normal="100" workbookViewId="0">
      <selection sqref="A1:I1"/>
    </sheetView>
  </sheetViews>
  <sheetFormatPr defaultRowHeight="12.75"/>
  <cols>
    <col min="1" max="1" width="14.42578125" style="127" customWidth="1"/>
    <col min="2" max="2" width="18.85546875" style="230" customWidth="1"/>
    <col min="3" max="3" width="19.42578125" style="214" customWidth="1"/>
    <col min="4" max="4" width="18.140625" style="230" customWidth="1"/>
    <col min="5" max="5" width="15.28515625" style="214" customWidth="1"/>
    <col min="6" max="7" width="16.28515625" style="230" customWidth="1"/>
    <col min="8" max="8" width="14.85546875" style="230" customWidth="1"/>
    <col min="9" max="9" width="16.28515625" style="230" customWidth="1"/>
    <col min="11" max="11" width="12.5703125" bestFit="1" customWidth="1"/>
    <col min="12" max="13" width="14.28515625" bestFit="1" customWidth="1"/>
    <col min="14" max="14" width="15.140625" customWidth="1"/>
    <col min="15" max="15" width="16.28515625" bestFit="1" customWidth="1"/>
    <col min="16" max="16" width="16" bestFit="1" customWidth="1"/>
    <col min="17" max="17" width="14" bestFit="1" customWidth="1"/>
    <col min="18" max="18" width="17.85546875" customWidth="1"/>
    <col min="20" max="20" width="15.28515625" bestFit="1" customWidth="1"/>
    <col min="21" max="21" width="14.28515625" bestFit="1" customWidth="1"/>
    <col min="23" max="23" width="11.28515625" bestFit="1" customWidth="1"/>
    <col min="24" max="24" width="11.7109375" bestFit="1" customWidth="1"/>
    <col min="27" max="27" width="12.28515625" bestFit="1" customWidth="1"/>
    <col min="28" max="28" width="12.5703125" bestFit="1" customWidth="1"/>
    <col min="30" max="30" width="12.7109375" bestFit="1" customWidth="1"/>
    <col min="31" max="31" width="15.28515625" bestFit="1" customWidth="1"/>
    <col min="33" max="33" width="15" bestFit="1" customWidth="1"/>
    <col min="35" max="35" width="14.28515625" bestFit="1" customWidth="1"/>
    <col min="36" max="36" width="12.28515625" bestFit="1" customWidth="1"/>
    <col min="37" max="37" width="16.42578125" bestFit="1" customWidth="1"/>
  </cols>
  <sheetData>
    <row r="1" spans="1:9">
      <c r="A1" s="461" t="s">
        <v>42</v>
      </c>
      <c r="B1" s="461"/>
      <c r="C1" s="461"/>
      <c r="D1" s="461"/>
      <c r="E1" s="461"/>
      <c r="F1" s="461"/>
      <c r="G1" s="461"/>
      <c r="H1" s="461"/>
      <c r="I1" s="461"/>
    </row>
    <row r="2" spans="1:9">
      <c r="A2" s="23"/>
      <c r="B2" s="205"/>
    </row>
    <row r="3" spans="1:9">
      <c r="A3" s="483" t="s">
        <v>266</v>
      </c>
      <c r="B3" s="484"/>
      <c r="C3" s="484"/>
      <c r="D3" s="484"/>
      <c r="E3" s="484"/>
      <c r="F3" s="484"/>
      <c r="G3" s="484"/>
      <c r="H3" s="484"/>
      <c r="I3" s="484"/>
    </row>
    <row r="4" spans="1:9" ht="13.5" thickBot="1">
      <c r="A4" s="23"/>
      <c r="D4" s="235"/>
      <c r="E4" s="254"/>
      <c r="F4" s="235"/>
      <c r="G4" s="235"/>
      <c r="H4" s="235"/>
      <c r="I4" s="235"/>
    </row>
    <row r="5" spans="1:9" ht="15" customHeight="1" thickTop="1">
      <c r="A5" s="99"/>
      <c r="B5" s="255"/>
      <c r="C5" s="256"/>
      <c r="D5" s="485" t="s">
        <v>46</v>
      </c>
      <c r="E5" s="485"/>
      <c r="F5" s="485"/>
      <c r="G5" s="485"/>
      <c r="H5" s="485"/>
      <c r="I5" s="485"/>
    </row>
    <row r="6" spans="1:9" ht="12.75" customHeight="1">
      <c r="A6" s="32"/>
      <c r="B6" s="257"/>
      <c r="C6" s="258" t="s">
        <v>43</v>
      </c>
      <c r="D6" s="231"/>
      <c r="E6" s="244"/>
      <c r="F6" s="226"/>
      <c r="G6" s="226"/>
      <c r="H6" s="488" t="s">
        <v>203</v>
      </c>
      <c r="I6" s="486" t="s">
        <v>153</v>
      </c>
    </row>
    <row r="7" spans="1:9">
      <c r="A7" s="32" t="s">
        <v>77</v>
      </c>
      <c r="B7" s="226" t="s">
        <v>43</v>
      </c>
      <c r="C7" s="258" t="s">
        <v>49</v>
      </c>
      <c r="D7" s="488" t="s">
        <v>163</v>
      </c>
      <c r="E7" s="488" t="s">
        <v>226</v>
      </c>
      <c r="F7" s="488" t="s">
        <v>227</v>
      </c>
      <c r="G7" s="282"/>
      <c r="H7" s="488"/>
      <c r="I7" s="486"/>
    </row>
    <row r="8" spans="1:9" ht="12.75" customHeight="1">
      <c r="A8" s="32" t="s">
        <v>33</v>
      </c>
      <c r="B8" s="259" t="s">
        <v>44</v>
      </c>
      <c r="C8" s="258" t="s">
        <v>50</v>
      </c>
      <c r="D8" s="490"/>
      <c r="E8" s="490"/>
      <c r="F8" s="490"/>
      <c r="G8" s="490" t="s">
        <v>232</v>
      </c>
      <c r="H8" s="488"/>
      <c r="I8" s="486"/>
    </row>
    <row r="9" spans="1:9" ht="13.5" thickBot="1">
      <c r="A9" s="52" t="s">
        <v>132</v>
      </c>
      <c r="B9" s="260" t="s">
        <v>45</v>
      </c>
      <c r="C9" s="261" t="s">
        <v>48</v>
      </c>
      <c r="D9" s="491"/>
      <c r="E9" s="491"/>
      <c r="F9" s="491"/>
      <c r="G9" s="492"/>
      <c r="H9" s="489"/>
      <c r="I9" s="487"/>
    </row>
    <row r="10" spans="1:9">
      <c r="A10" s="32" t="s">
        <v>0</v>
      </c>
      <c r="B10" s="262">
        <f t="shared" ref="B10:H10" si="0">SUM(B12:B39)</f>
        <v>6017134672.4399986</v>
      </c>
      <c r="C10" s="262">
        <f t="shared" si="0"/>
        <v>5737465242.2700005</v>
      </c>
      <c r="D10" s="394">
        <f t="shared" si="0"/>
        <v>2880248890.3499999</v>
      </c>
      <c r="E10" s="263">
        <f t="shared" si="0"/>
        <v>50063544</v>
      </c>
      <c r="F10" s="263">
        <f t="shared" si="0"/>
        <v>3426062.42</v>
      </c>
      <c r="G10" s="263">
        <f t="shared" si="0"/>
        <v>18310933</v>
      </c>
      <c r="H10" s="262">
        <f t="shared" si="0"/>
        <v>1083838457</v>
      </c>
      <c r="I10" s="273">
        <f>SUM(I12:I39)</f>
        <v>848816769</v>
      </c>
    </row>
    <row r="11" spans="1:9">
      <c r="A11" s="32"/>
      <c r="B11" s="264"/>
      <c r="D11" s="265"/>
      <c r="E11" s="258"/>
      <c r="F11" s="265"/>
      <c r="G11" s="265"/>
      <c r="H11" s="265"/>
      <c r="I11" s="273"/>
    </row>
    <row r="12" spans="1:9">
      <c r="A12" s="23" t="s">
        <v>1</v>
      </c>
      <c r="B12" s="205">
        <f>+C12+state5!B11+state5!F11+state5!J11</f>
        <v>89287115.699999988</v>
      </c>
      <c r="C12" s="214">
        <f>SUM(D12:I12)+SUM(state2!B12:I12)+SUM(state3!B13:I13)+SUM(state4!B13:F13)</f>
        <v>87570581.589999989</v>
      </c>
      <c r="D12" s="129">
        <v>40601342</v>
      </c>
      <c r="E12" s="331">
        <v>4688837</v>
      </c>
      <c r="F12" s="331">
        <v>0</v>
      </c>
      <c r="G12" s="331">
        <v>0</v>
      </c>
      <c r="H12" s="129">
        <v>20560707</v>
      </c>
      <c r="I12" s="129">
        <v>9168043</v>
      </c>
    </row>
    <row r="13" spans="1:9">
      <c r="A13" s="127" t="s">
        <v>2</v>
      </c>
      <c r="B13" s="205">
        <f>+C13+state5!B12+state5!F12+state5!J12</f>
        <v>406093803.69</v>
      </c>
      <c r="C13" s="214">
        <f>SUM(D13:I13)+SUM(state2!B13:I13)+SUM(state3!B14:I14)+SUM(state4!B14:F14)</f>
        <v>371878056.69</v>
      </c>
      <c r="D13" s="129">
        <v>195466045</v>
      </c>
      <c r="E13" s="357">
        <v>0</v>
      </c>
      <c r="F13" s="331">
        <v>0</v>
      </c>
      <c r="G13" s="357">
        <v>0</v>
      </c>
      <c r="H13" s="129">
        <v>52263712</v>
      </c>
      <c r="I13" s="129">
        <v>70640804</v>
      </c>
    </row>
    <row r="14" spans="1:9">
      <c r="A14" s="127" t="s">
        <v>3</v>
      </c>
      <c r="B14" s="205">
        <f>+C14+state5!B13+state5!F13+state5!J13</f>
        <v>989582101.72000003</v>
      </c>
      <c r="C14" s="214">
        <f>SUM(D14:I14)+SUM(state2!B14:I14)+SUM(state3!B15:I15)+SUM(state4!B15:F15)</f>
        <v>948134137.42000008</v>
      </c>
      <c r="D14" s="129">
        <v>386062340.13999999</v>
      </c>
      <c r="E14" s="331">
        <v>33682310</v>
      </c>
      <c r="F14" s="357">
        <v>0</v>
      </c>
      <c r="G14" s="375">
        <v>18310933</v>
      </c>
      <c r="H14" s="129">
        <v>312098809</v>
      </c>
      <c r="I14" s="129">
        <v>79330875</v>
      </c>
    </row>
    <row r="15" spans="1:9">
      <c r="A15" s="127" t="s">
        <v>4</v>
      </c>
      <c r="B15" s="205">
        <f>+C15+state5!B14+state5!F14+state5!J14</f>
        <v>680037359.90999997</v>
      </c>
      <c r="C15" s="214">
        <f>SUM(D15:I15)+SUM(state2!B15:I15)+SUM(state3!B16:I16)+SUM(state4!B16:F16)</f>
        <v>637170152.90999997</v>
      </c>
      <c r="D15" s="129">
        <v>330486886</v>
      </c>
      <c r="E15" s="357">
        <v>0</v>
      </c>
      <c r="F15" s="357">
        <v>0</v>
      </c>
      <c r="G15" s="357">
        <v>0</v>
      </c>
      <c r="H15" s="129">
        <v>112836075</v>
      </c>
      <c r="I15" s="129">
        <v>96083471</v>
      </c>
    </row>
    <row r="16" spans="1:9">
      <c r="A16" s="127" t="s">
        <v>5</v>
      </c>
      <c r="B16" s="205">
        <f>+C16+state5!B15+state5!F15+state5!J15</f>
        <v>106813121.66</v>
      </c>
      <c r="C16" s="214">
        <f>SUM(D16:I16)+SUM(state2!B16:I16)+SUM(state3!B17:I17)+SUM(state4!B17:F17)</f>
        <v>99895068.659999996</v>
      </c>
      <c r="D16" s="129">
        <v>60923942</v>
      </c>
      <c r="E16" s="357">
        <v>0</v>
      </c>
      <c r="F16" s="357">
        <v>0</v>
      </c>
      <c r="G16" s="357">
        <v>0</v>
      </c>
      <c r="H16" s="129">
        <v>10029002</v>
      </c>
      <c r="I16" s="129">
        <v>17001209</v>
      </c>
    </row>
    <row r="17" spans="1:9">
      <c r="B17" s="205"/>
      <c r="D17" s="337"/>
      <c r="E17" s="347"/>
      <c r="F17" s="375"/>
      <c r="G17" s="343"/>
      <c r="H17" s="362"/>
      <c r="I17" s="129"/>
    </row>
    <row r="18" spans="1:9">
      <c r="A18" s="127" t="s">
        <v>6</v>
      </c>
      <c r="B18" s="205">
        <f>+C18+state5!B17+state5!F17+state5!J17</f>
        <v>47630956.390000001</v>
      </c>
      <c r="C18" s="214">
        <f>SUM(D18:I18)+SUM(state2!B18:I18)+SUM(state3!B19:I19)+SUM(state4!B19:F19)</f>
        <v>47367038.920000002</v>
      </c>
      <c r="D18" s="129">
        <v>23503618</v>
      </c>
      <c r="E18" s="331">
        <v>324172</v>
      </c>
      <c r="F18" s="357">
        <v>0</v>
      </c>
      <c r="G18" s="346">
        <v>0</v>
      </c>
      <c r="H18" s="129">
        <v>11382371</v>
      </c>
      <c r="I18" s="129">
        <v>4865665</v>
      </c>
    </row>
    <row r="19" spans="1:9">
      <c r="A19" s="127" t="s">
        <v>7</v>
      </c>
      <c r="B19" s="205">
        <f>+C19+state5!B18+state5!F18+state5!J18</f>
        <v>181250336.15999997</v>
      </c>
      <c r="C19" s="214">
        <f>SUM(D19:I19)+SUM(state2!B19:I19)+SUM(state3!B20:I20)+SUM(state4!B20:F20)</f>
        <v>164639872.33999997</v>
      </c>
      <c r="D19" s="129">
        <v>104800500</v>
      </c>
      <c r="E19" s="357">
        <v>0</v>
      </c>
      <c r="F19" s="357">
        <v>0</v>
      </c>
      <c r="G19" s="331">
        <v>0</v>
      </c>
      <c r="H19" s="129">
        <v>12728285</v>
      </c>
      <c r="I19" s="129">
        <v>25068873</v>
      </c>
    </row>
    <row r="20" spans="1:9">
      <c r="A20" s="127" t="s">
        <v>8</v>
      </c>
      <c r="B20" s="205">
        <f>+C20+state5!B19+state5!F19+state5!J19</f>
        <v>115031169.87</v>
      </c>
      <c r="C20" s="214">
        <f>SUM(D20:I20)+SUM(state2!B20:I20)+SUM(state3!B21:I21)+SUM(state4!B21:F21)</f>
        <v>112297619.27</v>
      </c>
      <c r="D20" s="129">
        <v>62641687</v>
      </c>
      <c r="E20" s="331">
        <v>746785</v>
      </c>
      <c r="F20" s="357">
        <v>0</v>
      </c>
      <c r="G20" s="346">
        <v>0</v>
      </c>
      <c r="H20" s="129">
        <v>19997083</v>
      </c>
      <c r="I20" s="129">
        <v>15000723</v>
      </c>
    </row>
    <row r="21" spans="1:9">
      <c r="A21" s="127" t="s">
        <v>9</v>
      </c>
      <c r="B21" s="205">
        <f>+C21+state5!B20+state5!F20+state5!J20</f>
        <v>183121568.58999997</v>
      </c>
      <c r="C21" s="214">
        <f>SUM(D21:I21)+SUM(state2!B21:I21)+SUM(state3!B22:I22)+SUM(state4!B22:F22)</f>
        <v>179795434.13999999</v>
      </c>
      <c r="D21" s="129">
        <v>108843921</v>
      </c>
      <c r="E21" s="331">
        <v>1362352</v>
      </c>
      <c r="F21" s="357">
        <v>0</v>
      </c>
      <c r="G21" s="357">
        <v>0</v>
      </c>
      <c r="H21" s="129">
        <v>25069116</v>
      </c>
      <c r="I21" s="129">
        <v>24590849</v>
      </c>
    </row>
    <row r="22" spans="1:9">
      <c r="A22" s="127" t="s">
        <v>10</v>
      </c>
      <c r="B22" s="205">
        <f>+C22+state5!B21+state5!F21+state5!J21</f>
        <v>38402112.039999999</v>
      </c>
      <c r="C22" s="214">
        <f>SUM(D22:I22)+SUM(state2!B22:I22)+SUM(state3!B23:I23)+SUM(state4!B23:F23)</f>
        <v>35596137.039999999</v>
      </c>
      <c r="D22" s="129">
        <v>17312413</v>
      </c>
      <c r="E22" s="331">
        <v>0</v>
      </c>
      <c r="F22" s="357">
        <v>0</v>
      </c>
      <c r="G22" s="331">
        <v>0</v>
      </c>
      <c r="H22" s="129">
        <v>8481366</v>
      </c>
      <c r="I22" s="129">
        <v>4168043</v>
      </c>
    </row>
    <row r="23" spans="1:9">
      <c r="A23" s="193"/>
      <c r="B23" s="205"/>
      <c r="D23" s="337"/>
      <c r="E23" s="347"/>
      <c r="F23" s="375"/>
      <c r="G23" s="343"/>
      <c r="H23" s="362"/>
      <c r="I23" s="129"/>
    </row>
    <row r="24" spans="1:9">
      <c r="A24" s="127" t="s">
        <v>11</v>
      </c>
      <c r="B24" s="457">
        <f>+C24+state5!B23+state5!F23+state5!J23</f>
        <v>272941050.51999998</v>
      </c>
      <c r="C24" s="214">
        <f>SUM(D24:I24)+SUM(state2!B24:I24)+SUM(state3!B25:I25)+SUM(state4!B25:F25)</f>
        <v>254903792.97999999</v>
      </c>
      <c r="D24" s="129">
        <v>154089207.5</v>
      </c>
      <c r="E24" s="357">
        <v>0</v>
      </c>
      <c r="F24" s="129">
        <v>3145885.5</v>
      </c>
      <c r="G24" s="357">
        <v>0</v>
      </c>
      <c r="H24" s="129">
        <v>27649045</v>
      </c>
      <c r="I24" s="129">
        <v>36705953</v>
      </c>
    </row>
    <row r="25" spans="1:9">
      <c r="A25" s="127" t="s">
        <v>12</v>
      </c>
      <c r="B25" s="205">
        <f>+C25+state5!B24+state5!F24+state5!J24</f>
        <v>27155996.18</v>
      </c>
      <c r="C25" s="214">
        <f>SUM(D25:I25)+SUM(state2!B25:I25)+SUM(state3!B26:I26)+SUM(state4!B26:F26)</f>
        <v>27043473.18</v>
      </c>
      <c r="D25" s="129">
        <v>12192603</v>
      </c>
      <c r="E25" s="357">
        <v>0</v>
      </c>
      <c r="F25" s="357">
        <v>0</v>
      </c>
      <c r="G25" s="357">
        <v>0</v>
      </c>
      <c r="H25" s="129">
        <v>4795170</v>
      </c>
      <c r="I25" s="129">
        <v>4236169</v>
      </c>
    </row>
    <row r="26" spans="1:9">
      <c r="A26" s="127" t="s">
        <v>13</v>
      </c>
      <c r="B26" s="205">
        <f>+C26+state5!B25+state5!F25+state5!J25</f>
        <v>260858786.14000002</v>
      </c>
      <c r="C26" s="214">
        <f>SUM(D26:I26)+SUM(state2!B26:I26)+SUM(state3!B27:I27)+SUM(state4!B27:F27)</f>
        <v>244921213.14000002</v>
      </c>
      <c r="D26" s="129">
        <v>143324917</v>
      </c>
      <c r="E26" s="357">
        <v>0</v>
      </c>
      <c r="F26" s="331">
        <v>0</v>
      </c>
      <c r="G26" s="357">
        <v>0</v>
      </c>
      <c r="H26" s="129">
        <v>31766354</v>
      </c>
      <c r="I26" s="129">
        <v>34103246</v>
      </c>
    </row>
    <row r="27" spans="1:9">
      <c r="A27" s="127" t="s">
        <v>14</v>
      </c>
      <c r="B27" s="205">
        <f>+C27+state5!B26+state5!F26+state5!J26</f>
        <v>283358483.19</v>
      </c>
      <c r="C27" s="214">
        <f>SUM(D27:I27)+SUM(state2!B27:I27)+SUM(state3!B28:I28)+SUM(state4!B28:F28)</f>
        <v>273694565.19</v>
      </c>
      <c r="D27" s="129">
        <v>158444462</v>
      </c>
      <c r="E27" s="357">
        <v>0</v>
      </c>
      <c r="F27" s="441">
        <v>280176.92</v>
      </c>
      <c r="G27" s="357">
        <v>0</v>
      </c>
      <c r="H27" s="129">
        <v>20617151</v>
      </c>
      <c r="I27" s="129">
        <v>59463535</v>
      </c>
    </row>
    <row r="28" spans="1:9">
      <c r="A28" s="127" t="s">
        <v>15</v>
      </c>
      <c r="B28" s="205">
        <f>+C28+state5!B27+state5!F27+state5!J27</f>
        <v>11959334.379999999</v>
      </c>
      <c r="C28" s="214">
        <f>SUM(D28:I28)+SUM(state2!B28:I28)+SUM(state3!B29:I29)+SUM(state4!B29:F29)</f>
        <v>11869848.379999999</v>
      </c>
      <c r="D28" s="129">
        <v>4161019</v>
      </c>
      <c r="E28" s="357">
        <v>0</v>
      </c>
      <c r="F28" s="357">
        <v>0</v>
      </c>
      <c r="G28" s="357">
        <v>0</v>
      </c>
      <c r="H28" s="129">
        <v>2543050</v>
      </c>
      <c r="I28" s="129">
        <v>2310259</v>
      </c>
    </row>
    <row r="29" spans="1:9">
      <c r="B29" s="205"/>
      <c r="D29" s="337"/>
      <c r="E29" s="358"/>
      <c r="F29" s="375"/>
      <c r="G29" s="375"/>
      <c r="H29" s="362"/>
      <c r="I29" s="129"/>
    </row>
    <row r="30" spans="1:9">
      <c r="A30" s="127" t="s">
        <v>16</v>
      </c>
      <c r="B30" s="205">
        <f>+C30+state5!B29+state5!F29+state5!J29</f>
        <v>765469261.58000004</v>
      </c>
      <c r="C30" s="214">
        <f>SUM(D30:I30)+SUM(state2!B30:I30)+SUM(state3!B31:I31)+SUM(state4!B31:F31)</f>
        <v>731494642.58000004</v>
      </c>
      <c r="D30" s="129">
        <v>322004976</v>
      </c>
      <c r="E30" s="357">
        <v>0</v>
      </c>
      <c r="F30" s="357">
        <v>0</v>
      </c>
      <c r="G30" s="357">
        <v>0</v>
      </c>
      <c r="H30" s="129">
        <v>106595114</v>
      </c>
      <c r="I30" s="129">
        <v>171195425</v>
      </c>
    </row>
    <row r="31" spans="1:9">
      <c r="A31" s="127" t="s">
        <v>17</v>
      </c>
      <c r="B31" s="205">
        <f>+C31+state5!B30+state5!F30+state5!J30</f>
        <v>1024244825.73</v>
      </c>
      <c r="C31" s="214">
        <f>SUM(D31:I31)+SUM(state2!B31:I31)+SUM(state3!B32:I32)+SUM(state4!B32:F32)</f>
        <v>995278037.73000002</v>
      </c>
      <c r="D31" s="129">
        <v>493279474.70999998</v>
      </c>
      <c r="E31" s="331">
        <v>0</v>
      </c>
      <c r="F31" s="357">
        <v>0</v>
      </c>
      <c r="G31" s="331">
        <v>0</v>
      </c>
      <c r="H31" s="129">
        <v>199370110</v>
      </c>
      <c r="I31" s="129">
        <v>125208358</v>
      </c>
    </row>
    <row r="32" spans="1:9">
      <c r="A32" s="127" t="s">
        <v>18</v>
      </c>
      <c r="B32" s="205">
        <f>+C32+state5!B31+state5!F31+state5!J31</f>
        <v>44060222.189999998</v>
      </c>
      <c r="C32" s="214">
        <f>SUM(D32:I32)+SUM(state2!B32:I32)+SUM(state3!B33:I33)+SUM(state4!B33:F33)</f>
        <v>38231649.129999995</v>
      </c>
      <c r="D32" s="129">
        <v>20778308</v>
      </c>
      <c r="E32" s="357">
        <v>0</v>
      </c>
      <c r="F32" s="357">
        <v>0</v>
      </c>
      <c r="G32" s="357">
        <v>0</v>
      </c>
      <c r="H32" s="129">
        <v>4254869</v>
      </c>
      <c r="I32" s="129">
        <v>6793968</v>
      </c>
    </row>
    <row r="33" spans="1:9">
      <c r="A33" s="127" t="s">
        <v>19</v>
      </c>
      <c r="B33" s="205">
        <f>+C33+state5!B32+state5!F32+state5!J32</f>
        <v>109455668.96000001</v>
      </c>
      <c r="C33" s="214">
        <f>SUM(D33:I33)+SUM(state2!B33:I33)+SUM(state3!B34:I34)+SUM(state4!B34:F34)</f>
        <v>106972659.71000001</v>
      </c>
      <c r="D33" s="129">
        <v>61754192</v>
      </c>
      <c r="E33" s="331">
        <v>0</v>
      </c>
      <c r="F33" s="357">
        <v>0</v>
      </c>
      <c r="G33" s="331">
        <v>0</v>
      </c>
      <c r="H33" s="129">
        <v>14175131</v>
      </c>
      <c r="I33" s="129">
        <v>14905956</v>
      </c>
    </row>
    <row r="34" spans="1:9">
      <c r="A34" s="127" t="s">
        <v>20</v>
      </c>
      <c r="B34" s="205">
        <f>+C34+state5!B33+state5!F33+state5!J33</f>
        <v>29751622.59</v>
      </c>
      <c r="C34" s="214">
        <f>SUM(D34:I34)+SUM(state2!B34:I34)+SUM(state3!B35:I35)+SUM(state4!B35:F35)</f>
        <v>26495948.100000001</v>
      </c>
      <c r="D34" s="129">
        <v>12029847</v>
      </c>
      <c r="E34" s="331">
        <v>538480</v>
      </c>
      <c r="F34" s="357">
        <v>0</v>
      </c>
      <c r="G34" s="357">
        <v>0</v>
      </c>
      <c r="H34" s="129">
        <v>7236226</v>
      </c>
      <c r="I34" s="129">
        <v>2955532</v>
      </c>
    </row>
    <row r="35" spans="1:9">
      <c r="B35" s="207"/>
      <c r="D35" s="337"/>
      <c r="E35" s="358"/>
      <c r="F35" s="376"/>
      <c r="G35" s="376"/>
      <c r="H35" s="362"/>
      <c r="I35" s="129"/>
    </row>
    <row r="36" spans="1:9">
      <c r="A36" s="127" t="s">
        <v>21</v>
      </c>
      <c r="B36" s="205">
        <f>+C36+state5!B35+state5!F35+state5!J35</f>
        <v>15562956.879999999</v>
      </c>
      <c r="C36" s="214">
        <f>SUM(D36:I36)+SUM(state2!B36:I36)+SUM(state3!B37:I37)+SUM(state4!B37:F37)</f>
        <v>15220460.1</v>
      </c>
      <c r="D36" s="129">
        <v>4267847</v>
      </c>
      <c r="E36" s="357">
        <v>0</v>
      </c>
      <c r="F36" s="377">
        <v>0</v>
      </c>
      <c r="G36" s="377">
        <v>0</v>
      </c>
      <c r="H36" s="129">
        <v>3867826</v>
      </c>
      <c r="I36" s="129">
        <v>3882631</v>
      </c>
    </row>
    <row r="37" spans="1:9">
      <c r="A37" s="127" t="s">
        <v>22</v>
      </c>
      <c r="B37" s="205">
        <f>+C37+state5!B36+state5!F36+state5!J36</f>
        <v>176731740.92000002</v>
      </c>
      <c r="C37" s="214">
        <f>SUM(D37:I37)+SUM(state2!B37:I37)+SUM(state3!B38:I38)+SUM(state4!B38:F38)</f>
        <v>172386736.42000002</v>
      </c>
      <c r="D37" s="129">
        <v>93025120</v>
      </c>
      <c r="E37" s="129">
        <v>4421130</v>
      </c>
      <c r="F37" s="377">
        <v>0</v>
      </c>
      <c r="G37" s="377">
        <v>0</v>
      </c>
      <c r="H37" s="129">
        <v>36798614</v>
      </c>
      <c r="I37" s="129">
        <v>19374937</v>
      </c>
    </row>
    <row r="38" spans="1:9">
      <c r="A38" s="127" t="s">
        <v>23</v>
      </c>
      <c r="B38" s="205">
        <f>+C38+state5!B37+state5!F37+state5!J37</f>
        <v>131566353.19</v>
      </c>
      <c r="C38" s="214">
        <f>SUM(D38:I38)+SUM(state2!B38:I38)+SUM(state3!B39:I39)+SUM(state4!B39:F39)</f>
        <v>128195380.40000001</v>
      </c>
      <c r="D38" s="129">
        <v>63924711</v>
      </c>
      <c r="E38" s="331">
        <v>4299478</v>
      </c>
      <c r="F38" s="377">
        <v>0</v>
      </c>
      <c r="G38" s="377">
        <v>0</v>
      </c>
      <c r="H38" s="129">
        <v>31940937</v>
      </c>
      <c r="I38" s="130">
        <v>13945688</v>
      </c>
    </row>
    <row r="39" spans="1:9">
      <c r="A39" s="128" t="s">
        <v>24</v>
      </c>
      <c r="B39" s="208">
        <f>+C39+state5!B38+state5!F38+state5!J38</f>
        <v>26768724.260000002</v>
      </c>
      <c r="C39" s="215">
        <f>SUM(D39:I39)+SUM(state2!B39:I39)+SUM(state3!B40:I40)+SUM(state4!B40:F40)</f>
        <v>26412736.25</v>
      </c>
      <c r="D39" s="131">
        <v>6329512</v>
      </c>
      <c r="E39" s="359">
        <v>0</v>
      </c>
      <c r="F39" s="378">
        <v>0</v>
      </c>
      <c r="G39" s="378">
        <v>0</v>
      </c>
      <c r="H39" s="131">
        <v>6782334</v>
      </c>
      <c r="I39" s="131">
        <v>7816557</v>
      </c>
    </row>
    <row r="40" spans="1:9">
      <c r="H40" s="266"/>
      <c r="I40" s="211"/>
    </row>
    <row r="41" spans="1:9">
      <c r="B41" s="267"/>
      <c r="C41" s="288"/>
      <c r="D41" s="286"/>
      <c r="E41" s="286"/>
      <c r="F41" s="289"/>
      <c r="G41" s="289"/>
      <c r="H41" s="289"/>
      <c r="I41" s="211"/>
    </row>
    <row r="42" spans="1:9">
      <c r="D42" s="231"/>
      <c r="H42" s="266"/>
      <c r="I42" s="211"/>
    </row>
    <row r="43" spans="1:9">
      <c r="D43" s="231"/>
      <c r="H43" s="266"/>
      <c r="I43" s="211"/>
    </row>
    <row r="44" spans="1:9">
      <c r="H44" s="266"/>
      <c r="I44" s="211"/>
    </row>
    <row r="45" spans="1:9">
      <c r="H45" s="266"/>
      <c r="I45" s="211"/>
    </row>
    <row r="46" spans="1:9">
      <c r="D46" s="286"/>
      <c r="H46" s="266"/>
      <c r="I46" s="211"/>
    </row>
    <row r="47" spans="1:9">
      <c r="H47" s="268"/>
      <c r="I47" s="211"/>
    </row>
    <row r="48" spans="1:9">
      <c r="H48" s="266"/>
      <c r="I48" s="211"/>
    </row>
    <row r="49" spans="8:9">
      <c r="H49" s="266"/>
      <c r="I49" s="211"/>
    </row>
    <row r="50" spans="8:9">
      <c r="H50" s="266"/>
      <c r="I50" s="211"/>
    </row>
    <row r="51" spans="8:9">
      <c r="H51" s="266"/>
      <c r="I51" s="211"/>
    </row>
    <row r="52" spans="8:9">
      <c r="H52" s="266"/>
      <c r="I52" s="211"/>
    </row>
    <row r="53" spans="8:9">
      <c r="H53" s="266"/>
      <c r="I53" s="211"/>
    </row>
    <row r="54" spans="8:9">
      <c r="H54" s="268"/>
      <c r="I54" s="211"/>
    </row>
    <row r="55" spans="8:9">
      <c r="I55" s="211"/>
    </row>
    <row r="56" spans="8:9">
      <c r="I56" s="211"/>
    </row>
    <row r="57" spans="8:9">
      <c r="I57" s="211"/>
    </row>
    <row r="58" spans="8:9">
      <c r="I58" s="211"/>
    </row>
    <row r="59" spans="8:9">
      <c r="I59" s="211"/>
    </row>
    <row r="60" spans="8:9">
      <c r="I60" s="211"/>
    </row>
  </sheetData>
  <sheetProtection password="CAF5" sheet="1" objects="1" scenarios="1"/>
  <mergeCells count="9">
    <mergeCell ref="A1:I1"/>
    <mergeCell ref="A3:I3"/>
    <mergeCell ref="D5:I5"/>
    <mergeCell ref="I6:I9"/>
    <mergeCell ref="H6:H9"/>
    <mergeCell ref="D7:D9"/>
    <mergeCell ref="E7:E9"/>
    <mergeCell ref="F7:F9"/>
    <mergeCell ref="G8:G9"/>
  </mergeCells>
  <phoneticPr fontId="0" type="noConversion"/>
  <printOptions horizontalCentered="1"/>
  <pageMargins left="0.34" right="0.27" top="0.83" bottom="1" header="0.67" footer="0.5"/>
  <pageSetup scale="90" orientation="landscape" r:id="rId1"/>
  <headerFooter alignWithMargins="0">
    <oddHeader xml:space="preserve">&amp;R
</oddHeader>
    <oddFooter>&amp;L&amp;"Arial,Italic"&amp;9MSDE - LFRO  12 / 2014&amp;C- 7 -&amp;R&amp;"Arial,Italic"&amp;9Selected Financial Data-Part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0"/>
  <sheetViews>
    <sheetView zoomScaleNormal="100" workbookViewId="0">
      <selection sqref="A1:H1"/>
    </sheetView>
  </sheetViews>
  <sheetFormatPr defaultRowHeight="12.75"/>
  <cols>
    <col min="1" max="1" width="14.140625" customWidth="1"/>
    <col min="2" max="2" width="1.5703125" style="230" customWidth="1"/>
    <col min="3" max="3" width="16.7109375" style="230" customWidth="1"/>
    <col min="4" max="4" width="15" style="230" bestFit="1" customWidth="1"/>
    <col min="5" max="5" width="13.42578125" style="230" customWidth="1"/>
    <col min="6" max="6" width="3.85546875" style="230" customWidth="1"/>
    <col min="7" max="7" width="16.42578125" style="230" customWidth="1"/>
    <col min="8" max="8" width="15.42578125" style="230" customWidth="1"/>
    <col min="9" max="9" width="13.5703125" style="225" customWidth="1"/>
    <col min="10" max="10" width="11.28515625" bestFit="1" customWidth="1"/>
  </cols>
  <sheetData>
    <row r="1" spans="1:13">
      <c r="A1" s="469" t="s">
        <v>117</v>
      </c>
      <c r="B1" s="469"/>
      <c r="C1" s="469"/>
      <c r="D1" s="469"/>
      <c r="E1" s="469"/>
      <c r="F1" s="469"/>
      <c r="G1" s="469"/>
      <c r="H1" s="469"/>
      <c r="I1" s="249"/>
    </row>
    <row r="3" spans="1:13" s="68" customFormat="1">
      <c r="A3" s="461" t="s">
        <v>267</v>
      </c>
      <c r="B3" s="500"/>
      <c r="C3" s="500"/>
      <c r="D3" s="500"/>
      <c r="E3" s="500"/>
      <c r="F3" s="500"/>
      <c r="G3" s="500"/>
      <c r="H3" s="500"/>
      <c r="I3" s="249"/>
    </row>
    <row r="4" spans="1:13" ht="13.5" thickBot="1">
      <c r="B4" s="235"/>
      <c r="C4" s="235"/>
      <c r="D4" s="235"/>
      <c r="E4" s="235"/>
      <c r="F4" s="235"/>
      <c r="G4" s="235"/>
      <c r="H4" s="235"/>
      <c r="I4" s="235"/>
    </row>
    <row r="5" spans="1:13" ht="15" customHeight="1" thickTop="1">
      <c r="A5" s="6"/>
      <c r="B5" s="493"/>
      <c r="C5" s="493"/>
      <c r="D5" s="493"/>
      <c r="E5" s="493"/>
      <c r="F5" s="493"/>
      <c r="G5" s="493"/>
      <c r="H5" s="493"/>
      <c r="I5" s="493"/>
    </row>
    <row r="6" spans="1:13" ht="12.75" customHeight="1" thickBot="1">
      <c r="A6" s="3"/>
      <c r="B6" s="226"/>
      <c r="C6" s="498" t="s">
        <v>235</v>
      </c>
      <c r="D6" s="498"/>
      <c r="E6" s="498"/>
      <c r="F6" s="332"/>
      <c r="G6" s="501" t="s">
        <v>149</v>
      </c>
      <c r="H6" s="501"/>
      <c r="I6" s="501"/>
      <c r="J6" s="3"/>
      <c r="K6" s="3"/>
      <c r="L6" s="3"/>
      <c r="M6" s="3"/>
    </row>
    <row r="7" spans="1:13" ht="12.75" customHeight="1">
      <c r="A7" s="3" t="s">
        <v>77</v>
      </c>
      <c r="B7" s="269"/>
      <c r="C7" s="231"/>
      <c r="D7" s="226"/>
      <c r="E7" s="499" t="s">
        <v>174</v>
      </c>
      <c r="F7" s="231"/>
      <c r="G7" s="486" t="s">
        <v>154</v>
      </c>
      <c r="H7" s="496" t="s">
        <v>155</v>
      </c>
      <c r="I7" s="270" t="s">
        <v>161</v>
      </c>
      <c r="J7" s="3"/>
      <c r="K7" s="3"/>
      <c r="L7" s="3"/>
      <c r="M7" s="3"/>
    </row>
    <row r="8" spans="1:13">
      <c r="A8" s="3" t="s">
        <v>33</v>
      </c>
      <c r="B8" s="269"/>
      <c r="C8" s="231"/>
      <c r="D8" s="226" t="s">
        <v>28</v>
      </c>
      <c r="E8" s="494"/>
      <c r="G8" s="494"/>
      <c r="H8" s="497"/>
      <c r="I8" s="251" t="s">
        <v>162</v>
      </c>
    </row>
    <row r="9" spans="1:13" ht="13.5" thickBot="1">
      <c r="A9" s="7" t="s">
        <v>132</v>
      </c>
      <c r="B9" s="260"/>
      <c r="C9" s="227" t="s">
        <v>25</v>
      </c>
      <c r="D9" s="227" t="s">
        <v>29</v>
      </c>
      <c r="E9" s="495"/>
      <c r="G9" s="495"/>
      <c r="H9" s="489"/>
      <c r="I9" s="252"/>
    </row>
    <row r="10" spans="1:13" s="44" customFormat="1">
      <c r="A10" s="48" t="s">
        <v>0</v>
      </c>
      <c r="B10" s="272">
        <f>SUM(B12:B39)</f>
        <v>0</v>
      </c>
      <c r="C10" s="271">
        <f>SUM(C12:C39)</f>
        <v>262578634.62</v>
      </c>
      <c r="D10" s="272">
        <f>SUM(D12:D39)</f>
        <v>89748551.410000011</v>
      </c>
      <c r="E10" s="272">
        <f>SUM(E12:E39)</f>
        <v>3535216.3100000005</v>
      </c>
      <c r="F10" s="273"/>
      <c r="G10" s="272">
        <f>SUM(G12:G39)</f>
        <v>224737627.62</v>
      </c>
      <c r="H10" s="272">
        <f>SUM(H12:H39)</f>
        <v>23886000</v>
      </c>
      <c r="I10" s="393">
        <f>SUM(I12:I39)</f>
        <v>35000</v>
      </c>
    </row>
    <row r="11" spans="1:13">
      <c r="A11" s="3"/>
      <c r="B11" s="212"/>
      <c r="C11" s="206"/>
      <c r="D11" s="206"/>
      <c r="E11" s="206"/>
      <c r="G11" s="211"/>
      <c r="H11" s="211"/>
      <c r="I11" s="211"/>
    </row>
    <row r="12" spans="1:13">
      <c r="A12" t="s">
        <v>1</v>
      </c>
      <c r="B12" s="211"/>
      <c r="C12" s="129">
        <v>5056764</v>
      </c>
      <c r="D12" s="130">
        <v>1472815.16</v>
      </c>
      <c r="E12" s="130">
        <v>0</v>
      </c>
      <c r="F12" s="339"/>
      <c r="G12" s="129">
        <v>4193294</v>
      </c>
      <c r="H12" s="129">
        <v>208000</v>
      </c>
      <c r="I12" s="129">
        <v>0</v>
      </c>
    </row>
    <row r="13" spans="1:13">
      <c r="A13" t="s">
        <v>2</v>
      </c>
      <c r="B13" s="211"/>
      <c r="C13" s="129">
        <v>15840910</v>
      </c>
      <c r="D13" s="130">
        <v>6607153.1500000004</v>
      </c>
      <c r="E13" s="130">
        <v>963625.53</v>
      </c>
      <c r="F13" s="339"/>
      <c r="G13" s="129">
        <v>19416107</v>
      </c>
      <c r="H13" s="129">
        <v>1586000</v>
      </c>
      <c r="I13" s="129">
        <v>0</v>
      </c>
      <c r="J13" s="1"/>
    </row>
    <row r="14" spans="1:13">
      <c r="A14" t="s">
        <v>3</v>
      </c>
      <c r="B14" s="211"/>
      <c r="C14" s="129">
        <v>53766183.030000001</v>
      </c>
      <c r="D14" s="130">
        <v>19318148.690000001</v>
      </c>
      <c r="E14" s="130">
        <v>0</v>
      </c>
      <c r="F14" s="339"/>
      <c r="G14" s="129">
        <v>15564491</v>
      </c>
      <c r="H14" s="129">
        <v>3542000</v>
      </c>
      <c r="I14" s="129">
        <v>0</v>
      </c>
    </row>
    <row r="15" spans="1:13">
      <c r="A15" t="s">
        <v>4</v>
      </c>
      <c r="B15" s="211"/>
      <c r="C15" s="129">
        <v>29265174</v>
      </c>
      <c r="D15" s="130">
        <v>14570364</v>
      </c>
      <c r="E15" s="130">
        <v>1587516.3</v>
      </c>
      <c r="F15" s="339"/>
      <c r="G15" s="129">
        <v>24078897</v>
      </c>
      <c r="H15" s="129">
        <v>3043000</v>
      </c>
      <c r="I15" s="129">
        <v>0</v>
      </c>
    </row>
    <row r="16" spans="1:13">
      <c r="A16" t="s">
        <v>5</v>
      </c>
      <c r="B16" s="211"/>
      <c r="C16" s="129">
        <v>4037481.53</v>
      </c>
      <c r="D16" s="130">
        <v>612360.43999999994</v>
      </c>
      <c r="E16" s="130">
        <v>99811.18</v>
      </c>
      <c r="F16" s="339"/>
      <c r="G16" s="129">
        <v>5171120</v>
      </c>
      <c r="H16" s="129">
        <v>332000</v>
      </c>
      <c r="I16" s="129">
        <v>0</v>
      </c>
    </row>
    <row r="17" spans="1:9">
      <c r="B17" s="211"/>
      <c r="C17" s="361"/>
      <c r="D17" s="341"/>
      <c r="E17" s="341"/>
      <c r="F17" s="339"/>
      <c r="G17" s="129"/>
      <c r="H17" s="129"/>
      <c r="I17" s="129"/>
    </row>
    <row r="18" spans="1:9">
      <c r="A18" t="s">
        <v>6</v>
      </c>
      <c r="B18" s="211"/>
      <c r="C18" s="129">
        <v>1931765</v>
      </c>
      <c r="D18" s="130">
        <v>419134.31</v>
      </c>
      <c r="E18" s="130">
        <v>50816.05</v>
      </c>
      <c r="F18" s="339"/>
      <c r="G18" s="129">
        <v>2397912</v>
      </c>
      <c r="H18" s="129">
        <v>71000</v>
      </c>
      <c r="I18" s="129">
        <v>0</v>
      </c>
    </row>
    <row r="19" spans="1:9">
      <c r="A19" t="s">
        <v>7</v>
      </c>
      <c r="B19" s="211"/>
      <c r="C19" s="129">
        <v>8419568.5800000001</v>
      </c>
      <c r="D19" s="130">
        <v>2203735.81</v>
      </c>
      <c r="E19" s="130">
        <v>0</v>
      </c>
      <c r="F19" s="339"/>
      <c r="G19" s="129">
        <v>8851009</v>
      </c>
      <c r="H19" s="129">
        <v>575000</v>
      </c>
      <c r="I19" s="323">
        <v>0</v>
      </c>
    </row>
    <row r="20" spans="1:9">
      <c r="A20" t="s">
        <v>8</v>
      </c>
      <c r="B20" s="211"/>
      <c r="C20" s="129">
        <v>5998832.6799999997</v>
      </c>
      <c r="D20" s="130">
        <v>1273854.1399999999</v>
      </c>
      <c r="E20" s="130">
        <v>170360</v>
      </c>
      <c r="F20" s="339"/>
      <c r="G20" s="129">
        <v>4641929</v>
      </c>
      <c r="H20" s="129">
        <v>225000</v>
      </c>
      <c r="I20" s="129">
        <v>0</v>
      </c>
    </row>
    <row r="21" spans="1:9">
      <c r="A21" t="s">
        <v>9</v>
      </c>
      <c r="B21" s="211"/>
      <c r="C21" s="129">
        <v>6758203</v>
      </c>
      <c r="D21" s="130">
        <v>1148758.6299999999</v>
      </c>
      <c r="E21" s="130">
        <v>0</v>
      </c>
      <c r="F21" s="339"/>
      <c r="G21" s="129">
        <v>9442881</v>
      </c>
      <c r="H21" s="129">
        <v>521000</v>
      </c>
      <c r="I21" s="129">
        <v>0</v>
      </c>
    </row>
    <row r="22" spans="1:9">
      <c r="A22" t="s">
        <v>10</v>
      </c>
      <c r="B22" s="211"/>
      <c r="C22" s="129">
        <v>1233506</v>
      </c>
      <c r="D22" s="130">
        <v>0</v>
      </c>
      <c r="E22" s="129">
        <v>15136.05</v>
      </c>
      <c r="F22" s="339"/>
      <c r="G22" s="129">
        <v>2210645</v>
      </c>
      <c r="H22" s="129">
        <v>89000</v>
      </c>
      <c r="I22" s="129">
        <v>0</v>
      </c>
    </row>
    <row r="23" spans="1:9">
      <c r="B23" s="211"/>
      <c r="C23" s="361"/>
      <c r="D23" s="341"/>
      <c r="E23" s="341"/>
      <c r="F23" s="339"/>
      <c r="G23" s="129"/>
      <c r="H23" s="129"/>
      <c r="I23" s="129"/>
    </row>
    <row r="24" spans="1:9">
      <c r="A24" t="s">
        <v>11</v>
      </c>
      <c r="B24" s="211"/>
      <c r="C24" s="129">
        <v>11837903</v>
      </c>
      <c r="D24" s="130">
        <v>3015360.08</v>
      </c>
      <c r="E24" s="130">
        <v>0</v>
      </c>
      <c r="F24" s="339"/>
      <c r="G24" s="129">
        <v>10668310</v>
      </c>
      <c r="H24" s="129">
        <v>903000</v>
      </c>
      <c r="I24" s="129">
        <v>0</v>
      </c>
    </row>
    <row r="25" spans="1:9">
      <c r="A25" t="s">
        <v>12</v>
      </c>
      <c r="B25" s="211"/>
      <c r="C25" s="129">
        <v>970984</v>
      </c>
      <c r="D25" s="130">
        <v>268600.83</v>
      </c>
      <c r="E25" s="130">
        <v>13006.62</v>
      </c>
      <c r="F25" s="339"/>
      <c r="G25" s="129">
        <v>2784693</v>
      </c>
      <c r="H25" s="129">
        <v>41000</v>
      </c>
      <c r="I25" s="323">
        <v>0</v>
      </c>
    </row>
    <row r="26" spans="1:9">
      <c r="A26" t="s">
        <v>13</v>
      </c>
      <c r="B26" s="211"/>
      <c r="C26" s="129">
        <v>13229591.800000001</v>
      </c>
      <c r="D26" s="130">
        <v>5659617</v>
      </c>
      <c r="E26" s="130">
        <v>0</v>
      </c>
      <c r="F26" s="339"/>
      <c r="G26" s="129">
        <v>11091771</v>
      </c>
      <c r="H26" s="129">
        <v>767000</v>
      </c>
      <c r="I26" s="129">
        <v>0</v>
      </c>
    </row>
    <row r="27" spans="1:9">
      <c r="A27" t="s">
        <v>14</v>
      </c>
      <c r="B27" s="211"/>
      <c r="C27" s="129">
        <v>8589718</v>
      </c>
      <c r="D27" s="130">
        <v>3188343.07</v>
      </c>
      <c r="E27" s="130">
        <v>293604.46999999997</v>
      </c>
      <c r="F27" s="339"/>
      <c r="G27" s="129">
        <v>13955588</v>
      </c>
      <c r="H27" s="129">
        <v>1295000</v>
      </c>
      <c r="I27" s="129">
        <v>0</v>
      </c>
    </row>
    <row r="28" spans="1:9">
      <c r="A28" t="s">
        <v>15</v>
      </c>
      <c r="B28" s="211"/>
      <c r="C28" s="129">
        <v>564891.63</v>
      </c>
      <c r="D28" s="130">
        <v>0</v>
      </c>
      <c r="E28" s="130">
        <v>0</v>
      </c>
      <c r="F28" s="339"/>
      <c r="G28" s="129">
        <v>1454297</v>
      </c>
      <c r="H28" s="129">
        <v>29000</v>
      </c>
      <c r="I28" s="129">
        <v>0</v>
      </c>
    </row>
    <row r="29" spans="1:9">
      <c r="A29" s="1"/>
      <c r="B29" s="211"/>
      <c r="C29" s="129"/>
      <c r="D29" s="341"/>
      <c r="E29" s="341"/>
      <c r="F29" s="339"/>
      <c r="G29" s="129"/>
      <c r="H29" s="129"/>
      <c r="I29" s="129"/>
    </row>
    <row r="30" spans="1:9">
      <c r="A30" t="s">
        <v>16</v>
      </c>
      <c r="B30" s="211"/>
      <c r="C30" s="129">
        <v>34348730.25</v>
      </c>
      <c r="D30" s="130">
        <v>11152802.85</v>
      </c>
      <c r="E30" s="130">
        <v>0</v>
      </c>
      <c r="F30" s="339"/>
      <c r="G30" s="129">
        <v>30518643</v>
      </c>
      <c r="H30" s="129">
        <v>4692000</v>
      </c>
      <c r="I30" s="129">
        <v>0</v>
      </c>
    </row>
    <row r="31" spans="1:9">
      <c r="A31" t="s">
        <v>17</v>
      </c>
      <c r="B31" s="211"/>
      <c r="C31" s="129">
        <v>37258301.280000001</v>
      </c>
      <c r="D31" s="130">
        <v>17581565.16</v>
      </c>
      <c r="E31" s="130">
        <v>0</v>
      </c>
      <c r="F31" s="339"/>
      <c r="G31" s="129">
        <v>32398148.620000001</v>
      </c>
      <c r="H31" s="129">
        <v>4647000</v>
      </c>
      <c r="I31" s="129">
        <v>0</v>
      </c>
    </row>
    <row r="32" spans="1:9">
      <c r="A32" t="s">
        <v>18</v>
      </c>
      <c r="B32" s="211"/>
      <c r="C32" s="129">
        <v>1880538</v>
      </c>
      <c r="D32" s="130">
        <v>156192.51</v>
      </c>
      <c r="E32" s="130">
        <v>83760</v>
      </c>
      <c r="F32" s="339"/>
      <c r="G32" s="129">
        <v>3080656</v>
      </c>
      <c r="H32" s="129">
        <v>92000</v>
      </c>
      <c r="I32" s="129">
        <v>0</v>
      </c>
    </row>
    <row r="33" spans="1:9">
      <c r="A33" t="s">
        <v>19</v>
      </c>
      <c r="B33" s="211"/>
      <c r="C33" s="129">
        <v>4615881.38</v>
      </c>
      <c r="D33" s="130">
        <v>502847.4</v>
      </c>
      <c r="E33" s="130">
        <v>0</v>
      </c>
      <c r="F33" s="339"/>
      <c r="G33" s="129">
        <v>5988019</v>
      </c>
      <c r="H33" s="129">
        <v>422000</v>
      </c>
      <c r="I33" s="129">
        <v>0</v>
      </c>
    </row>
    <row r="34" spans="1:9">
      <c r="A34" t="s">
        <v>20</v>
      </c>
      <c r="B34" s="211"/>
      <c r="C34" s="129">
        <v>1239643.93</v>
      </c>
      <c r="D34" s="379">
        <v>0</v>
      </c>
      <c r="E34" s="130">
        <v>0</v>
      </c>
      <c r="F34" s="339"/>
      <c r="G34" s="129">
        <v>1697017</v>
      </c>
      <c r="H34" s="129">
        <v>60000</v>
      </c>
      <c r="I34" s="129">
        <v>35000</v>
      </c>
    </row>
    <row r="35" spans="1:9">
      <c r="B35" s="211"/>
      <c r="C35" s="337"/>
      <c r="D35" s="348"/>
      <c r="E35" s="341"/>
      <c r="F35" s="339"/>
      <c r="G35" s="129"/>
      <c r="H35" s="129"/>
      <c r="I35" s="339"/>
    </row>
    <row r="36" spans="1:9">
      <c r="A36" t="s">
        <v>21</v>
      </c>
      <c r="B36" s="211"/>
      <c r="C36" s="129">
        <v>770842</v>
      </c>
      <c r="D36" s="379">
        <v>0</v>
      </c>
      <c r="E36" s="130">
        <v>32718.93</v>
      </c>
      <c r="F36" s="339"/>
      <c r="G36" s="129">
        <v>1477812</v>
      </c>
      <c r="H36" s="129">
        <v>13000</v>
      </c>
      <c r="I36" s="129">
        <v>0</v>
      </c>
    </row>
    <row r="37" spans="1:9">
      <c r="A37" t="s">
        <v>22</v>
      </c>
      <c r="B37" s="211"/>
      <c r="C37" s="129">
        <v>7383395</v>
      </c>
      <c r="D37" s="130">
        <v>575129.31000000006</v>
      </c>
      <c r="E37" s="130">
        <v>67173</v>
      </c>
      <c r="F37" s="339"/>
      <c r="G37" s="129">
        <v>6301084</v>
      </c>
      <c r="H37" s="129">
        <v>401000</v>
      </c>
      <c r="I37" s="323">
        <v>0</v>
      </c>
    </row>
    <row r="38" spans="1:9">
      <c r="A38" t="s">
        <v>23</v>
      </c>
      <c r="B38" s="211"/>
      <c r="C38" s="129">
        <v>6101552.5300000003</v>
      </c>
      <c r="D38" s="130">
        <v>21768.87</v>
      </c>
      <c r="E38" s="130">
        <v>157688.18</v>
      </c>
      <c r="F38" s="339"/>
      <c r="G38" s="129">
        <v>4565966</v>
      </c>
      <c r="H38" s="129">
        <v>270000</v>
      </c>
      <c r="I38" s="129">
        <v>0</v>
      </c>
    </row>
    <row r="39" spans="1:9">
      <c r="A39" s="12" t="s">
        <v>24</v>
      </c>
      <c r="B39" s="198"/>
      <c r="C39" s="131">
        <v>1478274</v>
      </c>
      <c r="D39" s="131">
        <v>0</v>
      </c>
      <c r="E39" s="131">
        <v>0</v>
      </c>
      <c r="F39" s="340"/>
      <c r="G39" s="131">
        <v>2787338</v>
      </c>
      <c r="H39" s="131">
        <v>62000</v>
      </c>
      <c r="I39" s="131">
        <v>0</v>
      </c>
    </row>
    <row r="40" spans="1:9">
      <c r="B40" s="211"/>
      <c r="H40" s="211"/>
    </row>
    <row r="41" spans="1:9">
      <c r="B41" s="211"/>
      <c r="F41" s="274"/>
      <c r="H41" s="211"/>
    </row>
    <row r="42" spans="1:9">
      <c r="B42" s="211"/>
      <c r="D42" s="204"/>
      <c r="H42" s="211"/>
    </row>
    <row r="43" spans="1:9">
      <c r="B43" s="211"/>
      <c r="H43" s="211"/>
    </row>
    <row r="44" spans="1:9">
      <c r="B44" s="211"/>
      <c r="H44" s="211"/>
    </row>
    <row r="45" spans="1:9">
      <c r="H45" s="211"/>
    </row>
    <row r="46" spans="1:9">
      <c r="H46" s="211"/>
    </row>
    <row r="47" spans="1:9">
      <c r="H47" s="211"/>
    </row>
    <row r="48" spans="1:9">
      <c r="H48" s="211"/>
    </row>
    <row r="49" spans="8:8">
      <c r="H49" s="211"/>
    </row>
    <row r="50" spans="8:8">
      <c r="H50" s="211"/>
    </row>
    <row r="51" spans="8:8">
      <c r="H51" s="211"/>
    </row>
    <row r="52" spans="8:8">
      <c r="H52" s="211"/>
    </row>
    <row r="53" spans="8:8">
      <c r="H53" s="211"/>
    </row>
    <row r="54" spans="8:8">
      <c r="H54" s="211"/>
    </row>
    <row r="55" spans="8:8">
      <c r="H55" s="211"/>
    </row>
    <row r="56" spans="8:8">
      <c r="H56" s="211"/>
    </row>
    <row r="57" spans="8:8">
      <c r="H57" s="211"/>
    </row>
    <row r="58" spans="8:8">
      <c r="H58" s="211"/>
    </row>
    <row r="59" spans="8:8">
      <c r="H59" s="211"/>
    </row>
    <row r="60" spans="8:8">
      <c r="H60" s="211"/>
    </row>
    <row r="61" spans="8:8">
      <c r="H61" s="211"/>
    </row>
    <row r="62" spans="8:8">
      <c r="H62" s="211"/>
    </row>
    <row r="63" spans="8:8">
      <c r="H63" s="211"/>
    </row>
    <row r="64" spans="8:8">
      <c r="H64" s="211"/>
    </row>
    <row r="65" spans="8:8">
      <c r="H65" s="211"/>
    </row>
    <row r="66" spans="8:8">
      <c r="H66" s="211"/>
    </row>
    <row r="67" spans="8:8">
      <c r="H67" s="211"/>
    </row>
    <row r="68" spans="8:8">
      <c r="H68" s="211"/>
    </row>
    <row r="69" spans="8:8">
      <c r="H69" s="211"/>
    </row>
    <row r="70" spans="8:8">
      <c r="H70" s="211"/>
    </row>
    <row r="71" spans="8:8">
      <c r="H71" s="211"/>
    </row>
    <row r="72" spans="8:8">
      <c r="H72" s="211"/>
    </row>
    <row r="73" spans="8:8">
      <c r="H73" s="211"/>
    </row>
    <row r="74" spans="8:8">
      <c r="H74" s="211"/>
    </row>
    <row r="75" spans="8:8">
      <c r="H75" s="211"/>
    </row>
    <row r="76" spans="8:8">
      <c r="H76" s="211"/>
    </row>
    <row r="77" spans="8:8">
      <c r="H77" s="211"/>
    </row>
    <row r="78" spans="8:8">
      <c r="H78" s="211"/>
    </row>
    <row r="79" spans="8:8">
      <c r="H79" s="211"/>
    </row>
    <row r="80" spans="8:8">
      <c r="H80" s="211"/>
    </row>
    <row r="81" spans="8:8">
      <c r="H81" s="211"/>
    </row>
    <row r="82" spans="8:8">
      <c r="H82" s="211"/>
    </row>
    <row r="83" spans="8:8">
      <c r="H83" s="211"/>
    </row>
    <row r="84" spans="8:8">
      <c r="H84" s="211"/>
    </row>
    <row r="85" spans="8:8">
      <c r="H85" s="211"/>
    </row>
    <row r="86" spans="8:8">
      <c r="H86" s="211"/>
    </row>
    <row r="87" spans="8:8">
      <c r="H87" s="211"/>
    </row>
    <row r="88" spans="8:8">
      <c r="H88" s="211"/>
    </row>
    <row r="89" spans="8:8">
      <c r="H89" s="211"/>
    </row>
    <row r="90" spans="8:8">
      <c r="H90" s="211"/>
    </row>
    <row r="91" spans="8:8">
      <c r="H91" s="211"/>
    </row>
    <row r="92" spans="8:8">
      <c r="H92" s="211"/>
    </row>
    <row r="93" spans="8:8">
      <c r="H93" s="211"/>
    </row>
    <row r="94" spans="8:8">
      <c r="H94" s="211"/>
    </row>
    <row r="95" spans="8:8">
      <c r="H95" s="211"/>
    </row>
    <row r="96" spans="8:8">
      <c r="H96" s="211"/>
    </row>
    <row r="97" spans="8:8">
      <c r="H97" s="211"/>
    </row>
    <row r="98" spans="8:8">
      <c r="H98" s="211"/>
    </row>
    <row r="99" spans="8:8">
      <c r="H99" s="211"/>
    </row>
    <row r="100" spans="8:8">
      <c r="H100" s="211"/>
    </row>
    <row r="101" spans="8:8">
      <c r="H101" s="211"/>
    </row>
    <row r="102" spans="8:8">
      <c r="H102" s="211"/>
    </row>
    <row r="103" spans="8:8">
      <c r="H103" s="211"/>
    </row>
    <row r="104" spans="8:8">
      <c r="H104" s="211"/>
    </row>
    <row r="105" spans="8:8">
      <c r="H105" s="211"/>
    </row>
    <row r="106" spans="8:8">
      <c r="H106" s="211"/>
    </row>
    <row r="107" spans="8:8">
      <c r="H107" s="211"/>
    </row>
    <row r="108" spans="8:8">
      <c r="H108" s="211"/>
    </row>
    <row r="109" spans="8:8">
      <c r="H109" s="211"/>
    </row>
    <row r="110" spans="8:8">
      <c r="H110" s="211"/>
    </row>
    <row r="111" spans="8:8">
      <c r="H111" s="211"/>
    </row>
    <row r="112" spans="8:8">
      <c r="H112" s="211"/>
    </row>
    <row r="113" spans="8:8">
      <c r="H113" s="211"/>
    </row>
    <row r="114" spans="8:8">
      <c r="H114" s="211"/>
    </row>
    <row r="115" spans="8:8">
      <c r="H115" s="211"/>
    </row>
    <row r="116" spans="8:8">
      <c r="H116" s="211"/>
    </row>
    <row r="117" spans="8:8">
      <c r="H117" s="211"/>
    </row>
    <row r="118" spans="8:8">
      <c r="H118" s="211"/>
    </row>
    <row r="119" spans="8:8">
      <c r="H119" s="211"/>
    </row>
    <row r="120" spans="8:8">
      <c r="H120" s="211"/>
    </row>
    <row r="121" spans="8:8">
      <c r="H121" s="211"/>
    </row>
    <row r="122" spans="8:8">
      <c r="H122" s="211"/>
    </row>
    <row r="123" spans="8:8">
      <c r="H123" s="211"/>
    </row>
    <row r="124" spans="8:8">
      <c r="H124" s="211"/>
    </row>
    <row r="125" spans="8:8">
      <c r="H125" s="211"/>
    </row>
    <row r="126" spans="8:8">
      <c r="H126" s="211"/>
    </row>
    <row r="127" spans="8:8">
      <c r="H127" s="211"/>
    </row>
    <row r="128" spans="8:8">
      <c r="H128" s="211"/>
    </row>
    <row r="129" spans="8:8">
      <c r="H129" s="211"/>
    </row>
    <row r="130" spans="8:8">
      <c r="H130" s="211"/>
    </row>
    <row r="131" spans="8:8">
      <c r="H131" s="211"/>
    </row>
    <row r="132" spans="8:8">
      <c r="H132" s="211"/>
    </row>
    <row r="133" spans="8:8">
      <c r="H133" s="211"/>
    </row>
    <row r="134" spans="8:8">
      <c r="H134" s="211"/>
    </row>
    <row r="135" spans="8:8">
      <c r="H135" s="211"/>
    </row>
    <row r="136" spans="8:8">
      <c r="H136" s="211"/>
    </row>
    <row r="137" spans="8:8">
      <c r="H137" s="211"/>
    </row>
    <row r="138" spans="8:8">
      <c r="H138" s="211"/>
    </row>
    <row r="139" spans="8:8">
      <c r="H139" s="211"/>
    </row>
    <row r="140" spans="8:8">
      <c r="H140" s="211"/>
    </row>
    <row r="141" spans="8:8">
      <c r="H141" s="211"/>
    </row>
    <row r="142" spans="8:8">
      <c r="H142" s="211"/>
    </row>
    <row r="143" spans="8:8">
      <c r="H143" s="211"/>
    </row>
    <row r="144" spans="8:8">
      <c r="H144" s="211"/>
    </row>
    <row r="145" spans="8:8">
      <c r="H145" s="211"/>
    </row>
    <row r="146" spans="8:8">
      <c r="H146" s="211"/>
    </row>
    <row r="147" spans="8:8">
      <c r="H147" s="211"/>
    </row>
    <row r="148" spans="8:8">
      <c r="H148" s="211"/>
    </row>
    <row r="149" spans="8:8">
      <c r="H149" s="211"/>
    </row>
    <row r="150" spans="8:8">
      <c r="H150" s="211"/>
    </row>
    <row r="151" spans="8:8">
      <c r="H151" s="211"/>
    </row>
    <row r="152" spans="8:8">
      <c r="H152" s="211"/>
    </row>
    <row r="153" spans="8:8">
      <c r="H153" s="211"/>
    </row>
    <row r="154" spans="8:8">
      <c r="H154" s="211"/>
    </row>
    <row r="155" spans="8:8">
      <c r="H155" s="211"/>
    </row>
    <row r="156" spans="8:8">
      <c r="H156" s="211"/>
    </row>
    <row r="157" spans="8:8">
      <c r="H157" s="211"/>
    </row>
    <row r="158" spans="8:8">
      <c r="H158" s="211"/>
    </row>
    <row r="159" spans="8:8">
      <c r="H159" s="211"/>
    </row>
    <row r="160" spans="8:8">
      <c r="H160" s="211"/>
    </row>
    <row r="161" spans="8:8">
      <c r="H161" s="211"/>
    </row>
    <row r="162" spans="8:8">
      <c r="H162" s="211"/>
    </row>
    <row r="163" spans="8:8">
      <c r="H163" s="211"/>
    </row>
    <row r="164" spans="8:8">
      <c r="H164" s="211"/>
    </row>
    <row r="165" spans="8:8">
      <c r="H165" s="211"/>
    </row>
    <row r="166" spans="8:8">
      <c r="H166" s="211"/>
    </row>
    <row r="167" spans="8:8">
      <c r="H167" s="211"/>
    </row>
    <row r="168" spans="8:8">
      <c r="H168" s="211"/>
    </row>
    <row r="169" spans="8:8">
      <c r="H169" s="211"/>
    </row>
    <row r="170" spans="8:8">
      <c r="H170" s="211"/>
    </row>
    <row r="171" spans="8:8">
      <c r="H171" s="211"/>
    </row>
    <row r="172" spans="8:8">
      <c r="H172" s="211"/>
    </row>
    <row r="173" spans="8:8">
      <c r="H173" s="211"/>
    </row>
    <row r="174" spans="8:8">
      <c r="H174" s="211"/>
    </row>
    <row r="175" spans="8:8">
      <c r="H175" s="211"/>
    </row>
    <row r="176" spans="8:8">
      <c r="H176" s="211"/>
    </row>
    <row r="177" spans="8:8">
      <c r="H177" s="211"/>
    </row>
    <row r="178" spans="8:8">
      <c r="H178" s="211"/>
    </row>
    <row r="179" spans="8:8">
      <c r="H179" s="211"/>
    </row>
    <row r="180" spans="8:8">
      <c r="H180" s="211"/>
    </row>
    <row r="181" spans="8:8">
      <c r="H181" s="211"/>
    </row>
    <row r="182" spans="8:8">
      <c r="H182" s="211"/>
    </row>
    <row r="183" spans="8:8">
      <c r="H183" s="211"/>
    </row>
    <row r="184" spans="8:8">
      <c r="H184" s="211"/>
    </row>
    <row r="185" spans="8:8">
      <c r="H185" s="211"/>
    </row>
    <row r="186" spans="8:8">
      <c r="H186" s="211"/>
    </row>
    <row r="187" spans="8:8">
      <c r="H187" s="211"/>
    </row>
    <row r="188" spans="8:8">
      <c r="H188" s="211"/>
    </row>
    <row r="189" spans="8:8">
      <c r="H189" s="211"/>
    </row>
    <row r="190" spans="8:8">
      <c r="H190" s="211"/>
    </row>
    <row r="191" spans="8:8">
      <c r="H191" s="211"/>
    </row>
    <row r="192" spans="8:8">
      <c r="H192" s="211"/>
    </row>
    <row r="193" spans="8:8">
      <c r="H193" s="211"/>
    </row>
    <row r="194" spans="8:8">
      <c r="H194" s="211"/>
    </row>
    <row r="195" spans="8:8">
      <c r="H195" s="211"/>
    </row>
    <row r="196" spans="8:8">
      <c r="H196" s="211"/>
    </row>
    <row r="197" spans="8:8">
      <c r="H197" s="211"/>
    </row>
    <row r="198" spans="8:8">
      <c r="H198" s="211"/>
    </row>
    <row r="199" spans="8:8">
      <c r="H199" s="211"/>
    </row>
    <row r="200" spans="8:8">
      <c r="H200" s="211"/>
    </row>
    <row r="201" spans="8:8">
      <c r="H201" s="211"/>
    </row>
    <row r="202" spans="8:8">
      <c r="H202" s="211"/>
    </row>
    <row r="203" spans="8:8">
      <c r="H203" s="211"/>
    </row>
    <row r="204" spans="8:8">
      <c r="H204" s="211"/>
    </row>
    <row r="205" spans="8:8">
      <c r="H205" s="211"/>
    </row>
    <row r="206" spans="8:8">
      <c r="H206" s="211"/>
    </row>
    <row r="207" spans="8:8">
      <c r="H207" s="211"/>
    </row>
    <row r="208" spans="8:8">
      <c r="H208" s="211"/>
    </row>
    <row r="209" spans="8:8">
      <c r="H209" s="211"/>
    </row>
    <row r="210" spans="8:8">
      <c r="H210" s="211"/>
    </row>
    <row r="211" spans="8:8">
      <c r="H211" s="211"/>
    </row>
    <row r="212" spans="8:8">
      <c r="H212" s="211"/>
    </row>
    <row r="213" spans="8:8">
      <c r="H213" s="211"/>
    </row>
    <row r="214" spans="8:8">
      <c r="H214" s="211"/>
    </row>
    <row r="215" spans="8:8">
      <c r="H215" s="211"/>
    </row>
    <row r="216" spans="8:8">
      <c r="H216" s="211"/>
    </row>
    <row r="217" spans="8:8">
      <c r="H217" s="211"/>
    </row>
    <row r="218" spans="8:8">
      <c r="H218" s="211"/>
    </row>
    <row r="219" spans="8:8">
      <c r="H219" s="211"/>
    </row>
    <row r="220" spans="8:8">
      <c r="H220" s="211"/>
    </row>
    <row r="221" spans="8:8">
      <c r="H221" s="211"/>
    </row>
    <row r="222" spans="8:8">
      <c r="H222" s="211"/>
    </row>
    <row r="223" spans="8:8">
      <c r="H223" s="211"/>
    </row>
    <row r="224" spans="8:8">
      <c r="H224" s="211"/>
    </row>
    <row r="225" spans="8:8">
      <c r="H225" s="211"/>
    </row>
    <row r="226" spans="8:8">
      <c r="H226" s="211"/>
    </row>
    <row r="227" spans="8:8">
      <c r="H227" s="211"/>
    </row>
    <row r="228" spans="8:8">
      <c r="H228" s="211"/>
    </row>
    <row r="229" spans="8:8">
      <c r="H229" s="211"/>
    </row>
    <row r="230" spans="8:8">
      <c r="H230" s="211"/>
    </row>
    <row r="231" spans="8:8">
      <c r="H231" s="211"/>
    </row>
    <row r="232" spans="8:8">
      <c r="H232" s="211"/>
    </row>
    <row r="233" spans="8:8">
      <c r="H233" s="211"/>
    </row>
    <row r="234" spans="8:8">
      <c r="H234" s="211"/>
    </row>
    <row r="235" spans="8:8">
      <c r="H235" s="211"/>
    </row>
    <row r="236" spans="8:8">
      <c r="H236" s="211"/>
    </row>
    <row r="237" spans="8:8">
      <c r="H237" s="211"/>
    </row>
    <row r="238" spans="8:8">
      <c r="H238" s="211"/>
    </row>
    <row r="239" spans="8:8">
      <c r="H239" s="211"/>
    </row>
    <row r="240" spans="8:8">
      <c r="H240" s="211"/>
    </row>
    <row r="241" spans="8:8">
      <c r="H241" s="211"/>
    </row>
    <row r="242" spans="8:8">
      <c r="H242" s="211"/>
    </row>
    <row r="243" spans="8:8">
      <c r="H243" s="211"/>
    </row>
    <row r="244" spans="8:8">
      <c r="H244" s="211"/>
    </row>
    <row r="245" spans="8:8">
      <c r="H245" s="211"/>
    </row>
    <row r="246" spans="8:8">
      <c r="H246" s="211"/>
    </row>
    <row r="247" spans="8:8">
      <c r="H247" s="211"/>
    </row>
    <row r="248" spans="8:8">
      <c r="H248" s="211"/>
    </row>
    <row r="249" spans="8:8">
      <c r="H249" s="211"/>
    </row>
    <row r="250" spans="8:8">
      <c r="H250" s="211"/>
    </row>
    <row r="251" spans="8:8">
      <c r="H251" s="211"/>
    </row>
    <row r="252" spans="8:8">
      <c r="H252" s="211"/>
    </row>
    <row r="253" spans="8:8">
      <c r="H253" s="211"/>
    </row>
    <row r="254" spans="8:8">
      <c r="H254" s="211"/>
    </row>
    <row r="255" spans="8:8">
      <c r="H255" s="211"/>
    </row>
    <row r="256" spans="8:8">
      <c r="H256" s="211"/>
    </row>
    <row r="257" spans="8:8">
      <c r="H257" s="211"/>
    </row>
    <row r="258" spans="8:8">
      <c r="H258" s="211"/>
    </row>
    <row r="259" spans="8:8">
      <c r="H259" s="211"/>
    </row>
    <row r="260" spans="8:8">
      <c r="H260" s="211"/>
    </row>
    <row r="261" spans="8:8">
      <c r="H261" s="211"/>
    </row>
    <row r="262" spans="8:8">
      <c r="H262" s="211"/>
    </row>
    <row r="263" spans="8:8">
      <c r="H263" s="211"/>
    </row>
    <row r="264" spans="8:8">
      <c r="H264" s="211"/>
    </row>
    <row r="265" spans="8:8">
      <c r="H265" s="211"/>
    </row>
    <row r="266" spans="8:8">
      <c r="H266" s="211"/>
    </row>
    <row r="267" spans="8:8">
      <c r="H267" s="211"/>
    </row>
    <row r="268" spans="8:8">
      <c r="H268" s="211"/>
    </row>
    <row r="269" spans="8:8">
      <c r="H269" s="211"/>
    </row>
    <row r="270" spans="8:8">
      <c r="H270" s="211"/>
    </row>
    <row r="271" spans="8:8">
      <c r="H271" s="211"/>
    </row>
    <row r="272" spans="8:8">
      <c r="H272" s="211"/>
    </row>
    <row r="273" spans="8:8">
      <c r="H273" s="211"/>
    </row>
    <row r="274" spans="8:8">
      <c r="H274" s="211"/>
    </row>
    <row r="275" spans="8:8">
      <c r="H275" s="211"/>
    </row>
    <row r="276" spans="8:8">
      <c r="H276" s="211"/>
    </row>
    <row r="277" spans="8:8">
      <c r="H277" s="211"/>
    </row>
    <row r="278" spans="8:8">
      <c r="H278" s="211"/>
    </row>
    <row r="279" spans="8:8">
      <c r="H279" s="211"/>
    </row>
    <row r="280" spans="8:8">
      <c r="H280" s="211"/>
    </row>
    <row r="281" spans="8:8">
      <c r="H281" s="211"/>
    </row>
    <row r="282" spans="8:8">
      <c r="H282" s="211"/>
    </row>
    <row r="283" spans="8:8">
      <c r="H283" s="211"/>
    </row>
    <row r="284" spans="8:8">
      <c r="H284" s="211"/>
    </row>
    <row r="285" spans="8:8">
      <c r="H285" s="211"/>
    </row>
    <row r="286" spans="8:8">
      <c r="H286" s="211"/>
    </row>
    <row r="287" spans="8:8">
      <c r="H287" s="211"/>
    </row>
    <row r="288" spans="8:8">
      <c r="H288" s="211"/>
    </row>
    <row r="289" spans="8:8">
      <c r="H289" s="211"/>
    </row>
    <row r="290" spans="8:8">
      <c r="H290" s="211"/>
    </row>
    <row r="291" spans="8:8">
      <c r="H291" s="211"/>
    </row>
    <row r="292" spans="8:8">
      <c r="H292" s="211"/>
    </row>
    <row r="293" spans="8:8">
      <c r="H293" s="211"/>
    </row>
    <row r="294" spans="8:8">
      <c r="H294" s="211"/>
    </row>
    <row r="295" spans="8:8">
      <c r="H295" s="211"/>
    </row>
    <row r="296" spans="8:8">
      <c r="H296" s="211"/>
    </row>
    <row r="297" spans="8:8">
      <c r="H297" s="211"/>
    </row>
    <row r="298" spans="8:8">
      <c r="H298" s="211"/>
    </row>
    <row r="299" spans="8:8">
      <c r="H299" s="211"/>
    </row>
    <row r="300" spans="8:8">
      <c r="H300" s="211"/>
    </row>
    <row r="301" spans="8:8">
      <c r="H301" s="211"/>
    </row>
    <row r="302" spans="8:8">
      <c r="H302" s="211"/>
    </row>
    <row r="303" spans="8:8">
      <c r="H303" s="211"/>
    </row>
    <row r="304" spans="8:8">
      <c r="H304" s="211"/>
    </row>
    <row r="305" spans="8:8">
      <c r="H305" s="211"/>
    </row>
    <row r="306" spans="8:8">
      <c r="H306" s="211"/>
    </row>
    <row r="307" spans="8:8">
      <c r="H307" s="211"/>
    </row>
    <row r="308" spans="8:8">
      <c r="H308" s="211"/>
    </row>
    <row r="309" spans="8:8">
      <c r="H309" s="211"/>
    </row>
    <row r="310" spans="8:8">
      <c r="H310" s="211"/>
    </row>
    <row r="311" spans="8:8">
      <c r="H311" s="211"/>
    </row>
    <row r="312" spans="8:8">
      <c r="H312" s="211"/>
    </row>
    <row r="313" spans="8:8">
      <c r="H313" s="211"/>
    </row>
    <row r="314" spans="8:8">
      <c r="H314" s="211"/>
    </row>
    <row r="315" spans="8:8">
      <c r="H315" s="211"/>
    </row>
    <row r="316" spans="8:8">
      <c r="H316" s="211"/>
    </row>
    <row r="317" spans="8:8">
      <c r="H317" s="211"/>
    </row>
    <row r="318" spans="8:8">
      <c r="H318" s="211"/>
    </row>
    <row r="319" spans="8:8">
      <c r="H319" s="211"/>
    </row>
    <row r="320" spans="8:8">
      <c r="H320" s="211"/>
    </row>
    <row r="321" spans="8:8">
      <c r="H321" s="211"/>
    </row>
    <row r="322" spans="8:8">
      <c r="H322" s="211"/>
    </row>
    <row r="323" spans="8:8">
      <c r="H323" s="211"/>
    </row>
    <row r="324" spans="8:8">
      <c r="H324" s="211"/>
    </row>
    <row r="325" spans="8:8">
      <c r="H325" s="211"/>
    </row>
    <row r="326" spans="8:8">
      <c r="H326" s="211"/>
    </row>
    <row r="327" spans="8:8">
      <c r="H327" s="211"/>
    </row>
    <row r="328" spans="8:8">
      <c r="H328" s="211"/>
    </row>
    <row r="329" spans="8:8">
      <c r="H329" s="211"/>
    </row>
    <row r="330" spans="8:8">
      <c r="H330" s="211"/>
    </row>
    <row r="331" spans="8:8">
      <c r="H331" s="211"/>
    </row>
    <row r="332" spans="8:8">
      <c r="H332" s="211"/>
    </row>
    <row r="333" spans="8:8">
      <c r="H333" s="211"/>
    </row>
    <row r="334" spans="8:8">
      <c r="H334" s="211"/>
    </row>
    <row r="335" spans="8:8">
      <c r="H335" s="211"/>
    </row>
    <row r="336" spans="8:8">
      <c r="H336" s="211"/>
    </row>
    <row r="337" spans="8:8">
      <c r="H337" s="211"/>
    </row>
    <row r="338" spans="8:8">
      <c r="H338" s="211"/>
    </row>
    <row r="339" spans="8:8">
      <c r="H339" s="211"/>
    </row>
    <row r="340" spans="8:8">
      <c r="H340" s="211"/>
    </row>
  </sheetData>
  <sheetProtection password="CAF5" sheet="1" objects="1" scenarios="1"/>
  <mergeCells count="8">
    <mergeCell ref="B5:I5"/>
    <mergeCell ref="G7:G9"/>
    <mergeCell ref="H7:H9"/>
    <mergeCell ref="A1:H1"/>
    <mergeCell ref="C6:E6"/>
    <mergeCell ref="E7:E9"/>
    <mergeCell ref="A3:H3"/>
    <mergeCell ref="G6:I6"/>
  </mergeCells>
  <phoneticPr fontId="0" type="noConversion"/>
  <printOptions horizontalCentered="1"/>
  <pageMargins left="0.68" right="0.61" top="0.83" bottom="1" header="0.67" footer="0.5"/>
  <pageSetup scale="98" orientation="landscape" r:id="rId1"/>
  <headerFooter alignWithMargins="0">
    <oddFooter>&amp;L&amp;"Arial,Italic"&amp;9MSDE - LFRO  12 / 2014&amp;C- 8 -&amp;R&amp;"Arial,Italic"&amp;9Selected Financial Data-Part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Normal="100" workbookViewId="0">
      <selection sqref="A1:F1"/>
    </sheetView>
  </sheetViews>
  <sheetFormatPr defaultRowHeight="12.75"/>
  <cols>
    <col min="1" max="1" width="14.140625" customWidth="1"/>
    <col min="2" max="2" width="14.140625" style="225" customWidth="1"/>
    <col min="3" max="3" width="14.140625" style="230" customWidth="1"/>
    <col min="4" max="4" width="12.140625" style="225" customWidth="1"/>
    <col min="5" max="5" width="11.85546875" style="225" customWidth="1"/>
    <col min="6" max="6" width="11.28515625" style="225" bestFit="1" customWidth="1"/>
    <col min="7" max="7" width="2.85546875" style="225" customWidth="1"/>
    <col min="8" max="8" width="12.42578125" bestFit="1" customWidth="1"/>
    <col min="9" max="9" width="14" bestFit="1" customWidth="1"/>
  </cols>
  <sheetData>
    <row r="1" spans="1:27">
      <c r="A1" s="469" t="s">
        <v>117</v>
      </c>
      <c r="B1" s="469"/>
      <c r="C1" s="469"/>
      <c r="D1" s="469"/>
      <c r="E1" s="469"/>
      <c r="F1" s="469"/>
      <c r="G1" s="294"/>
    </row>
    <row r="2" spans="1:27">
      <c r="A2" s="19"/>
      <c r="B2" s="232"/>
      <c r="C2" s="275"/>
    </row>
    <row r="3" spans="1:27" s="55" customFormat="1">
      <c r="A3" s="466" t="s">
        <v>267</v>
      </c>
      <c r="B3" s="503"/>
      <c r="C3" s="503"/>
      <c r="D3" s="503"/>
      <c r="E3" s="503"/>
      <c r="F3" s="503"/>
      <c r="G3" s="295"/>
    </row>
    <row r="4" spans="1:27" ht="13.5" thickBot="1">
      <c r="A4" s="11"/>
      <c r="B4" s="220"/>
      <c r="C4" s="235"/>
      <c r="D4" s="235"/>
      <c r="E4" s="235"/>
      <c r="F4" s="235"/>
      <c r="G4" s="235"/>
      <c r="H4" s="11"/>
      <c r="I4" s="11"/>
    </row>
    <row r="5" spans="1:27" ht="15" customHeight="1" thickTop="1">
      <c r="B5" s="502" t="s">
        <v>47</v>
      </c>
      <c r="C5" s="502"/>
      <c r="D5" s="502"/>
      <c r="E5" s="502"/>
      <c r="F5" s="502"/>
      <c r="G5" s="502"/>
      <c r="H5" s="502"/>
      <c r="I5" s="502"/>
    </row>
    <row r="6" spans="1:27">
      <c r="B6" s="513" t="s">
        <v>122</v>
      </c>
      <c r="C6" s="513"/>
      <c r="D6" s="513"/>
      <c r="E6" s="513"/>
      <c r="F6" s="513"/>
      <c r="G6" s="311"/>
      <c r="H6" s="512"/>
      <c r="I6" s="51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2.75" customHeight="1" thickBot="1">
      <c r="A7" s="504" t="s">
        <v>157</v>
      </c>
      <c r="B7" s="250"/>
      <c r="C7" s="197"/>
      <c r="D7" s="507" t="s">
        <v>124</v>
      </c>
      <c r="E7" s="507"/>
      <c r="F7" s="507"/>
      <c r="G7" s="27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505"/>
      <c r="B8" s="226" t="s">
        <v>30</v>
      </c>
      <c r="C8" s="277" t="s">
        <v>128</v>
      </c>
      <c r="D8" s="509" t="s">
        <v>25</v>
      </c>
      <c r="E8" s="508" t="s">
        <v>156</v>
      </c>
      <c r="F8" s="508"/>
      <c r="G8" s="277"/>
      <c r="H8" s="269" t="s">
        <v>123</v>
      </c>
      <c r="I8" s="269" t="s">
        <v>147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505"/>
      <c r="B9" s="226" t="s">
        <v>31</v>
      </c>
      <c r="C9" s="277" t="s">
        <v>129</v>
      </c>
      <c r="D9" s="510"/>
      <c r="E9" s="269" t="s">
        <v>125</v>
      </c>
      <c r="F9" s="269" t="s">
        <v>64</v>
      </c>
      <c r="G9" s="269"/>
      <c r="H9" s="269" t="s">
        <v>130</v>
      </c>
      <c r="I9" s="269" t="s">
        <v>148</v>
      </c>
    </row>
    <row r="10" spans="1:27" ht="13.5" thickBot="1">
      <c r="A10" s="506"/>
      <c r="B10" s="227" t="s">
        <v>32</v>
      </c>
      <c r="C10" s="260" t="s">
        <v>33</v>
      </c>
      <c r="D10" s="511"/>
      <c r="E10" s="260" t="s">
        <v>126</v>
      </c>
      <c r="F10" s="260" t="s">
        <v>127</v>
      </c>
      <c r="G10" s="277"/>
      <c r="H10" s="260" t="s">
        <v>131</v>
      </c>
      <c r="I10" s="260" t="s">
        <v>27</v>
      </c>
    </row>
    <row r="11" spans="1:27" s="44" customFormat="1">
      <c r="A11" s="48" t="s">
        <v>0</v>
      </c>
      <c r="B11" s="281">
        <f>SUM(B13:B40)</f>
        <v>0</v>
      </c>
      <c r="C11" s="248">
        <f>SUM(C13:C40)</f>
        <v>1790320.8800000001</v>
      </c>
      <c r="D11" s="272">
        <f>SUM(D13:D40)</f>
        <v>196295.38</v>
      </c>
      <c r="E11" s="272">
        <f>SUM(E13:E40)</f>
        <v>40564</v>
      </c>
      <c r="F11" s="272">
        <f>SUM(F13:F40)</f>
        <v>526408.85</v>
      </c>
      <c r="G11" s="272"/>
      <c r="H11" s="271">
        <f>SUM(H13:H40)</f>
        <v>14183</v>
      </c>
      <c r="I11" s="248">
        <f>SUM(I13:I40)</f>
        <v>3588360.82</v>
      </c>
    </row>
    <row r="12" spans="1:27">
      <c r="A12" s="3"/>
      <c r="B12" s="276"/>
      <c r="C12" s="211"/>
      <c r="D12" s="211"/>
      <c r="E12" s="211"/>
      <c r="F12" s="211"/>
      <c r="G12" s="211"/>
      <c r="H12" s="212"/>
      <c r="I12" s="212"/>
    </row>
    <row r="13" spans="1:27">
      <c r="A13" t="s">
        <v>1</v>
      </c>
      <c r="B13" s="130">
        <v>0</v>
      </c>
      <c r="C13" s="50">
        <v>60271.47</v>
      </c>
      <c r="D13" s="374">
        <v>17383</v>
      </c>
      <c r="E13" s="50">
        <v>20282</v>
      </c>
      <c r="F13" s="50">
        <v>108882</v>
      </c>
      <c r="G13" s="337"/>
      <c r="H13" s="130">
        <v>0</v>
      </c>
      <c r="I13" s="323">
        <v>0</v>
      </c>
      <c r="J13" s="5"/>
    </row>
    <row r="14" spans="1:27">
      <c r="A14" t="s">
        <v>2</v>
      </c>
      <c r="B14" s="130">
        <v>0</v>
      </c>
      <c r="C14" s="50">
        <v>132120.92000000001</v>
      </c>
      <c r="D14" s="129">
        <v>0</v>
      </c>
      <c r="E14" s="130">
        <v>0</v>
      </c>
      <c r="F14" s="130">
        <v>0</v>
      </c>
      <c r="G14" s="129"/>
      <c r="H14" s="130">
        <v>0</v>
      </c>
      <c r="I14" s="374">
        <v>315434</v>
      </c>
      <c r="J14" s="5"/>
    </row>
    <row r="15" spans="1:27">
      <c r="A15" t="s">
        <v>3</v>
      </c>
      <c r="B15" s="130">
        <v>0</v>
      </c>
      <c r="C15" s="130">
        <v>105334.58</v>
      </c>
      <c r="D15" s="129">
        <v>0</v>
      </c>
      <c r="E15" s="130">
        <v>0</v>
      </c>
      <c r="F15" s="130">
        <v>0</v>
      </c>
      <c r="G15" s="129"/>
      <c r="H15" s="130">
        <v>0</v>
      </c>
      <c r="I15" s="323">
        <v>0</v>
      </c>
      <c r="J15" s="5"/>
    </row>
    <row r="16" spans="1:27">
      <c r="A16" t="s">
        <v>4</v>
      </c>
      <c r="B16" s="130">
        <v>0</v>
      </c>
      <c r="C16" s="50">
        <v>178861.5</v>
      </c>
      <c r="D16" s="374">
        <v>24677</v>
      </c>
      <c r="E16" s="379">
        <v>0</v>
      </c>
      <c r="F16" s="50">
        <v>78607</v>
      </c>
      <c r="G16" s="129"/>
      <c r="H16" s="130">
        <v>0</v>
      </c>
      <c r="I16" s="374">
        <v>2386462</v>
      </c>
      <c r="J16" s="5"/>
    </row>
    <row r="17" spans="1:10">
      <c r="A17" t="s">
        <v>5</v>
      </c>
      <c r="B17" s="130">
        <v>0</v>
      </c>
      <c r="C17" s="50">
        <v>84284.75</v>
      </c>
      <c r="D17" s="374">
        <v>18517</v>
      </c>
      <c r="E17" s="50">
        <v>20282</v>
      </c>
      <c r="F17" s="50">
        <v>151032</v>
      </c>
      <c r="G17" s="129"/>
      <c r="H17" s="130">
        <v>0</v>
      </c>
      <c r="I17" s="374">
        <v>137978.44</v>
      </c>
      <c r="J17" s="5"/>
    </row>
    <row r="18" spans="1:10">
      <c r="B18" s="349"/>
      <c r="C18" s="341"/>
      <c r="D18" s="339"/>
      <c r="E18" s="341"/>
      <c r="F18" s="341"/>
      <c r="G18" s="339"/>
      <c r="H18" s="349"/>
      <c r="I18" s="337"/>
      <c r="J18" s="5"/>
    </row>
    <row r="19" spans="1:10">
      <c r="A19" t="s">
        <v>6</v>
      </c>
      <c r="B19" s="130">
        <v>0</v>
      </c>
      <c r="C19" s="50">
        <v>121431.7</v>
      </c>
      <c r="D19" s="129">
        <v>0</v>
      </c>
      <c r="E19" s="130">
        <v>0</v>
      </c>
      <c r="F19" s="130">
        <v>0</v>
      </c>
      <c r="G19" s="129"/>
      <c r="H19" s="130">
        <v>0</v>
      </c>
      <c r="I19" s="323">
        <v>0</v>
      </c>
      <c r="J19" s="5"/>
    </row>
    <row r="20" spans="1:10">
      <c r="A20" t="s">
        <v>7</v>
      </c>
      <c r="B20" s="130">
        <v>0</v>
      </c>
      <c r="C20" s="50">
        <v>75832.34</v>
      </c>
      <c r="D20" s="323">
        <v>0</v>
      </c>
      <c r="E20" s="379">
        <v>0</v>
      </c>
      <c r="F20" s="379">
        <v>0</v>
      </c>
      <c r="G20" s="323"/>
      <c r="H20" s="130">
        <v>0</v>
      </c>
      <c r="I20" s="374">
        <v>22148.04</v>
      </c>
      <c r="J20" s="5"/>
    </row>
    <row r="21" spans="1:10">
      <c r="A21" t="s">
        <v>8</v>
      </c>
      <c r="B21" s="130">
        <v>0</v>
      </c>
      <c r="C21" s="50">
        <v>44569.05</v>
      </c>
      <c r="D21" s="129">
        <v>0</v>
      </c>
      <c r="E21" s="130">
        <v>0</v>
      </c>
      <c r="F21" s="130">
        <v>0</v>
      </c>
      <c r="G21" s="129"/>
      <c r="H21" s="130">
        <v>0</v>
      </c>
      <c r="I21" s="380">
        <v>0</v>
      </c>
      <c r="J21" s="5"/>
    </row>
    <row r="22" spans="1:10">
      <c r="A22" t="s">
        <v>9</v>
      </c>
      <c r="B22" s="130">
        <v>0</v>
      </c>
      <c r="C22" s="50">
        <v>191429.84</v>
      </c>
      <c r="D22" s="323">
        <v>0</v>
      </c>
      <c r="E22" s="379">
        <v>0</v>
      </c>
      <c r="F22" s="379">
        <v>0</v>
      </c>
      <c r="G22" s="323"/>
      <c r="H22" s="130">
        <v>0</v>
      </c>
      <c r="I22" s="374">
        <v>52360.67</v>
      </c>
      <c r="J22" s="5"/>
    </row>
    <row r="23" spans="1:10">
      <c r="A23" t="s">
        <v>10</v>
      </c>
      <c r="B23" s="130">
        <v>0</v>
      </c>
      <c r="C23" s="50">
        <v>75601.320000000007</v>
      </c>
      <c r="D23" s="323">
        <v>0</v>
      </c>
      <c r="E23" s="130">
        <v>0</v>
      </c>
      <c r="F23" s="379">
        <v>0</v>
      </c>
      <c r="G23" s="323"/>
      <c r="H23" s="130">
        <v>0</v>
      </c>
      <c r="I23" s="323">
        <v>0</v>
      </c>
      <c r="J23" s="5"/>
    </row>
    <row r="24" spans="1:10">
      <c r="B24" s="349"/>
      <c r="C24" s="341"/>
      <c r="D24" s="339"/>
      <c r="E24" s="341"/>
      <c r="F24" s="341"/>
      <c r="G24" s="339"/>
      <c r="H24" s="349"/>
      <c r="I24" s="337"/>
      <c r="J24" s="5"/>
    </row>
    <row r="25" spans="1:10">
      <c r="A25" t="s">
        <v>11</v>
      </c>
      <c r="B25" s="130">
        <v>0</v>
      </c>
      <c r="C25" s="50">
        <v>63573.440000000002</v>
      </c>
      <c r="D25" s="323">
        <v>0</v>
      </c>
      <c r="E25" s="379">
        <v>0</v>
      </c>
      <c r="F25" s="379">
        <v>0</v>
      </c>
      <c r="G25" s="323"/>
      <c r="H25" s="130">
        <v>0</v>
      </c>
      <c r="I25" s="374">
        <v>19194.86</v>
      </c>
      <c r="J25" s="5"/>
    </row>
    <row r="26" spans="1:10">
      <c r="A26" t="s">
        <v>12</v>
      </c>
      <c r="B26" s="130">
        <v>0</v>
      </c>
      <c r="C26" s="50">
        <v>33244.76</v>
      </c>
      <c r="D26" s="129">
        <v>0</v>
      </c>
      <c r="E26" s="130">
        <v>0</v>
      </c>
      <c r="F26" s="130">
        <v>0</v>
      </c>
      <c r="G26" s="129"/>
      <c r="H26" s="130">
        <v>0</v>
      </c>
      <c r="I26" s="374">
        <v>56705.01</v>
      </c>
      <c r="J26" s="5"/>
    </row>
    <row r="27" spans="1:10">
      <c r="A27" t="s">
        <v>13</v>
      </c>
      <c r="B27" s="130">
        <v>0</v>
      </c>
      <c r="C27" s="50">
        <v>143175</v>
      </c>
      <c r="D27" s="129">
        <v>0</v>
      </c>
      <c r="E27" s="130">
        <v>0</v>
      </c>
      <c r="F27" s="130">
        <v>0</v>
      </c>
      <c r="G27" s="129"/>
      <c r="H27" s="130">
        <v>0</v>
      </c>
      <c r="I27" s="374">
        <v>110658.62</v>
      </c>
      <c r="J27" s="5"/>
    </row>
    <row r="28" spans="1:10">
      <c r="A28" t="s">
        <v>14</v>
      </c>
      <c r="B28" s="130">
        <v>0</v>
      </c>
      <c r="C28" s="50">
        <v>76810.34</v>
      </c>
      <c r="D28" s="129">
        <v>0</v>
      </c>
      <c r="E28" s="130">
        <v>0</v>
      </c>
      <c r="F28" s="130">
        <v>0</v>
      </c>
      <c r="G28" s="129"/>
      <c r="H28" s="130">
        <v>0</v>
      </c>
      <c r="I28" s="374">
        <v>358074</v>
      </c>
      <c r="J28" s="5"/>
    </row>
    <row r="29" spans="1:10">
      <c r="A29" t="s">
        <v>15</v>
      </c>
      <c r="B29" s="130">
        <v>0</v>
      </c>
      <c r="C29" s="50">
        <v>63000.38</v>
      </c>
      <c r="D29" s="323">
        <v>0</v>
      </c>
      <c r="E29" s="130">
        <v>0</v>
      </c>
      <c r="F29" s="379">
        <v>0</v>
      </c>
      <c r="G29" s="323"/>
      <c r="H29" s="130">
        <v>0</v>
      </c>
      <c r="I29" s="374">
        <v>44899.72</v>
      </c>
      <c r="J29" s="5"/>
    </row>
    <row r="30" spans="1:10">
      <c r="B30" s="349"/>
      <c r="C30" s="341"/>
      <c r="D30" s="339"/>
      <c r="E30" s="341"/>
      <c r="F30" s="341"/>
      <c r="G30" s="339"/>
      <c r="H30" s="349"/>
      <c r="I30" s="337"/>
      <c r="J30" s="5"/>
    </row>
    <row r="31" spans="1:10">
      <c r="A31" t="s">
        <v>16</v>
      </c>
      <c r="B31" s="130">
        <v>0</v>
      </c>
      <c r="C31" s="130">
        <v>0</v>
      </c>
      <c r="D31" s="323">
        <v>0</v>
      </c>
      <c r="E31" s="130">
        <v>0</v>
      </c>
      <c r="F31" s="130">
        <v>0</v>
      </c>
      <c r="G31" s="129"/>
      <c r="H31" s="130">
        <v>0</v>
      </c>
      <c r="I31" s="323">
        <v>0</v>
      </c>
      <c r="J31" s="5"/>
    </row>
    <row r="32" spans="1:10">
      <c r="A32" t="s">
        <v>17</v>
      </c>
      <c r="B32" s="130">
        <v>0</v>
      </c>
      <c r="C32" s="50">
        <v>555.5</v>
      </c>
      <c r="D32" s="323">
        <v>0</v>
      </c>
      <c r="E32" s="379">
        <v>0</v>
      </c>
      <c r="F32" s="379">
        <v>0</v>
      </c>
      <c r="G32" s="323"/>
      <c r="H32" s="130">
        <v>0</v>
      </c>
      <c r="I32" s="374">
        <v>43781.1</v>
      </c>
      <c r="J32" s="5"/>
    </row>
    <row r="33" spans="1:10">
      <c r="A33" t="s">
        <v>18</v>
      </c>
      <c r="B33" s="130">
        <v>0</v>
      </c>
      <c r="C33" s="50">
        <v>59397.61</v>
      </c>
      <c r="D33" s="323">
        <v>0</v>
      </c>
      <c r="E33" s="379">
        <v>0</v>
      </c>
      <c r="F33" s="379">
        <v>0</v>
      </c>
      <c r="G33" s="323"/>
      <c r="H33" s="130">
        <v>0</v>
      </c>
      <c r="I33" s="374">
        <v>0</v>
      </c>
      <c r="J33" s="5"/>
    </row>
    <row r="34" spans="1:10">
      <c r="A34" t="s">
        <v>19</v>
      </c>
      <c r="B34" s="130">
        <v>0</v>
      </c>
      <c r="C34" s="50">
        <v>65180.62</v>
      </c>
      <c r="D34" s="374">
        <v>13600.38</v>
      </c>
      <c r="E34" s="130">
        <v>0</v>
      </c>
      <c r="F34" s="50">
        <v>187887.85</v>
      </c>
      <c r="G34" s="323"/>
      <c r="H34" s="130">
        <v>0</v>
      </c>
      <c r="I34" s="323">
        <v>1993.16</v>
      </c>
      <c r="J34" s="5"/>
    </row>
    <row r="35" spans="1:10">
      <c r="A35" t="s">
        <v>20</v>
      </c>
      <c r="B35" s="130">
        <v>0</v>
      </c>
      <c r="C35" s="130">
        <v>0</v>
      </c>
      <c r="D35" s="374">
        <v>0</v>
      </c>
      <c r="E35" s="50">
        <v>0</v>
      </c>
      <c r="F35" s="50">
        <v>0</v>
      </c>
      <c r="G35" s="129"/>
      <c r="H35" s="130">
        <v>0</v>
      </c>
      <c r="I35" s="323">
        <v>0</v>
      </c>
      <c r="J35" s="5"/>
    </row>
    <row r="36" spans="1:10">
      <c r="B36" s="349"/>
      <c r="C36" s="341"/>
      <c r="D36" s="339"/>
      <c r="E36" s="341"/>
      <c r="F36" s="341"/>
      <c r="G36" s="339"/>
      <c r="H36" s="349"/>
      <c r="I36" s="337"/>
      <c r="J36" s="5"/>
    </row>
    <row r="37" spans="1:10">
      <c r="A37" t="s">
        <v>21</v>
      </c>
      <c r="B37" s="130">
        <v>0</v>
      </c>
      <c r="C37" s="50">
        <v>84151.41</v>
      </c>
      <c r="D37" s="129">
        <v>0</v>
      </c>
      <c r="E37" s="130">
        <v>0</v>
      </c>
      <c r="F37" s="130">
        <v>0</v>
      </c>
      <c r="G37" s="129"/>
      <c r="H37" s="130">
        <v>0</v>
      </c>
      <c r="I37" s="374">
        <v>20887</v>
      </c>
      <c r="J37" s="5"/>
    </row>
    <row r="38" spans="1:10">
      <c r="A38" t="s">
        <v>22</v>
      </c>
      <c r="B38" s="130">
        <v>0</v>
      </c>
      <c r="C38" s="50">
        <v>107097.84</v>
      </c>
      <c r="D38" s="323">
        <v>0</v>
      </c>
      <c r="E38" s="379">
        <v>0</v>
      </c>
      <c r="F38" s="379">
        <v>0</v>
      </c>
      <c r="G38" s="323"/>
      <c r="H38" s="374">
        <v>14183</v>
      </c>
      <c r="I38" s="374">
        <v>14169.15</v>
      </c>
      <c r="J38" s="5"/>
    </row>
    <row r="39" spans="1:10">
      <c r="A39" t="s">
        <v>23</v>
      </c>
      <c r="B39" s="374">
        <v>0</v>
      </c>
      <c r="C39" s="50">
        <v>24396.51</v>
      </c>
      <c r="D39" s="129">
        <v>0</v>
      </c>
      <c r="E39" s="130">
        <v>0</v>
      </c>
      <c r="F39" s="130">
        <v>0</v>
      </c>
      <c r="G39" s="129"/>
      <c r="H39" s="130">
        <v>0</v>
      </c>
      <c r="I39" s="374">
        <v>3615.05</v>
      </c>
      <c r="J39" s="5"/>
    </row>
    <row r="40" spans="1:10">
      <c r="A40" s="12" t="s">
        <v>24</v>
      </c>
      <c r="B40" s="381">
        <v>0</v>
      </c>
      <c r="C40" s="131">
        <v>0</v>
      </c>
      <c r="D40" s="115">
        <v>122118</v>
      </c>
      <c r="E40" s="131">
        <v>0</v>
      </c>
      <c r="F40" s="131">
        <v>0</v>
      </c>
      <c r="G40" s="131"/>
      <c r="H40" s="131">
        <v>0</v>
      </c>
      <c r="I40" s="382">
        <v>0</v>
      </c>
    </row>
  </sheetData>
  <sheetProtection password="CAF5" sheet="1" objects="1" scenarios="1"/>
  <mergeCells count="9">
    <mergeCell ref="B5:I5"/>
    <mergeCell ref="A1:F1"/>
    <mergeCell ref="A3:F3"/>
    <mergeCell ref="A7:A10"/>
    <mergeCell ref="D7:F7"/>
    <mergeCell ref="E8:F8"/>
    <mergeCell ref="D8:D10"/>
    <mergeCell ref="H6:I6"/>
    <mergeCell ref="B6:F6"/>
  </mergeCells>
  <phoneticPr fontId="0" type="noConversion"/>
  <printOptions horizontalCentered="1"/>
  <pageMargins left="0.44" right="0.37" top="0.83" bottom="1" header="0.67" footer="0.5"/>
  <pageSetup scale="96" orientation="landscape" r:id="rId1"/>
  <headerFooter alignWithMargins="0">
    <oddFooter>&amp;L&amp;"Arial,Italic"&amp;9MSDE - LFRO  12 / 2014&amp;C- 9 -&amp;R&amp;"Arial,Italic"&amp;9Selected Financial Data-Part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</vt:i4>
      </vt:variant>
    </vt:vector>
  </HeadingPairs>
  <TitlesOfParts>
    <vt:vector size="27" baseType="lpstr">
      <vt:lpstr>table 1</vt:lpstr>
      <vt:lpstr>table 2a</vt:lpstr>
      <vt:lpstr>table3</vt:lpstr>
      <vt:lpstr>table4</vt:lpstr>
      <vt:lpstr>table5</vt:lpstr>
      <vt:lpstr>table 6</vt:lpstr>
      <vt:lpstr>state1</vt:lpstr>
      <vt:lpstr>state2</vt:lpstr>
      <vt:lpstr>state3</vt:lpstr>
      <vt:lpstr>state4</vt:lpstr>
      <vt:lpstr>state5</vt:lpstr>
      <vt:lpstr>fed1</vt:lpstr>
      <vt:lpstr>fed2</vt:lpstr>
      <vt:lpstr>fed3</vt:lpstr>
      <vt:lpstr>fed4</vt:lpstr>
      <vt:lpstr>fed5</vt:lpstr>
      <vt:lpstr>table9</vt:lpstr>
      <vt:lpstr>table 10</vt:lpstr>
      <vt:lpstr>table11</vt:lpstr>
      <vt:lpstr>table12</vt:lpstr>
      <vt:lpstr>Table 12 Continued</vt:lpstr>
      <vt:lpstr>Sheet1</vt:lpstr>
      <vt:lpstr>state1!Print_Area</vt:lpstr>
      <vt:lpstr>'table 6'!Print_Area</vt:lpstr>
      <vt:lpstr>table11!Print_Area</vt:lpstr>
      <vt:lpstr>table3!Print_Area</vt:lpstr>
      <vt:lpstr>table4!Print_Area</vt:lpstr>
    </vt:vector>
  </TitlesOfParts>
  <Company>MSDE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2008 PART 1 Released 10-8-2009</dc:title>
  <dc:subject>Updated as of 11-9-2009</dc:subject>
  <dc:creator>Ron Ieng</dc:creator>
  <cp:lastModifiedBy>mbenjamin</cp:lastModifiedBy>
  <cp:lastPrinted>2015-01-21T16:15:31Z</cp:lastPrinted>
  <dcterms:created xsi:type="dcterms:W3CDTF">1998-03-02T22:29:13Z</dcterms:created>
  <dcterms:modified xsi:type="dcterms:W3CDTF">2015-01-21T16:17:46Z</dcterms:modified>
</cp:coreProperties>
</file>