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3225" windowWidth="12120" windowHeight="9090" tabRatio="768"/>
  </bookViews>
  <sheets>
    <sheet name="table 1" sheetId="15" r:id="rId1"/>
    <sheet name="table 2a" sheetId="36" r:id="rId2"/>
    <sheet name="table3" sheetId="17" r:id="rId3"/>
    <sheet name="table4" sheetId="18" r:id="rId4"/>
    <sheet name="table5" sheetId="19" r:id="rId5"/>
    <sheet name="table 6" sheetId="20" r:id="rId6"/>
    <sheet name="state1" sheetId="3" r:id="rId7"/>
    <sheet name="state2" sheetId="6" r:id="rId8"/>
    <sheet name="state3" sheetId="34" r:id="rId9"/>
    <sheet name="state4" sheetId="7" r:id="rId10"/>
    <sheet name="state5" sheetId="35" r:id="rId11"/>
    <sheet name="fed1" sheetId="2" r:id="rId12"/>
    <sheet name="fed2" sheetId="28" r:id="rId13"/>
    <sheet name="fed3" sheetId="29" r:id="rId14"/>
    <sheet name="fed4" sheetId="30" r:id="rId15"/>
    <sheet name="fed5" sheetId="31" r:id="rId16"/>
    <sheet name="table9" sheetId="21" r:id="rId17"/>
    <sheet name="table 10" sheetId="22" r:id="rId18"/>
    <sheet name="table11" sheetId="23" r:id="rId19"/>
    <sheet name="table12" sheetId="24" r:id="rId20"/>
    <sheet name="Table 12 Continued" sheetId="37" r:id="rId21"/>
    <sheet name="Sheet1" sheetId="38" r:id="rId22"/>
  </sheets>
  <definedNames>
    <definedName name="_xlnm.Print_Area" localSheetId="6">state1!$A$1:$I$40</definedName>
    <definedName name="_xlnm.Print_Area" localSheetId="5">'table 6'!$A$1:$P$43</definedName>
    <definedName name="_xlnm.Print_Area" localSheetId="18">table11!$A$1:$F$47</definedName>
    <definedName name="_xlnm.Print_Area" localSheetId="2">table3!$A$1:$L$42</definedName>
    <definedName name="_xlnm.Print_Area" localSheetId="3">table4!$A$1:$K$39</definedName>
  </definedNames>
  <calcPr calcId="125725"/>
</workbook>
</file>

<file path=xl/calcChain.xml><?xml version="1.0" encoding="utf-8"?>
<calcChain xmlns="http://schemas.openxmlformats.org/spreadsheetml/2006/main">
  <c r="I14" i="3"/>
  <c r="C13" i="36" l="1"/>
  <c r="D10" i="15"/>
  <c r="C9" i="19" l="1"/>
  <c r="C9" i="23" l="1"/>
  <c r="B9" l="1"/>
  <c r="H10" i="22" l="1"/>
  <c r="H39"/>
  <c r="H36"/>
  <c r="H28"/>
  <c r="H27"/>
  <c r="G10"/>
  <c r="F10"/>
  <c r="F25"/>
  <c r="F26"/>
  <c r="F27"/>
  <c r="F28"/>
  <c r="F24"/>
  <c r="F37"/>
  <c r="F38"/>
  <c r="F39"/>
  <c r="F36"/>
  <c r="F31"/>
  <c r="F32"/>
  <c r="F33"/>
  <c r="F34"/>
  <c r="F30"/>
  <c r="F19"/>
  <c r="F20"/>
  <c r="F21"/>
  <c r="F22"/>
  <c r="F18"/>
  <c r="F13"/>
  <c r="F14"/>
  <c r="F15"/>
  <c r="F16"/>
  <c r="F12"/>
  <c r="C37"/>
  <c r="C38"/>
  <c r="C39"/>
  <c r="C36"/>
  <c r="C31"/>
  <c r="C32"/>
  <c r="C33"/>
  <c r="C34"/>
  <c r="C30"/>
  <c r="C25"/>
  <c r="C26"/>
  <c r="C27"/>
  <c r="C28"/>
  <c r="C24"/>
  <c r="C19"/>
  <c r="C20"/>
  <c r="C21"/>
  <c r="C22"/>
  <c r="C18"/>
  <c r="C13"/>
  <c r="C14"/>
  <c r="C15"/>
  <c r="C16"/>
  <c r="C12"/>
  <c r="K10" i="21"/>
  <c r="J10"/>
  <c r="I10"/>
  <c r="H10"/>
  <c r="G10"/>
  <c r="F10"/>
  <c r="F37"/>
  <c r="F38"/>
  <c r="F39"/>
  <c r="F36"/>
  <c r="F31"/>
  <c r="F32"/>
  <c r="F33"/>
  <c r="F34"/>
  <c r="F30"/>
  <c r="F25"/>
  <c r="F26"/>
  <c r="F27"/>
  <c r="F28"/>
  <c r="F24"/>
  <c r="F19"/>
  <c r="F20"/>
  <c r="F21"/>
  <c r="F22"/>
  <c r="F18"/>
  <c r="F13"/>
  <c r="F14"/>
  <c r="F15"/>
  <c r="F16"/>
  <c r="F12"/>
  <c r="E10"/>
  <c r="E37" l="1"/>
  <c r="E38"/>
  <c r="E39"/>
  <c r="E36"/>
  <c r="E31"/>
  <c r="E32"/>
  <c r="E33"/>
  <c r="E34"/>
  <c r="E30"/>
  <c r="E25"/>
  <c r="E26"/>
  <c r="E27"/>
  <c r="E28"/>
  <c r="E24"/>
  <c r="E19"/>
  <c r="E20"/>
  <c r="E21"/>
  <c r="E22"/>
  <c r="E18"/>
  <c r="E13"/>
  <c r="E14"/>
  <c r="E15"/>
  <c r="E16"/>
  <c r="E12"/>
  <c r="M39" i="31"/>
  <c r="B39" i="30"/>
  <c r="G39" i="2"/>
  <c r="M38" i="31"/>
  <c r="F38"/>
  <c r="B38" i="30"/>
  <c r="B38" i="28"/>
  <c r="M37" i="31"/>
  <c r="B37" i="30"/>
  <c r="G37" i="28"/>
  <c r="B37"/>
  <c r="G37" i="2"/>
  <c r="B36" i="30"/>
  <c r="B36" i="28"/>
  <c r="M34" i="31"/>
  <c r="I34"/>
  <c r="F34"/>
  <c r="B34" i="30"/>
  <c r="J34" i="29"/>
  <c r="E34" i="28"/>
  <c r="B34"/>
  <c r="G34" i="2"/>
  <c r="M33" i="31"/>
  <c r="J33"/>
  <c r="B33" i="30"/>
  <c r="B33" i="28"/>
  <c r="B32" i="30"/>
  <c r="E32" i="28"/>
  <c r="B32"/>
  <c r="F31" i="31"/>
  <c r="K31" i="28"/>
  <c r="B31"/>
  <c r="B30"/>
  <c r="B28" i="30"/>
  <c r="F27" i="31"/>
  <c r="B27" i="30"/>
  <c r="B12" i="2" l="1"/>
  <c r="F38" i="7"/>
  <c r="F34"/>
  <c r="F27"/>
  <c r="F20"/>
  <c r="F20" i="29" l="1"/>
  <c r="H12" i="20" l="1"/>
  <c r="H13"/>
  <c r="D37" i="15" l="1"/>
  <c r="D36"/>
  <c r="D35"/>
  <c r="D34"/>
  <c r="D32"/>
  <c r="D31"/>
  <c r="D30"/>
  <c r="D29"/>
  <c r="D28"/>
  <c r="D26"/>
  <c r="D25"/>
  <c r="D24"/>
  <c r="D23"/>
  <c r="D22"/>
  <c r="D20"/>
  <c r="D19"/>
  <c r="D18"/>
  <c r="D17"/>
  <c r="D16"/>
  <c r="D14"/>
  <c r="D13"/>
  <c r="D12"/>
  <c r="D11"/>
  <c r="G12"/>
  <c r="C10" l="1"/>
  <c r="G10"/>
  <c r="C11"/>
  <c r="G11"/>
  <c r="C12"/>
  <c r="C13"/>
  <c r="G13"/>
  <c r="C14"/>
  <c r="G14"/>
  <c r="C16"/>
  <c r="G16"/>
  <c r="C17"/>
  <c r="G17"/>
  <c r="C18"/>
  <c r="G18"/>
  <c r="C19"/>
  <c r="G19"/>
  <c r="C20"/>
  <c r="G20"/>
  <c r="C22"/>
  <c r="G22"/>
  <c r="C23"/>
  <c r="G23"/>
  <c r="C24"/>
  <c r="G24"/>
  <c r="C25"/>
  <c r="G25"/>
  <c r="C26"/>
  <c r="G26"/>
  <c r="C28"/>
  <c r="G28"/>
  <c r="C29"/>
  <c r="G29"/>
  <c r="C30"/>
  <c r="G30"/>
  <c r="C31"/>
  <c r="G31"/>
  <c r="C32"/>
  <c r="G32"/>
  <c r="C34"/>
  <c r="G34"/>
  <c r="C35"/>
  <c r="G35"/>
  <c r="C36"/>
  <c r="G36"/>
  <c r="C37"/>
  <c r="G37"/>
  <c r="G8" l="1"/>
  <c r="C8"/>
  <c r="D8"/>
  <c r="H14" i="20"/>
  <c r="D15" i="21"/>
  <c r="D16"/>
  <c r="D10" i="30"/>
  <c r="I10" i="31"/>
  <c r="H10"/>
  <c r="C39" i="3" l="1"/>
  <c r="E38" i="36" s="1"/>
  <c r="E37" i="15" s="1"/>
  <c r="C38" i="3"/>
  <c r="E37" i="17" s="1"/>
  <c r="C37" i="3"/>
  <c r="E36" i="17" s="1"/>
  <c r="C36" i="3"/>
  <c r="E35" i="17" s="1"/>
  <c r="C34" i="3"/>
  <c r="E33" i="17" s="1"/>
  <c r="C33" i="3"/>
  <c r="E32" i="17" s="1"/>
  <c r="C32" i="3"/>
  <c r="E31" i="17" s="1"/>
  <c r="C31" i="3"/>
  <c r="E30" i="17" s="1"/>
  <c r="C30" i="3"/>
  <c r="E29" i="17" s="1"/>
  <c r="C28" i="3"/>
  <c r="B28" s="1"/>
  <c r="C27"/>
  <c r="E26" i="17" s="1"/>
  <c r="C26" i="3"/>
  <c r="E25" i="17" s="1"/>
  <c r="C25" i="3"/>
  <c r="E24" i="17" s="1"/>
  <c r="C24" i="3"/>
  <c r="E23" i="17" s="1"/>
  <c r="C22" i="3"/>
  <c r="E21" i="17" s="1"/>
  <c r="C21" i="3"/>
  <c r="E20" i="17" s="1"/>
  <c r="C20" i="3"/>
  <c r="E19" i="17" s="1"/>
  <c r="C19" i="3"/>
  <c r="E18" i="17" s="1"/>
  <c r="C18" i="3"/>
  <c r="E17" i="36" s="1"/>
  <c r="E16" i="15" s="1"/>
  <c r="C16" i="3"/>
  <c r="E15" i="36" s="1"/>
  <c r="E14" i="15" s="1"/>
  <c r="C15" i="3"/>
  <c r="B15" s="1"/>
  <c r="C14"/>
  <c r="B14" s="1"/>
  <c r="C13"/>
  <c r="B13" s="1"/>
  <c r="C12"/>
  <c r="E11" i="17" s="1"/>
  <c r="I11" i="34"/>
  <c r="H11"/>
  <c r="F31" i="23"/>
  <c r="H39" i="21"/>
  <c r="H38"/>
  <c r="H37"/>
  <c r="H36"/>
  <c r="H34"/>
  <c r="H33"/>
  <c r="H32"/>
  <c r="G31"/>
  <c r="H30"/>
  <c r="H28"/>
  <c r="G27"/>
  <c r="H22"/>
  <c r="G21"/>
  <c r="H20"/>
  <c r="H19"/>
  <c r="H18"/>
  <c r="H16"/>
  <c r="H15"/>
  <c r="H14"/>
  <c r="H13"/>
  <c r="H39" i="20"/>
  <c r="B39" s="1"/>
  <c r="H38"/>
  <c r="H37"/>
  <c r="B37" s="1"/>
  <c r="H36"/>
  <c r="H34"/>
  <c r="B34" s="1"/>
  <c r="H33"/>
  <c r="H32"/>
  <c r="B32" s="1"/>
  <c r="H31"/>
  <c r="B31" s="1"/>
  <c r="H30"/>
  <c r="B30" s="1"/>
  <c r="M30" s="1"/>
  <c r="H28"/>
  <c r="H27"/>
  <c r="B27" s="1"/>
  <c r="M27" s="1"/>
  <c r="H26"/>
  <c r="B26" s="1"/>
  <c r="H25"/>
  <c r="B25" s="1"/>
  <c r="H24"/>
  <c r="H22"/>
  <c r="B22" s="1"/>
  <c r="H21"/>
  <c r="H20"/>
  <c r="B20" s="1"/>
  <c r="H19"/>
  <c r="H18"/>
  <c r="B18" s="1"/>
  <c r="H16"/>
  <c r="H15"/>
  <c r="B15" s="1"/>
  <c r="M15" s="1"/>
  <c r="B13"/>
  <c r="M13" s="1"/>
  <c r="B12"/>
  <c r="B39" i="2"/>
  <c r="F38" i="17" s="1"/>
  <c r="B38" i="2"/>
  <c r="F37" i="17" s="1"/>
  <c r="B36" i="2"/>
  <c r="F35" i="17" s="1"/>
  <c r="B33" i="2"/>
  <c r="F32" i="36" s="1"/>
  <c r="F31" i="15" s="1"/>
  <c r="B32" i="2"/>
  <c r="F31" i="36" s="1"/>
  <c r="F30" i="15" s="1"/>
  <c r="B31" i="2"/>
  <c r="F30" i="36" s="1"/>
  <c r="F29" i="15" s="1"/>
  <c r="B28" i="2"/>
  <c r="F27" i="17" s="1"/>
  <c r="B27" i="2"/>
  <c r="F26" i="17" s="1"/>
  <c r="B26" i="2"/>
  <c r="F25" i="17" s="1"/>
  <c r="B25" i="2"/>
  <c r="F24" i="17" s="1"/>
  <c r="B22" i="2"/>
  <c r="F21" i="36" s="1"/>
  <c r="F20" i="15" s="1"/>
  <c r="B21" i="2"/>
  <c r="F20" i="17" s="1"/>
  <c r="B20" i="2"/>
  <c r="F19" i="17" s="1"/>
  <c r="B19" i="2"/>
  <c r="F18" i="36" s="1"/>
  <c r="F17" i="15" s="1"/>
  <c r="B18" i="2"/>
  <c r="F17" i="17" s="1"/>
  <c r="B16" i="2"/>
  <c r="F15" i="17" s="1"/>
  <c r="B15" i="2"/>
  <c r="F14" i="17" s="1"/>
  <c r="B14" i="2"/>
  <c r="F13" i="36" s="1"/>
  <c r="F12" i="15" s="1"/>
  <c r="B13" i="2"/>
  <c r="F12" i="36" s="1"/>
  <c r="F11" i="15" s="1"/>
  <c r="F11" i="36"/>
  <c r="F10" i="15" s="1"/>
  <c r="B24" i="2"/>
  <c r="F23" i="36" s="1"/>
  <c r="F22" i="15" s="1"/>
  <c r="C10" i="31"/>
  <c r="B10"/>
  <c r="K10"/>
  <c r="B30" i="2"/>
  <c r="F29" i="17" s="1"/>
  <c r="I10" i="28"/>
  <c r="E10" i="29"/>
  <c r="D10"/>
  <c r="C10"/>
  <c r="B10"/>
  <c r="I10"/>
  <c r="H10"/>
  <c r="G10"/>
  <c r="F10"/>
  <c r="G10" i="31"/>
  <c r="H10" i="30"/>
  <c r="G10"/>
  <c r="F10"/>
  <c r="E10"/>
  <c r="C10"/>
  <c r="B10"/>
  <c r="C10" i="2"/>
  <c r="D10"/>
  <c r="E10"/>
  <c r="F10"/>
  <c r="G10"/>
  <c r="H10"/>
  <c r="I10"/>
  <c r="J10"/>
  <c r="K10"/>
  <c r="G10" i="28"/>
  <c r="F10"/>
  <c r="D10"/>
  <c r="C10"/>
  <c r="B10"/>
  <c r="B34" i="2"/>
  <c r="F33" i="17" s="1"/>
  <c r="B37" i="2"/>
  <c r="F36" i="17" s="1"/>
  <c r="E10" i="28"/>
  <c r="C12" i="37"/>
  <c r="H12" s="1"/>
  <c r="D12"/>
  <c r="I12" s="1"/>
  <c r="E12"/>
  <c r="J12" s="1"/>
  <c r="C13"/>
  <c r="H13" s="1"/>
  <c r="D13"/>
  <c r="E13"/>
  <c r="J13" s="1"/>
  <c r="I13"/>
  <c r="C14"/>
  <c r="H14" s="1"/>
  <c r="D14"/>
  <c r="E14"/>
  <c r="I14"/>
  <c r="C15"/>
  <c r="H15" s="1"/>
  <c r="D15"/>
  <c r="E15"/>
  <c r="J15" s="1"/>
  <c r="I15"/>
  <c r="C16"/>
  <c r="H16" s="1"/>
  <c r="D16"/>
  <c r="I16" s="1"/>
  <c r="E16"/>
  <c r="C18"/>
  <c r="H18" s="1"/>
  <c r="D18"/>
  <c r="E18"/>
  <c r="I18"/>
  <c r="C19"/>
  <c r="H19" s="1"/>
  <c r="D19"/>
  <c r="I19" s="1"/>
  <c r="E19"/>
  <c r="C20"/>
  <c r="H20" s="1"/>
  <c r="D20"/>
  <c r="E20"/>
  <c r="J20" s="1"/>
  <c r="C21"/>
  <c r="D21"/>
  <c r="E21"/>
  <c r="J21" s="1"/>
  <c r="I21"/>
  <c r="C22"/>
  <c r="D22"/>
  <c r="E22"/>
  <c r="J22" s="1"/>
  <c r="C24"/>
  <c r="D24"/>
  <c r="E24"/>
  <c r="J24" s="1"/>
  <c r="I24"/>
  <c r="C25"/>
  <c r="H25" s="1"/>
  <c r="D25"/>
  <c r="E25"/>
  <c r="J25" s="1"/>
  <c r="C26"/>
  <c r="D26"/>
  <c r="E26"/>
  <c r="J26" s="1"/>
  <c r="I26"/>
  <c r="C27"/>
  <c r="D27"/>
  <c r="E27"/>
  <c r="J27" s="1"/>
  <c r="C28"/>
  <c r="D28"/>
  <c r="E28"/>
  <c r="J28" s="1"/>
  <c r="I28"/>
  <c r="C30"/>
  <c r="H30" s="1"/>
  <c r="D30"/>
  <c r="E30"/>
  <c r="J30" s="1"/>
  <c r="C31"/>
  <c r="D31"/>
  <c r="E31"/>
  <c r="J31" s="1"/>
  <c r="C32"/>
  <c r="D32"/>
  <c r="E32"/>
  <c r="J32" s="1"/>
  <c r="I32"/>
  <c r="C33"/>
  <c r="H33" s="1"/>
  <c r="D33"/>
  <c r="E33"/>
  <c r="J33" s="1"/>
  <c r="C34"/>
  <c r="D34"/>
  <c r="E34"/>
  <c r="J34" s="1"/>
  <c r="I34"/>
  <c r="C36"/>
  <c r="D36"/>
  <c r="E36"/>
  <c r="J36" s="1"/>
  <c r="C37"/>
  <c r="H37" s="1"/>
  <c r="D37"/>
  <c r="E37"/>
  <c r="J37" s="1"/>
  <c r="I37"/>
  <c r="C38"/>
  <c r="D38"/>
  <c r="E38"/>
  <c r="J38" s="1"/>
  <c r="C39"/>
  <c r="D39"/>
  <c r="E39"/>
  <c r="J39" s="1"/>
  <c r="I39"/>
  <c r="C12" i="24"/>
  <c r="H12" s="1"/>
  <c r="D12"/>
  <c r="E12"/>
  <c r="J12" s="1"/>
  <c r="I12"/>
  <c r="C13"/>
  <c r="D13"/>
  <c r="E13"/>
  <c r="I13"/>
  <c r="C14"/>
  <c r="D14"/>
  <c r="I14" s="1"/>
  <c r="E14"/>
  <c r="C15"/>
  <c r="H15" s="1"/>
  <c r="D15"/>
  <c r="E15"/>
  <c r="I15"/>
  <c r="C16"/>
  <c r="H16" s="1"/>
  <c r="D16"/>
  <c r="E16"/>
  <c r="J16" s="1"/>
  <c r="C18"/>
  <c r="D18"/>
  <c r="E18"/>
  <c r="I18"/>
  <c r="C19"/>
  <c r="D19"/>
  <c r="E19"/>
  <c r="J19" s="1"/>
  <c r="C20"/>
  <c r="D20"/>
  <c r="E20"/>
  <c r="J20" s="1"/>
  <c r="I20"/>
  <c r="C21"/>
  <c r="H21" s="1"/>
  <c r="D21"/>
  <c r="E21"/>
  <c r="J21" s="1"/>
  <c r="C22"/>
  <c r="D22"/>
  <c r="E22"/>
  <c r="J22" s="1"/>
  <c r="I22"/>
  <c r="C24"/>
  <c r="D24"/>
  <c r="E24"/>
  <c r="J24" s="1"/>
  <c r="C25"/>
  <c r="D25"/>
  <c r="E25"/>
  <c r="J25" s="1"/>
  <c r="I25"/>
  <c r="C26"/>
  <c r="H26" s="1"/>
  <c r="D26"/>
  <c r="E26"/>
  <c r="J26" s="1"/>
  <c r="C27"/>
  <c r="D27"/>
  <c r="E27"/>
  <c r="J27" s="1"/>
  <c r="I27"/>
  <c r="C28"/>
  <c r="D28"/>
  <c r="E28"/>
  <c r="J28" s="1"/>
  <c r="C30"/>
  <c r="H30" s="1"/>
  <c r="D30"/>
  <c r="E30"/>
  <c r="J30" s="1"/>
  <c r="C31"/>
  <c r="D31"/>
  <c r="I31" s="1"/>
  <c r="E31"/>
  <c r="J31" s="1"/>
  <c r="C32"/>
  <c r="D32"/>
  <c r="E32"/>
  <c r="J32" s="1"/>
  <c r="C33"/>
  <c r="D33"/>
  <c r="E33"/>
  <c r="J33" s="1"/>
  <c r="I33"/>
  <c r="C34"/>
  <c r="H34" s="1"/>
  <c r="D34"/>
  <c r="E34"/>
  <c r="J34" s="1"/>
  <c r="C36"/>
  <c r="D36"/>
  <c r="E36"/>
  <c r="J36" s="1"/>
  <c r="I36"/>
  <c r="C37"/>
  <c r="D37"/>
  <c r="E37"/>
  <c r="J37" s="1"/>
  <c r="C38"/>
  <c r="H38" s="1"/>
  <c r="D38"/>
  <c r="E38"/>
  <c r="J38" s="1"/>
  <c r="I38"/>
  <c r="C39"/>
  <c r="D39"/>
  <c r="E39"/>
  <c r="J39" s="1"/>
  <c r="E9" i="23"/>
  <c r="D11"/>
  <c r="F11"/>
  <c r="D12"/>
  <c r="F12"/>
  <c r="D13"/>
  <c r="F13"/>
  <c r="D14"/>
  <c r="F14"/>
  <c r="D15"/>
  <c r="F15"/>
  <c r="D17"/>
  <c r="F17"/>
  <c r="D18"/>
  <c r="F18"/>
  <c r="D19"/>
  <c r="F19"/>
  <c r="D20"/>
  <c r="F20"/>
  <c r="D21"/>
  <c r="F21"/>
  <c r="D23"/>
  <c r="F23"/>
  <c r="D24"/>
  <c r="F24"/>
  <c r="D25"/>
  <c r="F25"/>
  <c r="D26"/>
  <c r="F26"/>
  <c r="D27"/>
  <c r="F27"/>
  <c r="D29"/>
  <c r="F29"/>
  <c r="D30"/>
  <c r="F30"/>
  <c r="D31"/>
  <c r="D32"/>
  <c r="F32"/>
  <c r="D33"/>
  <c r="F33"/>
  <c r="D35"/>
  <c r="F35"/>
  <c r="D36"/>
  <c r="F36"/>
  <c r="D37"/>
  <c r="F37"/>
  <c r="D38"/>
  <c r="F38"/>
  <c r="B10" i="22"/>
  <c r="E10"/>
  <c r="G12"/>
  <c r="G13"/>
  <c r="H13" s="1"/>
  <c r="G14"/>
  <c r="H14" s="1"/>
  <c r="G15"/>
  <c r="H15" s="1"/>
  <c r="G16"/>
  <c r="H16" s="1"/>
  <c r="G18"/>
  <c r="G19"/>
  <c r="H19" s="1"/>
  <c r="G20"/>
  <c r="G21"/>
  <c r="G22"/>
  <c r="G24"/>
  <c r="G25"/>
  <c r="G26"/>
  <c r="G27"/>
  <c r="G28"/>
  <c r="G30"/>
  <c r="G31"/>
  <c r="H31" s="1"/>
  <c r="G32"/>
  <c r="H32" s="1"/>
  <c r="G33"/>
  <c r="H33" s="1"/>
  <c r="G34"/>
  <c r="H34" s="1"/>
  <c r="G36"/>
  <c r="G37"/>
  <c r="H37" s="1"/>
  <c r="G38"/>
  <c r="H38" s="1"/>
  <c r="G39"/>
  <c r="B10" i="21"/>
  <c r="C10"/>
  <c r="D12"/>
  <c r="D13"/>
  <c r="G13"/>
  <c r="D14"/>
  <c r="G14"/>
  <c r="G15"/>
  <c r="G16"/>
  <c r="I16" s="1"/>
  <c r="D18"/>
  <c r="G18"/>
  <c r="D19"/>
  <c r="G19"/>
  <c r="D20"/>
  <c r="G20"/>
  <c r="D21"/>
  <c r="D22"/>
  <c r="G22"/>
  <c r="D24"/>
  <c r="D25"/>
  <c r="D26"/>
  <c r="D27"/>
  <c r="D28"/>
  <c r="G28"/>
  <c r="D30"/>
  <c r="G30"/>
  <c r="D31"/>
  <c r="D32"/>
  <c r="G32"/>
  <c r="I32" s="1"/>
  <c r="D33"/>
  <c r="G33"/>
  <c r="I33" s="1"/>
  <c r="D34"/>
  <c r="G34"/>
  <c r="I34" s="1"/>
  <c r="D36"/>
  <c r="G36"/>
  <c r="I36" s="1"/>
  <c r="D37"/>
  <c r="D38"/>
  <c r="G38"/>
  <c r="D39"/>
  <c r="D10" i="31"/>
  <c r="E10"/>
  <c r="F10"/>
  <c r="J10"/>
  <c r="L10"/>
  <c r="I10" i="30"/>
  <c r="K10"/>
  <c r="L10"/>
  <c r="J10"/>
  <c r="J10" i="29"/>
  <c r="H10" i="28"/>
  <c r="J10"/>
  <c r="J9" i="35"/>
  <c r="B9"/>
  <c r="F9"/>
  <c r="B11" i="7"/>
  <c r="C11"/>
  <c r="D11"/>
  <c r="E11"/>
  <c r="F11"/>
  <c r="B11" i="34"/>
  <c r="D11"/>
  <c r="E11"/>
  <c r="F11"/>
  <c r="C11"/>
  <c r="B10" i="6"/>
  <c r="C10"/>
  <c r="D10"/>
  <c r="E10"/>
  <c r="G10"/>
  <c r="H10"/>
  <c r="I10"/>
  <c r="E10" i="3"/>
  <c r="G10"/>
  <c r="H10"/>
  <c r="I10"/>
  <c r="F10"/>
  <c r="B18"/>
  <c r="B20"/>
  <c r="B22"/>
  <c r="B30"/>
  <c r="B32"/>
  <c r="B33"/>
  <c r="B38"/>
  <c r="B39"/>
  <c r="C10" i="20"/>
  <c r="D10"/>
  <c r="E10"/>
  <c r="F10"/>
  <c r="G10"/>
  <c r="I10"/>
  <c r="K10"/>
  <c r="B14"/>
  <c r="M14" s="1"/>
  <c r="B16"/>
  <c r="M16" s="1"/>
  <c r="B19"/>
  <c r="M19" s="1"/>
  <c r="B21"/>
  <c r="M21" s="1"/>
  <c r="B24"/>
  <c r="M24" s="1"/>
  <c r="B28"/>
  <c r="M28" s="1"/>
  <c r="B33"/>
  <c r="N33" s="1"/>
  <c r="B36"/>
  <c r="M36" s="1"/>
  <c r="B38"/>
  <c r="M38" s="1"/>
  <c r="D9" i="19"/>
  <c r="E9"/>
  <c r="F9"/>
  <c r="G9"/>
  <c r="B11"/>
  <c r="I11" s="1"/>
  <c r="B12"/>
  <c r="I12" s="1"/>
  <c r="B13"/>
  <c r="I13" s="1"/>
  <c r="B14"/>
  <c r="I14" s="1"/>
  <c r="B15"/>
  <c r="I15" s="1"/>
  <c r="B17"/>
  <c r="I17" s="1"/>
  <c r="B18"/>
  <c r="I18" s="1"/>
  <c r="B19"/>
  <c r="I19" s="1"/>
  <c r="B20"/>
  <c r="I20" s="1"/>
  <c r="B21"/>
  <c r="I21" s="1"/>
  <c r="B23"/>
  <c r="I23" s="1"/>
  <c r="B24"/>
  <c r="I24" s="1"/>
  <c r="B25"/>
  <c r="I25" s="1"/>
  <c r="B26"/>
  <c r="I26" s="1"/>
  <c r="B27"/>
  <c r="I27" s="1"/>
  <c r="B29"/>
  <c r="I29" s="1"/>
  <c r="B30"/>
  <c r="I30" s="1"/>
  <c r="B31"/>
  <c r="I31" s="1"/>
  <c r="B32"/>
  <c r="I32" s="1"/>
  <c r="B33"/>
  <c r="I33" s="1"/>
  <c r="B35"/>
  <c r="I35" s="1"/>
  <c r="B36"/>
  <c r="I36" s="1"/>
  <c r="B37"/>
  <c r="I37" s="1"/>
  <c r="B38"/>
  <c r="I38" s="1"/>
  <c r="C9" i="18"/>
  <c r="D9"/>
  <c r="E9"/>
  <c r="F9"/>
  <c r="G9"/>
  <c r="B11"/>
  <c r="H11" s="1"/>
  <c r="B12"/>
  <c r="H12" s="1"/>
  <c r="B13"/>
  <c r="H13" s="1"/>
  <c r="B14"/>
  <c r="H14" s="1"/>
  <c r="B15"/>
  <c r="H15" s="1"/>
  <c r="B17"/>
  <c r="H17" s="1"/>
  <c r="B18"/>
  <c r="H18" s="1"/>
  <c r="B19"/>
  <c r="H19" s="1"/>
  <c r="B20"/>
  <c r="H20" s="1"/>
  <c r="B21"/>
  <c r="H21" s="1"/>
  <c r="B23"/>
  <c r="H23" s="1"/>
  <c r="B24"/>
  <c r="H24" s="1"/>
  <c r="B25"/>
  <c r="H25" s="1"/>
  <c r="B26"/>
  <c r="B27"/>
  <c r="H27" s="1"/>
  <c r="B29"/>
  <c r="K29" s="1"/>
  <c r="B30"/>
  <c r="H30" s="1"/>
  <c r="B31"/>
  <c r="H31" s="1"/>
  <c r="B32"/>
  <c r="H32" s="1"/>
  <c r="B33"/>
  <c r="H33" s="1"/>
  <c r="B35"/>
  <c r="H35" s="1"/>
  <c r="B36"/>
  <c r="H36" s="1"/>
  <c r="B37"/>
  <c r="H37" s="1"/>
  <c r="B38"/>
  <c r="H38" s="1"/>
  <c r="C11" i="17"/>
  <c r="D11"/>
  <c r="G11"/>
  <c r="C12"/>
  <c r="D12"/>
  <c r="G12"/>
  <c r="C13"/>
  <c r="D13"/>
  <c r="G13"/>
  <c r="C14"/>
  <c r="D14"/>
  <c r="G14"/>
  <c r="C15"/>
  <c r="D15"/>
  <c r="G15"/>
  <c r="C17"/>
  <c r="D17"/>
  <c r="E17"/>
  <c r="G17"/>
  <c r="C18"/>
  <c r="D18"/>
  <c r="G18"/>
  <c r="C19"/>
  <c r="D19"/>
  <c r="G19"/>
  <c r="C20"/>
  <c r="D20"/>
  <c r="G20"/>
  <c r="C21"/>
  <c r="D21"/>
  <c r="G21"/>
  <c r="C23"/>
  <c r="D23"/>
  <c r="G23"/>
  <c r="C24"/>
  <c r="D24"/>
  <c r="G24"/>
  <c r="C25"/>
  <c r="D25"/>
  <c r="G25"/>
  <c r="C26"/>
  <c r="D26"/>
  <c r="G26"/>
  <c r="C27"/>
  <c r="D27"/>
  <c r="G27"/>
  <c r="C29"/>
  <c r="D29"/>
  <c r="G29"/>
  <c r="C30"/>
  <c r="D30"/>
  <c r="G30"/>
  <c r="C31"/>
  <c r="D31"/>
  <c r="G31"/>
  <c r="C32"/>
  <c r="D32"/>
  <c r="G32"/>
  <c r="C33"/>
  <c r="D33"/>
  <c r="G33"/>
  <c r="C35"/>
  <c r="D35"/>
  <c r="G35"/>
  <c r="C36"/>
  <c r="D36"/>
  <c r="G36"/>
  <c r="C37"/>
  <c r="D37"/>
  <c r="G37"/>
  <c r="C38"/>
  <c r="D38"/>
  <c r="G38"/>
  <c r="C9" i="36"/>
  <c r="D9"/>
  <c r="G9"/>
  <c r="E18"/>
  <c r="E17" i="15" s="1"/>
  <c r="E27" i="36"/>
  <c r="E26" i="15" s="1"/>
  <c r="B12" i="37"/>
  <c r="G12" s="1"/>
  <c r="F23" i="17"/>
  <c r="E38"/>
  <c r="J29" i="18"/>
  <c r="I30" i="24"/>
  <c r="I30" i="37"/>
  <c r="D10" i="21"/>
  <c r="O21" i="20"/>
  <c r="H29" i="18"/>
  <c r="J35"/>
  <c r="J26"/>
  <c r="J19"/>
  <c r="J12"/>
  <c r="D10" i="3"/>
  <c r="E36" i="36"/>
  <c r="E35" i="15" s="1"/>
  <c r="E15" i="17"/>
  <c r="K33" i="19"/>
  <c r="B9"/>
  <c r="H14" i="24"/>
  <c r="J14"/>
  <c r="J14" i="37"/>
  <c r="M10" i="31"/>
  <c r="K10" i="28"/>
  <c r="E37" i="36"/>
  <c r="E36" i="15" s="1"/>
  <c r="F9" i="23"/>
  <c r="D9"/>
  <c r="C10" i="22"/>
  <c r="P38" i="20"/>
  <c r="P16"/>
  <c r="H39" i="24"/>
  <c r="H37"/>
  <c r="H36"/>
  <c r="H33"/>
  <c r="H32"/>
  <c r="H31"/>
  <c r="H28"/>
  <c r="H27"/>
  <c r="H25"/>
  <c r="H24"/>
  <c r="H22"/>
  <c r="H20"/>
  <c r="H19"/>
  <c r="H18"/>
  <c r="J15"/>
  <c r="H13"/>
  <c r="H39" i="37"/>
  <c r="H38"/>
  <c r="H36"/>
  <c r="H34"/>
  <c r="H32"/>
  <c r="H31"/>
  <c r="H28"/>
  <c r="H27"/>
  <c r="H26"/>
  <c r="H24"/>
  <c r="H22"/>
  <c r="H21"/>
  <c r="J19"/>
  <c r="J18"/>
  <c r="J16"/>
  <c r="B15"/>
  <c r="G15" s="1"/>
  <c r="H30" i="22" l="1"/>
  <c r="I30"/>
  <c r="F36" i="36"/>
  <c r="F35" i="15" s="1"/>
  <c r="B35" s="1"/>
  <c r="B31" i="3"/>
  <c r="B37"/>
  <c r="B27"/>
  <c r="L15" i="19"/>
  <c r="L30"/>
  <c r="L12"/>
  <c r="L36"/>
  <c r="J30"/>
  <c r="K25"/>
  <c r="K32"/>
  <c r="L19"/>
  <c r="J19"/>
  <c r="L13"/>
  <c r="J12"/>
  <c r="K27" i="18"/>
  <c r="K18"/>
  <c r="J37"/>
  <c r="I36" i="22"/>
  <c r="I27"/>
  <c r="I25"/>
  <c r="H25"/>
  <c r="I28"/>
  <c r="I26"/>
  <c r="H26"/>
  <c r="I24"/>
  <c r="H24"/>
  <c r="I18"/>
  <c r="H18"/>
  <c r="I22"/>
  <c r="H22"/>
  <c r="I21"/>
  <c r="H21"/>
  <c r="I20"/>
  <c r="H20"/>
  <c r="B16" i="3"/>
  <c r="E27" i="17"/>
  <c r="B24" i="3"/>
  <c r="B19"/>
  <c r="E14" i="17"/>
  <c r="B14" s="1"/>
  <c r="I14" s="1"/>
  <c r="O36" i="20"/>
  <c r="L20" i="19"/>
  <c r="L17"/>
  <c r="K27"/>
  <c r="L23"/>
  <c r="J20"/>
  <c r="K13"/>
  <c r="L27"/>
  <c r="J27"/>
  <c r="L26"/>
  <c r="L25"/>
  <c r="J25"/>
  <c r="L24"/>
  <c r="L21"/>
  <c r="J13"/>
  <c r="L38"/>
  <c r="J36"/>
  <c r="L35"/>
  <c r="L31"/>
  <c r="J23"/>
  <c r="K19"/>
  <c r="L18"/>
  <c r="J38"/>
  <c r="L37"/>
  <c r="J35"/>
  <c r="J33"/>
  <c r="L32"/>
  <c r="J32"/>
  <c r="K20"/>
  <c r="J18"/>
  <c r="J15"/>
  <c r="L14"/>
  <c r="J30" i="18"/>
  <c r="J27"/>
  <c r="I27"/>
  <c r="K31"/>
  <c r="K11"/>
  <c r="I12"/>
  <c r="J14"/>
  <c r="B26" i="3"/>
  <c r="E23" i="36"/>
  <c r="E22" i="15" s="1"/>
  <c r="B22" s="1"/>
  <c r="K22" s="1"/>
  <c r="B21" i="3"/>
  <c r="F38" i="36"/>
  <c r="F37" i="15" s="1"/>
  <c r="B37" s="1"/>
  <c r="F35" i="36"/>
  <c r="F34" i="15" s="1"/>
  <c r="K38" i="19"/>
  <c r="K38" i="18"/>
  <c r="I38"/>
  <c r="J37" i="19"/>
  <c r="I37" i="18"/>
  <c r="K36" i="19"/>
  <c r="K36" i="18"/>
  <c r="K35" i="19"/>
  <c r="K33" i="18"/>
  <c r="I33"/>
  <c r="J33"/>
  <c r="J32"/>
  <c r="I32"/>
  <c r="K30" i="19"/>
  <c r="L29"/>
  <c r="J29"/>
  <c r="J26"/>
  <c r="I26" i="18"/>
  <c r="K25"/>
  <c r="J24" i="19"/>
  <c r="K23"/>
  <c r="K23" i="18"/>
  <c r="J21" i="19"/>
  <c r="K20" i="18"/>
  <c r="I20"/>
  <c r="I19"/>
  <c r="J17" i="19"/>
  <c r="K15"/>
  <c r="J14"/>
  <c r="K13" i="18"/>
  <c r="B17" i="15"/>
  <c r="K17" s="1"/>
  <c r="B25" i="3"/>
  <c r="L11" i="19"/>
  <c r="I38" i="22"/>
  <c r="I33"/>
  <c r="I31"/>
  <c r="I19"/>
  <c r="I15"/>
  <c r="I13"/>
  <c r="K12" i="18"/>
  <c r="J11" i="19"/>
  <c r="F15" i="36"/>
  <c r="F14" i="15" s="1"/>
  <c r="B12" i="24"/>
  <c r="G12" s="1"/>
  <c r="B14" i="15"/>
  <c r="L14" s="1"/>
  <c r="G9" i="17"/>
  <c r="N12" i="20"/>
  <c r="P12"/>
  <c r="O12"/>
  <c r="E32" i="36"/>
  <c r="E31" i="15" s="1"/>
  <c r="B31" s="1"/>
  <c r="L31" s="1"/>
  <c r="F24" i="36"/>
  <c r="F23" i="15" s="1"/>
  <c r="B14" i="24"/>
  <c r="G14" s="1"/>
  <c r="B14" i="37"/>
  <c r="G14" s="1"/>
  <c r="O27" i="20"/>
  <c r="F13" i="17"/>
  <c r="E30" i="36"/>
  <c r="E29" i="15" s="1"/>
  <c r="B29" s="1"/>
  <c r="K29" s="1"/>
  <c r="E25" i="36"/>
  <c r="E24" i="15" s="1"/>
  <c r="E20" i="36"/>
  <c r="E19" i="15" s="1"/>
  <c r="F11" i="17"/>
  <c r="B11" s="1"/>
  <c r="B13" i="24"/>
  <c r="B34" i="3"/>
  <c r="E33" i="36"/>
  <c r="E32" i="15" s="1"/>
  <c r="E14" i="36"/>
  <c r="E13" i="15" s="1"/>
  <c r="E31" i="36"/>
  <c r="E30" i="15" s="1"/>
  <c r="B30" s="1"/>
  <c r="E29" i="36"/>
  <c r="E28" i="15" s="1"/>
  <c r="E26" i="36"/>
  <c r="E25" i="15" s="1"/>
  <c r="E24" i="36"/>
  <c r="E23" i="15" s="1"/>
  <c r="E21" i="36"/>
  <c r="E20" i="15" s="1"/>
  <c r="B20" s="1"/>
  <c r="E19" i="36"/>
  <c r="E18" i="15" s="1"/>
  <c r="E12" i="17"/>
  <c r="K21" i="19"/>
  <c r="B30" i="24"/>
  <c r="G30" s="1"/>
  <c r="B28"/>
  <c r="G28" s="1"/>
  <c r="C9" i="17"/>
  <c r="J31" i="19"/>
  <c r="N14" i="20"/>
  <c r="L33" i="19"/>
  <c r="I9"/>
  <c r="K17"/>
  <c r="K11"/>
  <c r="K37"/>
  <c r="K31"/>
  <c r="K29"/>
  <c r="K24"/>
  <c r="K26"/>
  <c r="B26" i="24"/>
  <c r="G26" s="1"/>
  <c r="B24"/>
  <c r="G24" s="1"/>
  <c r="B21"/>
  <c r="G21" s="1"/>
  <c r="B19"/>
  <c r="G19" s="1"/>
  <c r="K18" i="19"/>
  <c r="K9"/>
  <c r="K14"/>
  <c r="J9"/>
  <c r="L9"/>
  <c r="K12"/>
  <c r="J36" i="18"/>
  <c r="I35"/>
  <c r="I31"/>
  <c r="I30"/>
  <c r="K26"/>
  <c r="I23"/>
  <c r="J17"/>
  <c r="J21"/>
  <c r="I18"/>
  <c r="I17"/>
  <c r="K15"/>
  <c r="I14"/>
  <c r="I11"/>
  <c r="I13"/>
  <c r="I29"/>
  <c r="K37"/>
  <c r="I36"/>
  <c r="J13"/>
  <c r="J38"/>
  <c r="K35"/>
  <c r="K32"/>
  <c r="J24"/>
  <c r="I24"/>
  <c r="I25"/>
  <c r="I21"/>
  <c r="K21"/>
  <c r="J23"/>
  <c r="J18"/>
  <c r="K17"/>
  <c r="I15"/>
  <c r="B9"/>
  <c r="K9" s="1"/>
  <c r="J31"/>
  <c r="K30"/>
  <c r="J25"/>
  <c r="K24"/>
  <c r="J20"/>
  <c r="K19"/>
  <c r="D10" i="24"/>
  <c r="I10" s="1"/>
  <c r="D10" i="37"/>
  <c r="I10" s="1"/>
  <c r="J15" i="18"/>
  <c r="K14"/>
  <c r="J11"/>
  <c r="C10" i="24"/>
  <c r="H10" s="1"/>
  <c r="B16"/>
  <c r="G16" s="1"/>
  <c r="B18" i="36"/>
  <c r="J18" s="1"/>
  <c r="B29" i="17"/>
  <c r="J29" s="1"/>
  <c r="B27"/>
  <c r="J27" s="1"/>
  <c r="I39" i="22"/>
  <c r="I37"/>
  <c r="I34"/>
  <c r="I32"/>
  <c r="I16"/>
  <c r="I14"/>
  <c r="I12"/>
  <c r="H12"/>
  <c r="K36" i="21"/>
  <c r="L36" s="1"/>
  <c r="K34"/>
  <c r="L34" s="1"/>
  <c r="K33"/>
  <c r="L33" s="1"/>
  <c r="K32"/>
  <c r="L32" s="1"/>
  <c r="K16"/>
  <c r="L16" s="1"/>
  <c r="H25"/>
  <c r="G25"/>
  <c r="G12"/>
  <c r="H21"/>
  <c r="I21" s="1"/>
  <c r="H24"/>
  <c r="G24"/>
  <c r="H26"/>
  <c r="G26"/>
  <c r="I38"/>
  <c r="I30"/>
  <c r="I28"/>
  <c r="I25"/>
  <c r="I22"/>
  <c r="I20"/>
  <c r="I19"/>
  <c r="I18"/>
  <c r="I14"/>
  <c r="I13"/>
  <c r="G39"/>
  <c r="I39" s="1"/>
  <c r="G37"/>
  <c r="I37" s="1"/>
  <c r="H31"/>
  <c r="I31" s="1"/>
  <c r="H27"/>
  <c r="I27" s="1"/>
  <c r="I15"/>
  <c r="H12"/>
  <c r="F21" i="17"/>
  <c r="B21" s="1"/>
  <c r="I21" s="1"/>
  <c r="M18" i="20"/>
  <c r="N18"/>
  <c r="P18"/>
  <c r="M20"/>
  <c r="N20"/>
  <c r="O20"/>
  <c r="M22"/>
  <c r="N22"/>
  <c r="M25"/>
  <c r="P25"/>
  <c r="M32"/>
  <c r="N32"/>
  <c r="M34"/>
  <c r="N34"/>
  <c r="N37"/>
  <c r="M37"/>
  <c r="P37"/>
  <c r="M39"/>
  <c r="N39"/>
  <c r="P21"/>
  <c r="O33"/>
  <c r="F20" i="36"/>
  <c r="F19" i="15" s="1"/>
  <c r="M12" i="20"/>
  <c r="O14"/>
  <c r="O22"/>
  <c r="O34"/>
  <c r="O38"/>
  <c r="O19"/>
  <c r="O32"/>
  <c r="O39"/>
  <c r="N30"/>
  <c r="F32" i="17"/>
  <c r="B32" s="1"/>
  <c r="L32" s="1"/>
  <c r="P20" i="20"/>
  <c r="P19"/>
  <c r="O28"/>
  <c r="O30"/>
  <c r="P30"/>
  <c r="H10"/>
  <c r="N31"/>
  <c r="O31"/>
  <c r="P31"/>
  <c r="P33"/>
  <c r="F31" i="17"/>
  <c r="B31" s="1"/>
  <c r="I31" s="1"/>
  <c r="M26" i="20"/>
  <c r="N26"/>
  <c r="O26"/>
  <c r="F27" i="36"/>
  <c r="F26" i="15" s="1"/>
  <c r="O25" i="20"/>
  <c r="O24"/>
  <c r="N24"/>
  <c r="N28"/>
  <c r="P28"/>
  <c r="P27"/>
  <c r="P24"/>
  <c r="O16"/>
  <c r="N16"/>
  <c r="P13"/>
  <c r="B10"/>
  <c r="O13"/>
  <c r="B23" i="36"/>
  <c r="J23" s="1"/>
  <c r="F14"/>
  <c r="F13" i="15" s="1"/>
  <c r="F12" i="17"/>
  <c r="B12" s="1"/>
  <c r="K12" s="1"/>
  <c r="F18"/>
  <c r="B18" s="1"/>
  <c r="F29" i="36"/>
  <c r="F28" i="15" s="1"/>
  <c r="F30" i="17"/>
  <c r="B30" s="1"/>
  <c r="K30" s="1"/>
  <c r="F37" i="36"/>
  <c r="F25"/>
  <c r="B25" i="17"/>
  <c r="I25" s="1"/>
  <c r="F17" i="36"/>
  <c r="I27" i="17"/>
  <c r="F26" i="36"/>
  <c r="F25" i="15" s="1"/>
  <c r="B19" i="17"/>
  <c r="L19" s="1"/>
  <c r="F19" i="36"/>
  <c r="F18" i="15" s="1"/>
  <c r="I29" i="17"/>
  <c r="F33" i="36"/>
  <c r="F32" i="15" s="1"/>
  <c r="B33" i="17"/>
  <c r="J33" s="1"/>
  <c r="B15" i="24"/>
  <c r="G15" s="1"/>
  <c r="B22" i="37"/>
  <c r="G22" s="1"/>
  <c r="B17" i="17"/>
  <c r="J17" s="1"/>
  <c r="N19" i="20"/>
  <c r="B20" i="17"/>
  <c r="L20" s="1"/>
  <c r="B24"/>
  <c r="I24" s="1"/>
  <c r="B26"/>
  <c r="I26" s="1"/>
  <c r="P32" i="20"/>
  <c r="P34"/>
  <c r="M31"/>
  <c r="P22"/>
  <c r="P15"/>
  <c r="B38" i="17"/>
  <c r="J38" s="1"/>
  <c r="P39" i="20"/>
  <c r="N38"/>
  <c r="B35" i="17"/>
  <c r="I35" s="1"/>
  <c r="M33" i="20"/>
  <c r="N27"/>
  <c r="P26"/>
  <c r="N25"/>
  <c r="N15"/>
  <c r="P14"/>
  <c r="B39" i="24"/>
  <c r="G39" s="1"/>
  <c r="B37"/>
  <c r="G37" s="1"/>
  <c r="B34"/>
  <c r="G34" s="1"/>
  <c r="B32"/>
  <c r="G32" s="1"/>
  <c r="B36" i="37"/>
  <c r="G36" s="1"/>
  <c r="B33"/>
  <c r="G33" s="1"/>
  <c r="B31"/>
  <c r="G31" s="1"/>
  <c r="B19"/>
  <c r="G19" s="1"/>
  <c r="B16"/>
  <c r="G16" s="1"/>
  <c r="B36" i="17"/>
  <c r="I36" s="1"/>
  <c r="B15"/>
  <c r="J15" s="1"/>
  <c r="E35" i="36"/>
  <c r="E34" i="15" s="1"/>
  <c r="B36" i="3"/>
  <c r="O37" i="20"/>
  <c r="N36"/>
  <c r="O18"/>
  <c r="B38" i="24"/>
  <c r="G38" s="1"/>
  <c r="B36"/>
  <c r="G36" s="1"/>
  <c r="B33"/>
  <c r="G33" s="1"/>
  <c r="B31"/>
  <c r="G31" s="1"/>
  <c r="B27"/>
  <c r="G27" s="1"/>
  <c r="B25"/>
  <c r="G25" s="1"/>
  <c r="B22"/>
  <c r="G22" s="1"/>
  <c r="B20"/>
  <c r="G20" s="1"/>
  <c r="E10"/>
  <c r="J10" s="1"/>
  <c r="B18"/>
  <c r="G18" s="1"/>
  <c r="B39" i="37"/>
  <c r="G39" s="1"/>
  <c r="B37"/>
  <c r="G37" s="1"/>
  <c r="B34"/>
  <c r="G34" s="1"/>
  <c r="B32"/>
  <c r="G32" s="1"/>
  <c r="B30"/>
  <c r="G30" s="1"/>
  <c r="B27"/>
  <c r="G27" s="1"/>
  <c r="B25"/>
  <c r="G25" s="1"/>
  <c r="B20"/>
  <c r="G20" s="1"/>
  <c r="B18"/>
  <c r="G18" s="1"/>
  <c r="E10"/>
  <c r="J10" s="1"/>
  <c r="B13"/>
  <c r="G13" s="1"/>
  <c r="D9" i="17"/>
  <c r="N21" i="20"/>
  <c r="N13"/>
  <c r="B38" i="37"/>
  <c r="G38" s="1"/>
  <c r="B28"/>
  <c r="G28" s="1"/>
  <c r="B26"/>
  <c r="G26" s="1"/>
  <c r="B24"/>
  <c r="G24" s="1"/>
  <c r="B21"/>
  <c r="G21" s="1"/>
  <c r="C10"/>
  <c r="H10" s="1"/>
  <c r="B10" i="2"/>
  <c r="G13" i="24"/>
  <c r="P36" i="20"/>
  <c r="O15"/>
  <c r="I37" i="24"/>
  <c r="I34"/>
  <c r="I32"/>
  <c r="I28"/>
  <c r="I26"/>
  <c r="I24"/>
  <c r="I21"/>
  <c r="I19"/>
  <c r="J18"/>
  <c r="I16"/>
  <c r="J13"/>
  <c r="I38" i="37"/>
  <c r="I36"/>
  <c r="I33"/>
  <c r="I31"/>
  <c r="I27"/>
  <c r="I25"/>
  <c r="I22"/>
  <c r="I20"/>
  <c r="B37" i="17"/>
  <c r="K37" s="1"/>
  <c r="B23"/>
  <c r="I23" s="1"/>
  <c r="E12" i="36"/>
  <c r="E11" i="15" s="1"/>
  <c r="B11" s="1"/>
  <c r="E13" i="36"/>
  <c r="E12" i="15" s="1"/>
  <c r="B12" s="1"/>
  <c r="E13" i="17"/>
  <c r="B12" i="3"/>
  <c r="C10"/>
  <c r="E11" i="36"/>
  <c r="E10" i="15" s="1"/>
  <c r="B36" i="36" l="1"/>
  <c r="J36" s="1"/>
  <c r="L21" i="17"/>
  <c r="B15" i="36"/>
  <c r="J15" s="1"/>
  <c r="J21" i="17"/>
  <c r="I18" i="36"/>
  <c r="K18"/>
  <c r="I24" i="21"/>
  <c r="B13" i="17"/>
  <c r="B34" i="15"/>
  <c r="K34" s="1"/>
  <c r="B31" i="36"/>
  <c r="L31" s="1"/>
  <c r="B30"/>
  <c r="I30" s="1"/>
  <c r="K14" i="15"/>
  <c r="I22"/>
  <c r="L22"/>
  <c r="J22"/>
  <c r="L17"/>
  <c r="B32" i="36"/>
  <c r="L32" s="1"/>
  <c r="J17" i="15"/>
  <c r="I17"/>
  <c r="B38" i="36"/>
  <c r="K38" s="1"/>
  <c r="K33" i="17"/>
  <c r="K29"/>
  <c r="B23" i="15"/>
  <c r="L23" s="1"/>
  <c r="I14"/>
  <c r="J14"/>
  <c r="J29"/>
  <c r="I29"/>
  <c r="L29"/>
  <c r="I10" i="22"/>
  <c r="I26" i="21"/>
  <c r="I31" i="15"/>
  <c r="J31"/>
  <c r="K31"/>
  <c r="K31" i="17"/>
  <c r="F16" i="15"/>
  <c r="B16" s="1"/>
  <c r="F24"/>
  <c r="B24" s="1"/>
  <c r="F36"/>
  <c r="B36" s="1"/>
  <c r="E8"/>
  <c r="B10"/>
  <c r="L12"/>
  <c r="K12"/>
  <c r="J12"/>
  <c r="I12"/>
  <c r="L11"/>
  <c r="K11"/>
  <c r="J11"/>
  <c r="I11"/>
  <c r="B14" i="36"/>
  <c r="I14" s="1"/>
  <c r="B27"/>
  <c r="I27" s="1"/>
  <c r="B26" i="15"/>
  <c r="L37"/>
  <c r="K37"/>
  <c r="J37"/>
  <c r="I37"/>
  <c r="B18"/>
  <c r="B28"/>
  <c r="B13"/>
  <c r="L34"/>
  <c r="B20" i="36"/>
  <c r="I20" s="1"/>
  <c r="B19" i="15"/>
  <c r="L20"/>
  <c r="K20"/>
  <c r="J20"/>
  <c r="I20"/>
  <c r="L30"/>
  <c r="K30"/>
  <c r="J30"/>
  <c r="I30"/>
  <c r="L35"/>
  <c r="K35"/>
  <c r="J35"/>
  <c r="I35"/>
  <c r="B25"/>
  <c r="B32"/>
  <c r="B24" i="36"/>
  <c r="B21"/>
  <c r="K21" s="1"/>
  <c r="L31" i="17"/>
  <c r="L29"/>
  <c r="B10" i="3"/>
  <c r="E9" i="17"/>
  <c r="L25"/>
  <c r="I9" i="18"/>
  <c r="J9"/>
  <c r="H9"/>
  <c r="I15" i="17"/>
  <c r="I33"/>
  <c r="K25"/>
  <c r="L27"/>
  <c r="K27"/>
  <c r="B10" i="24"/>
  <c r="G10" s="1"/>
  <c r="K21" i="17"/>
  <c r="B10" i="37"/>
  <c r="G10" s="1"/>
  <c r="L18" i="36"/>
  <c r="K15" i="21"/>
  <c r="L15" s="1"/>
  <c r="K27"/>
  <c r="L27" s="1"/>
  <c r="K37"/>
  <c r="L37" s="1"/>
  <c r="K13"/>
  <c r="L13" s="1"/>
  <c r="K18"/>
  <c r="L18" s="1"/>
  <c r="K20"/>
  <c r="L20" s="1"/>
  <c r="K22"/>
  <c r="L22" s="1"/>
  <c r="K28"/>
  <c r="L28" s="1"/>
  <c r="K38"/>
  <c r="L38" s="1"/>
  <c r="K26"/>
  <c r="L26" s="1"/>
  <c r="K31"/>
  <c r="L31" s="1"/>
  <c r="K39"/>
  <c r="L39" s="1"/>
  <c r="K14"/>
  <c r="L14" s="1"/>
  <c r="K19"/>
  <c r="L19" s="1"/>
  <c r="K21"/>
  <c r="L21" s="1"/>
  <c r="K24"/>
  <c r="L24" s="1"/>
  <c r="K25"/>
  <c r="L25" s="1"/>
  <c r="K30"/>
  <c r="L30" s="1"/>
  <c r="I12"/>
  <c r="I32" i="17"/>
  <c r="I31" i="36"/>
  <c r="L33" i="17"/>
  <c r="L17"/>
  <c r="I17"/>
  <c r="I38"/>
  <c r="L14"/>
  <c r="J12"/>
  <c r="L36" i="36"/>
  <c r="L38" i="17"/>
  <c r="K17"/>
  <c r="B37" i="36"/>
  <c r="L37" s="1"/>
  <c r="K23"/>
  <c r="L23"/>
  <c r="F9"/>
  <c r="B29"/>
  <c r="J32" i="17"/>
  <c r="J31"/>
  <c r="J25"/>
  <c r="I23" i="36"/>
  <c r="N10" i="20"/>
  <c r="M10"/>
  <c r="P10"/>
  <c r="O10"/>
  <c r="I19" i="17"/>
  <c r="J14"/>
  <c r="L12"/>
  <c r="K24"/>
  <c r="F9"/>
  <c r="I12"/>
  <c r="I18"/>
  <c r="J18"/>
  <c r="L18"/>
  <c r="K18"/>
  <c r="K14"/>
  <c r="I37" i="36"/>
  <c r="B25"/>
  <c r="I25" s="1"/>
  <c r="I37" i="17"/>
  <c r="J37"/>
  <c r="L30"/>
  <c r="J30"/>
  <c r="I30"/>
  <c r="L26"/>
  <c r="B17" i="36"/>
  <c r="J20" i="17"/>
  <c r="K15"/>
  <c r="L15"/>
  <c r="J19"/>
  <c r="I20"/>
  <c r="L24"/>
  <c r="J36"/>
  <c r="L15" i="36"/>
  <c r="K31"/>
  <c r="J31"/>
  <c r="B26"/>
  <c r="K26" i="17"/>
  <c r="B19" i="36"/>
  <c r="K19" i="17"/>
  <c r="L37"/>
  <c r="K38"/>
  <c r="B33" i="36"/>
  <c r="J30"/>
  <c r="K32" i="17"/>
  <c r="L23"/>
  <c r="J24"/>
  <c r="K20"/>
  <c r="J26"/>
  <c r="I21" i="36"/>
  <c r="J35" i="17"/>
  <c r="L35"/>
  <c r="L36"/>
  <c r="K36"/>
  <c r="K35"/>
  <c r="K23"/>
  <c r="B35" i="36"/>
  <c r="J23" i="17"/>
  <c r="B12" i="36"/>
  <c r="B13"/>
  <c r="J13" i="17"/>
  <c r="I13"/>
  <c r="L13"/>
  <c r="K13"/>
  <c r="E9" i="36"/>
  <c r="B11"/>
  <c r="J11" i="17"/>
  <c r="I11"/>
  <c r="K11"/>
  <c r="B9"/>
  <c r="L11"/>
  <c r="K36" i="36" l="1"/>
  <c r="I36"/>
  <c r="K15"/>
  <c r="I15"/>
  <c r="L14"/>
  <c r="J21"/>
  <c r="J34" i="15"/>
  <c r="I34"/>
  <c r="J20" i="36"/>
  <c r="J32"/>
  <c r="L30"/>
  <c r="I32"/>
  <c r="K27"/>
  <c r="K30"/>
  <c r="K32"/>
  <c r="L21"/>
  <c r="K14"/>
  <c r="L38"/>
  <c r="I23" i="15"/>
  <c r="J38" i="36"/>
  <c r="I38"/>
  <c r="J23" i="15"/>
  <c r="K23"/>
  <c r="J14" i="36"/>
  <c r="K24" i="15"/>
  <c r="I24"/>
  <c r="L24"/>
  <c r="J24"/>
  <c r="K36"/>
  <c r="I36"/>
  <c r="L36"/>
  <c r="J36"/>
  <c r="K16"/>
  <c r="I16"/>
  <c r="L16"/>
  <c r="J16"/>
  <c r="L32"/>
  <c r="K32"/>
  <c r="J32"/>
  <c r="I32"/>
  <c r="L19"/>
  <c r="K19"/>
  <c r="J19"/>
  <c r="I19"/>
  <c r="L13"/>
  <c r="K13"/>
  <c r="J13"/>
  <c r="I13"/>
  <c r="L18"/>
  <c r="K18"/>
  <c r="J18"/>
  <c r="I18"/>
  <c r="J27" i="36"/>
  <c r="L27"/>
  <c r="L25" i="15"/>
  <c r="K25"/>
  <c r="J25"/>
  <c r="I25"/>
  <c r="L20" i="36"/>
  <c r="K20"/>
  <c r="L28" i="15"/>
  <c r="K28"/>
  <c r="J28"/>
  <c r="I28"/>
  <c r="L26"/>
  <c r="K26"/>
  <c r="J26"/>
  <c r="I26"/>
  <c r="L10"/>
  <c r="I10"/>
  <c r="J10"/>
  <c r="B8"/>
  <c r="K10"/>
  <c r="F8"/>
  <c r="J24" i="36"/>
  <c r="K24"/>
  <c r="L24"/>
  <c r="I24"/>
  <c r="K12" i="21"/>
  <c r="K25" i="36"/>
  <c r="K37"/>
  <c r="J37"/>
  <c r="I29"/>
  <c r="K29"/>
  <c r="J29"/>
  <c r="L29"/>
  <c r="J25"/>
  <c r="L25"/>
  <c r="K17"/>
  <c r="J17"/>
  <c r="I17"/>
  <c r="L17"/>
  <c r="L26"/>
  <c r="K26"/>
  <c r="I26"/>
  <c r="J26"/>
  <c r="J19"/>
  <c r="K19"/>
  <c r="L19"/>
  <c r="I19"/>
  <c r="I33"/>
  <c r="L33"/>
  <c r="J33"/>
  <c r="K33"/>
  <c r="J35"/>
  <c r="I35"/>
  <c r="L35"/>
  <c r="K35"/>
  <c r="J12"/>
  <c r="K12"/>
  <c r="L12"/>
  <c r="I12"/>
  <c r="L13"/>
  <c r="K13"/>
  <c r="J13"/>
  <c r="I13"/>
  <c r="J9" i="17"/>
  <c r="K9"/>
  <c r="L9"/>
  <c r="I9"/>
  <c r="I11" i="36"/>
  <c r="K11"/>
  <c r="J11"/>
  <c r="L11"/>
  <c r="B9"/>
  <c r="L8" i="15" l="1"/>
  <c r="K8"/>
  <c r="J8"/>
  <c r="I8"/>
  <c r="L10" i="21"/>
  <c r="L12"/>
  <c r="L9" i="36"/>
  <c r="K9"/>
  <c r="I9"/>
  <c r="J9"/>
</calcChain>
</file>

<file path=xl/sharedStrings.xml><?xml version="1.0" encoding="utf-8"?>
<sst xmlns="http://schemas.openxmlformats.org/spreadsheetml/2006/main" count="1010" uniqueCount="291">
  <si>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</si>
  <si>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</si>
  <si>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</si>
  <si>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</si>
  <si>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</si>
  <si>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</si>
  <si>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</si>
  <si>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</si>
  <si>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</si>
  <si>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</si>
  <si>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</si>
  <si>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</si>
  <si>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</si>
  <si>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</si>
  <si>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</si>
  <si>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</si>
  <si>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</si>
  <si>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</si>
  <si>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</si>
  <si>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</si>
  <si>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</si>
  <si>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</si>
  <si>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</si>
  <si>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</si>
  <si>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</si>
  <si>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Formula</t>
  </si>
  <si>
    <t>Technology</t>
  </si>
  <si>
    <t>Care</t>
  </si>
  <si>
    <t>Nonpublic</t>
  </si>
  <si>
    <t>Placements</t>
  </si>
  <si>
    <t>Gifted</t>
  </si>
  <si>
    <t>and</t>
  </si>
  <si>
    <t>Talented</t>
  </si>
  <si>
    <t>Education</t>
  </si>
  <si>
    <t>School</t>
  </si>
  <si>
    <t>Community</t>
  </si>
  <si>
    <t>Other</t>
  </si>
  <si>
    <t>Food</t>
  </si>
  <si>
    <t>Service</t>
  </si>
  <si>
    <t>Construc-</t>
  </si>
  <si>
    <t>tion</t>
  </si>
  <si>
    <t>Debt</t>
  </si>
  <si>
    <t>Table 7</t>
  </si>
  <si>
    <t>Total</t>
  </si>
  <si>
    <t>State</t>
  </si>
  <si>
    <t>Funds</t>
  </si>
  <si>
    <t>Current Expense Fund</t>
  </si>
  <si>
    <t>Current Expense Fund (continued)</t>
  </si>
  <si>
    <t>Fund</t>
  </si>
  <si>
    <t>Current</t>
  </si>
  <si>
    <t>Expense</t>
  </si>
  <si>
    <t>Federal</t>
  </si>
  <si>
    <t>Miscellaneous</t>
  </si>
  <si>
    <t>Migrants</t>
  </si>
  <si>
    <t>Preschool</t>
  </si>
  <si>
    <t>Act</t>
  </si>
  <si>
    <t>Elementary and Secondary Education Act</t>
  </si>
  <si>
    <t>Concentration</t>
  </si>
  <si>
    <t>Expenses</t>
  </si>
  <si>
    <t>Even</t>
  </si>
  <si>
    <t>Start</t>
  </si>
  <si>
    <t>Program</t>
  </si>
  <si>
    <t>Basic and</t>
  </si>
  <si>
    <t>Grants</t>
  </si>
  <si>
    <t>Literacy</t>
  </si>
  <si>
    <t>Services</t>
  </si>
  <si>
    <t>Individuals with Disabilities Act</t>
  </si>
  <si>
    <t>Basic</t>
  </si>
  <si>
    <t>Tech</t>
  </si>
  <si>
    <t>Prep</t>
  </si>
  <si>
    <t>Nutrition Act</t>
  </si>
  <si>
    <t>National</t>
  </si>
  <si>
    <t>Value of</t>
  </si>
  <si>
    <t>Commodities</t>
  </si>
  <si>
    <t>Food Service Programs</t>
  </si>
  <si>
    <t>Construction</t>
  </si>
  <si>
    <t>Lunch/Child</t>
  </si>
  <si>
    <t>Local</t>
  </si>
  <si>
    <t>Appropriation</t>
  </si>
  <si>
    <t>Non-</t>
  </si>
  <si>
    <t>Revenue</t>
  </si>
  <si>
    <t>revenue</t>
  </si>
  <si>
    <t>Percent from Each Source</t>
  </si>
  <si>
    <t>Revenue and</t>
  </si>
  <si>
    <t>Nonrevenue</t>
  </si>
  <si>
    <t>Table 1</t>
  </si>
  <si>
    <t>Table 2</t>
  </si>
  <si>
    <t>Table 4</t>
  </si>
  <si>
    <t>Table 5</t>
  </si>
  <si>
    <t>Table 6</t>
  </si>
  <si>
    <t>Children's</t>
  </si>
  <si>
    <t>Payments</t>
  </si>
  <si>
    <t>Sales</t>
  </si>
  <si>
    <t>Table 9</t>
  </si>
  <si>
    <t>State Share</t>
  </si>
  <si>
    <t>NOTE:  Audit adjustments are not included</t>
  </si>
  <si>
    <t>Table 10</t>
  </si>
  <si>
    <t>(B)</t>
  </si>
  <si>
    <t>(C)</t>
  </si>
  <si>
    <t>Assessed</t>
  </si>
  <si>
    <t>Valuation</t>
  </si>
  <si>
    <t>(Thousands)</t>
  </si>
  <si>
    <t>Number</t>
  </si>
  <si>
    <t>of Pupils</t>
  </si>
  <si>
    <t>per Pupil</t>
  </si>
  <si>
    <t>per Capita</t>
  </si>
  <si>
    <t>Table 12</t>
  </si>
  <si>
    <t>Table 11</t>
  </si>
  <si>
    <t>All</t>
  </si>
  <si>
    <t xml:space="preserve">Current </t>
  </si>
  <si>
    <t xml:space="preserve">                                         </t>
  </si>
  <si>
    <t>Table 3</t>
  </si>
  <si>
    <t>Cash</t>
  </si>
  <si>
    <t>Other*</t>
  </si>
  <si>
    <t>Valuation for</t>
  </si>
  <si>
    <t>Local Purposes</t>
  </si>
  <si>
    <t>Expenses*</t>
  </si>
  <si>
    <t>Table 7 (continued)</t>
  </si>
  <si>
    <t>Table 8</t>
  </si>
  <si>
    <t>Table 8 (continued)</t>
  </si>
  <si>
    <t xml:space="preserve">Infants </t>
  </si>
  <si>
    <t>Toddlers</t>
  </si>
  <si>
    <t>Innovative Programs</t>
  </si>
  <si>
    <t>Schools</t>
  </si>
  <si>
    <t>Adult Education</t>
  </si>
  <si>
    <t>External</t>
  </si>
  <si>
    <t>Diploma</t>
  </si>
  <si>
    <t>Works</t>
  </si>
  <si>
    <t>Science/</t>
  </si>
  <si>
    <t>Math</t>
  </si>
  <si>
    <t>Near County</t>
  </si>
  <si>
    <t>Lines</t>
  </si>
  <si>
    <t>Agency</t>
  </si>
  <si>
    <t>(Excluding State-Paid Teachers' Retirement)</t>
  </si>
  <si>
    <t>Adult</t>
  </si>
  <si>
    <t xml:space="preserve">Indian </t>
  </si>
  <si>
    <t>Title III</t>
  </si>
  <si>
    <t>Title XIX</t>
  </si>
  <si>
    <t xml:space="preserve">Part B - </t>
  </si>
  <si>
    <t xml:space="preserve">Part H - </t>
  </si>
  <si>
    <t>National &amp;</t>
  </si>
  <si>
    <t xml:space="preserve">  Non-</t>
  </si>
  <si>
    <t>(Including State-Paid Teachers' Retirement)</t>
  </si>
  <si>
    <t>USDA</t>
  </si>
  <si>
    <t>State Grant</t>
  </si>
  <si>
    <t>Neglected</t>
  </si>
  <si>
    <t>Delinquent</t>
  </si>
  <si>
    <t>Out of County</t>
  </si>
  <si>
    <t>Living - Foster</t>
  </si>
  <si>
    <t>Student Transportation</t>
  </si>
  <si>
    <t>Other State Revenue</t>
  </si>
  <si>
    <t>Combined Grants</t>
  </si>
  <si>
    <t>Higher Education Act - Advanced Placement Fees</t>
  </si>
  <si>
    <t xml:space="preserve">State Share of Teachers' Retirement </t>
  </si>
  <si>
    <t>Regular Transportation</t>
  </si>
  <si>
    <t>Transportation of Students with Disibilities</t>
  </si>
  <si>
    <t>Continuing Education</t>
  </si>
  <si>
    <t>Local      Education Agency</t>
  </si>
  <si>
    <t>Teacher Stipends &amp; Bonuses</t>
  </si>
  <si>
    <t>Hoyer Funds II</t>
  </si>
  <si>
    <t>Hoyer General Funds</t>
  </si>
  <si>
    <t>Smith Island</t>
  </si>
  <si>
    <t>School Boat</t>
  </si>
  <si>
    <t>Foundation Program</t>
  </si>
  <si>
    <t>Local Education Agency</t>
  </si>
  <si>
    <t>Per Student Foundation Program</t>
  </si>
  <si>
    <t>Wealth Per Student</t>
  </si>
  <si>
    <t>Total Foundation Program minus Local Share                 ( S1)</t>
  </si>
  <si>
    <t>Unadjusted Calculation</t>
  </si>
  <si>
    <t>Wealth Per Student - Table 9</t>
  </si>
  <si>
    <t>Minimum Grant</t>
  </si>
  <si>
    <t>Total Grant - Greater of Adjusted or Minimum Calculation</t>
  </si>
  <si>
    <t>Local Appropriations in Dollars</t>
  </si>
  <si>
    <t>Local Appropriations in Percent of Assessed Valuation</t>
  </si>
  <si>
    <t xml:space="preserve">Infants &amp; Toddlers </t>
  </si>
  <si>
    <t>English Language Acquisition</t>
  </si>
  <si>
    <t>Improving Teacher Quality State Grants</t>
  </si>
  <si>
    <t>21st Century Community Learning Centers.</t>
  </si>
  <si>
    <t>TITLE II</t>
  </si>
  <si>
    <t>Part B - Math &amp; Sciences</t>
  </si>
  <si>
    <t xml:space="preserve">Reading </t>
  </si>
  <si>
    <t>First</t>
  </si>
  <si>
    <t>Other Earnings on Investment</t>
  </si>
  <si>
    <t>Unrestricted and Impact Aid Funds</t>
  </si>
  <si>
    <t xml:space="preserve">Charter </t>
  </si>
  <si>
    <t>Public Health Services Act</t>
  </si>
  <si>
    <t>Social Security Act Medical Assistance</t>
  </si>
  <si>
    <t>Stewart B. McKinney Homeless Assistance</t>
  </si>
  <si>
    <t>Safe and Drug Free Communities</t>
  </si>
  <si>
    <t>Title X - Fund for Improvement of Education</t>
  </si>
  <si>
    <t>Total Local Wealth *</t>
  </si>
  <si>
    <t>GCEI - Regional Difference</t>
  </si>
  <si>
    <t>(D)</t>
  </si>
  <si>
    <t>Additional Grant to Adjusted Calculation</t>
  </si>
  <si>
    <t>Appropriation**</t>
  </si>
  <si>
    <r>
      <t xml:space="preserve">*** </t>
    </r>
    <r>
      <rPr>
        <sz val="10"/>
        <rFont val="Arial"/>
        <family val="2"/>
      </rPr>
      <t>Includes the following:  tuition, transportation fees, transfers from school units in other states, and other miscellaneous revenue.</t>
    </r>
  </si>
  <si>
    <r>
      <t>Other</t>
    </r>
    <r>
      <rPr>
        <b/>
        <sz val="10"/>
        <rFont val="Arial"/>
        <family val="2"/>
      </rPr>
      <t>***</t>
    </r>
  </si>
  <si>
    <t>*  Includes revenue from the following funds:  Current Expense, School Construction, Debt Service, and Food Service.</t>
  </si>
  <si>
    <t>Charles*</t>
  </si>
  <si>
    <t>** Nonrevenue includes earnings on investment, rental income, and other miscellaneous receipts, but excludes interfund transfers</t>
  </si>
  <si>
    <t>*** Includes the following:  tuition, transportation fees, transfers from school units in other states, and other miscellaneous revenue</t>
  </si>
  <si>
    <t>Other***</t>
  </si>
  <si>
    <t>revenue**</t>
  </si>
  <si>
    <t>Compensatory Education Formula</t>
  </si>
  <si>
    <t>Other**</t>
  </si>
  <si>
    <t>Baltimore City***</t>
  </si>
  <si>
    <t>*Includes earnings on investments, rental income, and other miscellaneous local revenue.</t>
  </si>
  <si>
    <t>*    Includes revenue to meet principal and interest obligations.</t>
  </si>
  <si>
    <t>**  Includes miscellaneous other revenue.</t>
  </si>
  <si>
    <t>NOTE:  Audit adjustments are not included.</t>
  </si>
  <si>
    <t>Belonging**</t>
  </si>
  <si>
    <t>* Assessed</t>
  </si>
  <si>
    <t>Greater of (S1) or ( S2)</t>
  </si>
  <si>
    <r>
      <t xml:space="preserve">** </t>
    </r>
    <r>
      <rPr>
        <sz val="10"/>
        <rFont val="Arial"/>
        <family val="2"/>
      </rPr>
      <t>Includes the following:  tuition, transportation fees, transfers from school units in other states, and other miscellaneous revenue.</t>
    </r>
  </si>
  <si>
    <r>
      <t>Other</t>
    </r>
    <r>
      <rPr>
        <sz val="10"/>
        <rFont val="WP TypographicSymbols"/>
      </rPr>
      <t>**</t>
    </r>
  </si>
  <si>
    <t>Minimum State Share = Foundation Progam x .15           (S2)</t>
  </si>
  <si>
    <t>(B) X 80%</t>
  </si>
  <si>
    <t>Local Appropriations in Percent of Total Local Wealth</t>
  </si>
  <si>
    <t>Local Appropriations for Public Schools as a Percent of Assessed Valuation and Total Local Wealth</t>
  </si>
  <si>
    <t>Table 12 (Continued)</t>
  </si>
  <si>
    <t>*    Excludes federal revenue and state revenue for food service operations; excludes sale of meals and value of USDA commodities.</t>
  </si>
  <si>
    <t>Adult Ed - English Lit/Civics</t>
  </si>
  <si>
    <t>ESEA I - LEA School System Support</t>
  </si>
  <si>
    <t>ESEA I - LEA State Administration</t>
  </si>
  <si>
    <t>Guaranteed Tax Base</t>
  </si>
  <si>
    <t>School Based Health Program</t>
  </si>
  <si>
    <t>ESEA</t>
  </si>
  <si>
    <t xml:space="preserve">Title IID </t>
  </si>
  <si>
    <t>Title IIIA</t>
  </si>
  <si>
    <t>ARRA</t>
  </si>
  <si>
    <t>Supplemental Grants</t>
  </si>
  <si>
    <t>Limited English Proficiency</t>
  </si>
  <si>
    <t>Title I School Improvement</t>
  </si>
  <si>
    <t>Disabled Students</t>
  </si>
  <si>
    <t>Natl Early Intervention Scholarship &amp; Partnership</t>
  </si>
  <si>
    <t xml:space="preserve"> Title II Carl T. Perkins - Career and Technology </t>
  </si>
  <si>
    <t>Displaced Homemakers</t>
  </si>
  <si>
    <t>Sex</t>
  </si>
  <si>
    <t>Equity</t>
  </si>
  <si>
    <t>National School Lunch Equipment Assistance</t>
  </si>
  <si>
    <t>Part B - Preschool</t>
  </si>
  <si>
    <t>Title I</t>
  </si>
  <si>
    <t>State Fiscal Stabilization Fund Grants</t>
  </si>
  <si>
    <t>Education Technology - State Grants</t>
  </si>
  <si>
    <t>Part B - State Pass Through</t>
  </si>
  <si>
    <t>IDEA PartC -  Infant &amp; Families</t>
  </si>
  <si>
    <t>Direct Grants &amp; Other Agencies Subgrants</t>
  </si>
  <si>
    <t xml:space="preserve">ARRA Title I </t>
  </si>
  <si>
    <t>Targeted, Incentive, &amp; Schools Improvement</t>
  </si>
  <si>
    <t>Goals 2000 - Opportunity-to-Learn</t>
  </si>
  <si>
    <t>Race To TheTop</t>
  </si>
  <si>
    <t>Education Jobs Funds</t>
  </si>
  <si>
    <t>Gaining Early Awareness and Readiness</t>
  </si>
  <si>
    <t>IDEA Part C - Severely Handicapped Project</t>
  </si>
  <si>
    <t xml:space="preserve"> </t>
  </si>
  <si>
    <t xml:space="preserve">* Included are taxable income, real and public utility property assessments for state purposes, and 50% of personal property assessments for county purposes; </t>
  </si>
  <si>
    <t xml:space="preserve">         Source:</t>
  </si>
  <si>
    <t>**      Half-time prekindergarten pupils are expressed in full-time equivalents in arriving at per pupil costs.</t>
  </si>
  <si>
    <t xml:space="preserve">        Source:  </t>
  </si>
  <si>
    <t>10-31-2010 Eligible FARMS Students + SEED</t>
  </si>
  <si>
    <t>http://www.census.gov</t>
  </si>
  <si>
    <t>Revenue from All Sources for Current Expenses*:   Maryland Public Schools:  2012 - 2013</t>
  </si>
  <si>
    <t>Revenue from All Sources* for Maryland Public Schools:  2012 - 2013</t>
  </si>
  <si>
    <t>**  Excludes  $11,628,341.04 Baltimore City Public Schools appropriated within the Current Expenses Fund,but transferred to Debt Service Fund.</t>
  </si>
  <si>
    <t xml:space="preserve">***  Baltimore City Public Schools  appropriated $11,628,341.04 for debt servicing within the Current Expenses Fund; this amount is classified here as local appropriation. </t>
  </si>
  <si>
    <t>Revenue from the State for Maryland Public School Purposes: 2012 - 2013</t>
  </si>
  <si>
    <t>Revenue from the State for Maryland Public School Purposes:  2012 - 2013</t>
  </si>
  <si>
    <t>Revenue from All Sources for School Construction:  Maryland Public Schools:  2012- 2013</t>
  </si>
  <si>
    <t>Revenue from All Sources for Debt Service*:  Maryland Public Schools:  2012 - 2013</t>
  </si>
  <si>
    <t>Revenue from All Sources for Food Service Operations:  Maryland Public Schools:  2012 - 2013</t>
  </si>
  <si>
    <t>State Compensatory Education Aid for Maryland Public Schools:  2012 - 2013</t>
  </si>
  <si>
    <t>Enrollment  09-30-2011</t>
  </si>
  <si>
    <t>Total Foundation Program (Enrollment X $6,761)</t>
  </si>
  <si>
    <t>Local Share         ( Local Wealth X .69636%)</t>
  </si>
  <si>
    <t>SOURCE:  MSDE final calculations for the Major State Aid Programs for Fiscal Year 2013</t>
  </si>
  <si>
    <t>Students        X $3,279</t>
  </si>
  <si>
    <t>Grant Adjusted Calculation        @ 0.8425016</t>
  </si>
  <si>
    <t>Assessed Valuation per Pupil Belonging and per Capita:  State of Maryland:  2012 - 2013</t>
  </si>
  <si>
    <t>http://www.dat.state.md.us/sdatweb/stats/AnnualRpt_2013.pdf</t>
  </si>
  <si>
    <t>2013 Population Estimates ***</t>
  </si>
  <si>
    <t xml:space="preserve">        Release Date: April 2013</t>
  </si>
  <si>
    <t>(CO-EST2013-01-24)</t>
  </si>
  <si>
    <t xml:space="preserve">***    Excerpt from Table 1.  Annual Estimates of the Resident Population for Counties of Maryland: April 1, 2010 to July 1, 2013 </t>
  </si>
  <si>
    <r>
      <t xml:space="preserve">* </t>
    </r>
    <r>
      <rPr>
        <sz val="10"/>
        <rFont val="Wingdings"/>
        <charset val="2"/>
      </rPr>
      <t xml:space="preserve">  </t>
    </r>
    <r>
      <rPr>
        <sz val="10"/>
        <rFont val="Arial"/>
        <family val="2"/>
      </rPr>
      <t xml:space="preserve">Excerpt from Table I -   The Taxable Assessable Base at the County Level For the tax year beginning July 1, 2012 </t>
    </r>
  </si>
  <si>
    <t xml:space="preserve">         Base Estimate date: November 30, 2012. Maryland State Department of Assessment and Taxation  Annual Report</t>
  </si>
  <si>
    <t>Maryland Public Schools:  2012 - 2013</t>
  </si>
  <si>
    <t>**  Excludes   $11,628,341.04  Baltimore City Public Schools appropriated within the Current Expenses Fund,but transferred to Debt Service Fund.</t>
  </si>
  <si>
    <t>Revenue from the Federal Government for Maryland Public Schools:  2012 -2013</t>
  </si>
  <si>
    <t>Revenue from the Federal Government for Maryland Public Schools:  2012- 2013</t>
  </si>
  <si>
    <t>Revenue from the Federal Government for Maryland Public Schools:  2012 - 2013</t>
  </si>
  <si>
    <t>Foundation Current Expense Formula Aid for Maryland Public Schools:  2012 - 2013</t>
  </si>
</sst>
</file>

<file path=xl/styles.xml><?xml version="1.0" encoding="utf-8"?>
<styleSheet xmlns="http://schemas.openxmlformats.org/spreadsheetml/2006/main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\ ;\(&quot;$&quot;#,##0\)"/>
    <numFmt numFmtId="168" formatCode="#,##0.000"/>
    <numFmt numFmtId="169" formatCode="#,##0.0000"/>
    <numFmt numFmtId="170" formatCode="0.00000%"/>
    <numFmt numFmtId="171" formatCode="_(* #,##0.00_);_(* \(#,##0.00\);_(* &quot;-&quot;_);_(@_)"/>
  </numFmts>
  <fonts count="22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26"/>
      <name val="Arial"/>
      <family val="2"/>
    </font>
    <font>
      <sz val="10"/>
      <name val="WP TypographicSymbols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9.9"/>
      <color theme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name val="Wingdings"/>
      <charset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562">
    <xf numFmtId="0" fontId="0" fillId="0" borderId="0" xfId="0"/>
    <xf numFmtId="165" fontId="0" fillId="0" borderId="0" xfId="0" applyNumberFormat="1"/>
    <xf numFmtId="165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165" fontId="0" fillId="0" borderId="0" xfId="1" applyNumberFormat="1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6" fontId="0" fillId="0" borderId="0" xfId="2" applyNumberFormat="1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165" fontId="0" fillId="0" borderId="4" xfId="0" applyNumberFormat="1" applyBorder="1"/>
    <xf numFmtId="165" fontId="0" fillId="0" borderId="4" xfId="1" applyNumberFormat="1" applyFont="1" applyBorder="1"/>
    <xf numFmtId="165" fontId="0" fillId="0" borderId="0" xfId="1" applyNumberFormat="1" applyFont="1" applyBorder="1"/>
    <xf numFmtId="166" fontId="0" fillId="0" borderId="0" xfId="2" applyNumberFormat="1" applyFont="1" applyBorder="1"/>
    <xf numFmtId="0" fontId="0" fillId="0" borderId="1" xfId="0" applyBorder="1" applyAlignment="1">
      <alignment horizontal="center"/>
    </xf>
    <xf numFmtId="43" fontId="0" fillId="0" borderId="0" xfId="0" applyNumberFormat="1"/>
    <xf numFmtId="0" fontId="0" fillId="0" borderId="0" xfId="0" applyAlignment="1"/>
    <xf numFmtId="43" fontId="0" fillId="0" borderId="0" xfId="0" applyNumberFormat="1" applyBorder="1"/>
    <xf numFmtId="0" fontId="0" fillId="0" borderId="0" xfId="0" quotePrefix="1"/>
    <xf numFmtId="0" fontId="1" fillId="0" borderId="0" xfId="0" applyFont="1" applyAlignment="1">
      <alignment horizontal="centerContinuous"/>
    </xf>
    <xf numFmtId="0" fontId="1" fillId="0" borderId="0" xfId="0" applyFont="1"/>
    <xf numFmtId="0" fontId="3" fillId="0" borderId="0" xfId="0" applyFont="1"/>
    <xf numFmtId="3" fontId="1" fillId="0" borderId="0" xfId="0" applyNumberFormat="1" applyFont="1"/>
    <xf numFmtId="0" fontId="1" fillId="0" borderId="5" xfId="0" applyFont="1" applyBorder="1"/>
    <xf numFmtId="3" fontId="3" fillId="0" borderId="0" xfId="0" applyNumberFormat="1" applyFont="1"/>
    <xf numFmtId="3" fontId="1" fillId="0" borderId="4" xfId="0" applyNumberFormat="1" applyFont="1" applyBorder="1"/>
    <xf numFmtId="9" fontId="1" fillId="0" borderId="0" xfId="0" applyNumberFormat="1" applyFont="1"/>
    <xf numFmtId="3" fontId="1" fillId="0" borderId="0" xfId="0" applyNumberFormat="1" applyFont="1" applyBorder="1"/>
    <xf numFmtId="0" fontId="1" fillId="0" borderId="4" xfId="0" applyFont="1" applyBorder="1"/>
    <xf numFmtId="0" fontId="1" fillId="0" borderId="0" xfId="0" applyFont="1" applyBorder="1"/>
    <xf numFmtId="0" fontId="4" fillId="0" borderId="0" xfId="0" applyFont="1" applyBorder="1" applyAlignment="1"/>
    <xf numFmtId="0" fontId="4" fillId="0" borderId="0" xfId="0" applyFont="1"/>
    <xf numFmtId="43" fontId="0" fillId="0" borderId="4" xfId="1" applyNumberFormat="1" applyFont="1" applyBorder="1"/>
    <xf numFmtId="43" fontId="0" fillId="0" borderId="0" xfId="1" applyNumberFormat="1" applyFont="1"/>
    <xf numFmtId="10" fontId="0" fillId="0" borderId="0" xfId="3" applyNumberFormat="1" applyFont="1"/>
    <xf numFmtId="43" fontId="0" fillId="0" borderId="0" xfId="1" applyFont="1"/>
    <xf numFmtId="0" fontId="5" fillId="0" borderId="0" xfId="0" applyFont="1"/>
    <xf numFmtId="41" fontId="0" fillId="0" borderId="0" xfId="0" applyNumberFormat="1" applyBorder="1"/>
    <xf numFmtId="41" fontId="0" fillId="0" borderId="4" xfId="0" applyNumberFormat="1" applyBorder="1"/>
    <xf numFmtId="164" fontId="0" fillId="0" borderId="0" xfId="0" applyNumberFormat="1"/>
    <xf numFmtId="0" fontId="0" fillId="0" borderId="0" xfId="0" applyBorder="1" applyAlignment="1">
      <alignment horizontal="left"/>
    </xf>
    <xf numFmtId="166" fontId="0" fillId="0" borderId="0" xfId="2" applyNumberFormat="1" applyFont="1"/>
    <xf numFmtId="0" fontId="0" fillId="0" borderId="0" xfId="0" applyBorder="1" applyAlignment="1">
      <alignment wrapText="1"/>
    </xf>
    <xf numFmtId="166" fontId="0" fillId="0" borderId="0" xfId="2" applyNumberFormat="1" applyFont="1" applyBorder="1" applyAlignment="1">
      <alignment horizontal="left" indent="2"/>
    </xf>
    <xf numFmtId="0" fontId="1" fillId="0" borderId="3" xfId="0" applyFont="1" applyBorder="1"/>
    <xf numFmtId="49" fontId="0" fillId="0" borderId="0" xfId="2" applyNumberFormat="1" applyFont="1" applyBorder="1"/>
    <xf numFmtId="0" fontId="1" fillId="0" borderId="2" xfId="0" applyFont="1" applyBorder="1" applyAlignment="1">
      <alignment horizontal="center"/>
    </xf>
    <xf numFmtId="165" fontId="1" fillId="0" borderId="0" xfId="1" applyNumberFormat="1" applyFont="1" applyBorder="1"/>
    <xf numFmtId="167" fontId="1" fillId="0" borderId="0" xfId="0" applyNumberFormat="1" applyFont="1" applyBorder="1"/>
    <xf numFmtId="0" fontId="1" fillId="0" borderId="2" xfId="0" applyFont="1" applyBorder="1"/>
    <xf numFmtId="0" fontId="6" fillId="0" borderId="0" xfId="0" quotePrefix="1" applyFont="1"/>
    <xf numFmtId="0" fontId="0" fillId="0" borderId="0" xfId="0" applyFill="1" applyBorder="1"/>
    <xf numFmtId="0" fontId="0" fillId="0" borderId="0" xfId="0" applyFill="1"/>
    <xf numFmtId="165" fontId="4" fillId="0" borderId="6" xfId="1" applyNumberFormat="1" applyFont="1" applyBorder="1"/>
    <xf numFmtId="0" fontId="4" fillId="0" borderId="0" xfId="0" applyFont="1" applyBorder="1"/>
    <xf numFmtId="41" fontId="7" fillId="0" borderId="0" xfId="0" applyNumberFormat="1" applyFont="1" applyBorder="1"/>
    <xf numFmtId="166" fontId="7" fillId="0" borderId="0" xfId="2" applyNumberFormat="1" applyFont="1" applyBorder="1"/>
    <xf numFmtId="166" fontId="4" fillId="0" borderId="0" xfId="2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 applyAlignment="1">
      <alignment horizontal="center"/>
    </xf>
    <xf numFmtId="43" fontId="0" fillId="0" borderId="0" xfId="0" applyNumberFormat="1" applyFill="1" applyBorder="1"/>
    <xf numFmtId="43" fontId="0" fillId="0" borderId="0" xfId="0" applyNumberFormat="1" applyFill="1"/>
    <xf numFmtId="0" fontId="9" fillId="0" borderId="0" xfId="0" applyFont="1"/>
    <xf numFmtId="165" fontId="4" fillId="0" borderId="2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5" fontId="1" fillId="0" borderId="0" xfId="0" applyNumberFormat="1" applyFont="1"/>
    <xf numFmtId="165" fontId="4" fillId="0" borderId="0" xfId="1" applyNumberFormat="1" applyFont="1" applyFill="1"/>
    <xf numFmtId="165" fontId="4" fillId="0" borderId="0" xfId="1" applyNumberFormat="1" applyFont="1" applyFill="1" applyBorder="1"/>
    <xf numFmtId="166" fontId="0" fillId="0" borderId="0" xfId="0" applyNumberForma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1" fillId="0" borderId="0" xfId="0" applyFont="1" applyFill="1"/>
    <xf numFmtId="165" fontId="0" fillId="0" borderId="2" xfId="0" applyNumberFormat="1" applyBorder="1"/>
    <xf numFmtId="165" fontId="0" fillId="0" borderId="2" xfId="1" applyNumberFormat="1" applyFont="1" applyBorder="1"/>
    <xf numFmtId="0" fontId="0" fillId="0" borderId="2" xfId="0" applyFill="1" applyBorder="1" applyAlignment="1">
      <alignment horizontal="center"/>
    </xf>
    <xf numFmtId="0" fontId="4" fillId="0" borderId="0" xfId="0" applyFont="1" applyFill="1"/>
    <xf numFmtId="166" fontId="1" fillId="0" borderId="0" xfId="2" applyNumberFormat="1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164" fontId="11" fillId="0" borderId="0" xfId="1" applyNumberFormat="1" applyFont="1" applyFill="1" applyBorder="1"/>
    <xf numFmtId="0" fontId="11" fillId="0" borderId="0" xfId="0" applyFont="1" applyFill="1"/>
    <xf numFmtId="165" fontId="11" fillId="0" borderId="0" xfId="0" applyNumberFormat="1" applyFont="1" applyFill="1" applyBorder="1"/>
    <xf numFmtId="41" fontId="11" fillId="0" borderId="0" xfId="0" applyNumberFormat="1" applyFont="1" applyFill="1" applyBorder="1"/>
    <xf numFmtId="43" fontId="11" fillId="0" borderId="0" xfId="1" applyNumberFormat="1" applyFont="1" applyFill="1" applyBorder="1"/>
    <xf numFmtId="165" fontId="11" fillId="0" borderId="0" xfId="0" applyNumberFormat="1" applyFont="1" applyFill="1"/>
    <xf numFmtId="41" fontId="11" fillId="0" borderId="0" xfId="0" applyNumberFormat="1" applyFont="1" applyBorder="1"/>
    <xf numFmtId="0" fontId="11" fillId="0" borderId="4" xfId="0" applyFont="1" applyFill="1" applyBorder="1"/>
    <xf numFmtId="165" fontId="11" fillId="0" borderId="4" xfId="0" applyNumberFormat="1" applyFont="1" applyFill="1" applyBorder="1"/>
    <xf numFmtId="41" fontId="11" fillId="0" borderId="4" xfId="0" applyNumberFormat="1" applyFont="1" applyBorder="1"/>
    <xf numFmtId="43" fontId="11" fillId="0" borderId="4" xfId="1" applyNumberFormat="1" applyFont="1" applyFill="1" applyBorder="1"/>
    <xf numFmtId="165" fontId="11" fillId="0" borderId="0" xfId="0" applyNumberFormat="1" applyFont="1"/>
    <xf numFmtId="0" fontId="11" fillId="0" borderId="0" xfId="0" quotePrefix="1" applyFont="1"/>
    <xf numFmtId="43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5" xfId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2" xfId="1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166" fontId="1" fillId="0" borderId="0" xfId="2" applyNumberFormat="1" applyFont="1" applyBorder="1" applyAlignment="1">
      <alignment horizontal="center"/>
    </xf>
    <xf numFmtId="10" fontId="1" fillId="0" borderId="0" xfId="3" applyNumberFormat="1" applyFont="1" applyBorder="1"/>
    <xf numFmtId="43" fontId="1" fillId="0" borderId="0" xfId="0" applyNumberFormat="1" applyFont="1" applyBorder="1"/>
    <xf numFmtId="165" fontId="1" fillId="0" borderId="0" xfId="1" applyNumberFormat="1" applyFont="1" applyBorder="1" applyAlignment="1">
      <alignment horizontal="center"/>
    </xf>
    <xf numFmtId="164" fontId="1" fillId="0" borderId="0" xfId="1" applyNumberFormat="1" applyFont="1" applyBorder="1"/>
    <xf numFmtId="165" fontId="1" fillId="0" borderId="0" xfId="0" applyNumberFormat="1" applyFont="1" applyBorder="1"/>
    <xf numFmtId="43" fontId="1" fillId="0" borderId="0" xfId="1" applyNumberFormat="1" applyFont="1" applyBorder="1"/>
    <xf numFmtId="165" fontId="1" fillId="0" borderId="4" xfId="0" applyNumberFormat="1" applyFont="1" applyBorder="1"/>
    <xf numFmtId="165" fontId="1" fillId="0" borderId="4" xfId="1" applyNumberFormat="1" applyFont="1" applyBorder="1" applyAlignment="1">
      <alignment horizontal="center"/>
    </xf>
    <xf numFmtId="165" fontId="1" fillId="0" borderId="4" xfId="1" applyNumberFormat="1" applyFont="1" applyBorder="1"/>
    <xf numFmtId="43" fontId="1" fillId="0" borderId="4" xfId="1" applyNumberFormat="1" applyFont="1" applyBorder="1"/>
    <xf numFmtId="43" fontId="11" fillId="0" borderId="0" xfId="1" applyNumberFormat="1" applyFont="1" applyBorder="1"/>
    <xf numFmtId="42" fontId="1" fillId="0" borderId="0" xfId="2" applyNumberFormat="1" applyFont="1" applyBorder="1" applyAlignment="1">
      <alignment horizontal="center"/>
    </xf>
    <xf numFmtId="41" fontId="1" fillId="0" borderId="0" xfId="0" applyNumberFormat="1" applyFont="1" applyBorder="1"/>
    <xf numFmtId="165" fontId="11" fillId="0" borderId="0" xfId="0" applyNumberFormat="1" applyFont="1" applyBorder="1"/>
    <xf numFmtId="0" fontId="11" fillId="0" borderId="4" xfId="0" applyFont="1" applyBorder="1"/>
    <xf numFmtId="0" fontId="1" fillId="0" borderId="1" xfId="0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2" xfId="1" applyNumberFormat="1" applyFont="1" applyFill="1" applyBorder="1" applyAlignment="1">
      <alignment horizontal="center"/>
    </xf>
    <xf numFmtId="0" fontId="12" fillId="0" borderId="0" xfId="0" applyFont="1"/>
    <xf numFmtId="0" fontId="12" fillId="0" borderId="4" xfId="0" applyFont="1" applyBorder="1"/>
    <xf numFmtId="165" fontId="1" fillId="0" borderId="0" xfId="1" applyNumberFormat="1" applyFont="1" applyFill="1"/>
    <xf numFmtId="165" fontId="1" fillId="0" borderId="0" xfId="1" applyNumberFormat="1" applyFont="1" applyFill="1" applyBorder="1"/>
    <xf numFmtId="165" fontId="1" fillId="0" borderId="4" xfId="1" applyNumberFormat="1" applyFont="1" applyFill="1" applyBorder="1"/>
    <xf numFmtId="0" fontId="0" fillId="0" borderId="1" xfId="0" applyBorder="1" applyAlignment="1">
      <alignment horizontal="center" vertical="center"/>
    </xf>
    <xf numFmtId="0" fontId="1" fillId="0" borderId="0" xfId="0" quotePrefix="1" applyFont="1" applyBorder="1"/>
    <xf numFmtId="0" fontId="1" fillId="0" borderId="0" xfId="0" quotePrefix="1" applyFont="1" applyFill="1"/>
    <xf numFmtId="165" fontId="1" fillId="0" borderId="0" xfId="1" applyNumberFormat="1" applyFont="1" applyFill="1" applyBorder="1" applyAlignment="1">
      <alignment horizontal="center"/>
    </xf>
    <xf numFmtId="43" fontId="1" fillId="0" borderId="0" xfId="1" applyNumberFormat="1" applyFont="1" applyFill="1" applyBorder="1"/>
    <xf numFmtId="0" fontId="6" fillId="0" borderId="0" xfId="0" quotePrefix="1" applyFont="1" applyFill="1"/>
    <xf numFmtId="41" fontId="4" fillId="0" borderId="0" xfId="0" applyNumberFormat="1" applyFont="1" applyFill="1" applyBorder="1"/>
    <xf numFmtId="41" fontId="4" fillId="0" borderId="4" xfId="0" applyNumberFormat="1" applyFont="1" applyFill="1" applyBorder="1"/>
    <xf numFmtId="43" fontId="11" fillId="0" borderId="0" xfId="0" applyNumberFormat="1" applyFont="1" applyFill="1" applyBorder="1"/>
    <xf numFmtId="166" fontId="4" fillId="0" borderId="0" xfId="2" applyNumberFormat="1" applyFont="1" applyFill="1" applyBorder="1" applyAlignment="1">
      <alignment horizontal="center"/>
    </xf>
    <xf numFmtId="10" fontId="0" fillId="0" borderId="0" xfId="3" applyNumberFormat="1" applyFont="1" applyFill="1" applyBorder="1"/>
    <xf numFmtId="165" fontId="4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Border="1"/>
    <xf numFmtId="165" fontId="0" fillId="0" borderId="0" xfId="0" applyNumberFormat="1" applyFill="1"/>
    <xf numFmtId="165" fontId="1" fillId="0" borderId="0" xfId="1" applyNumberFormat="1" applyFont="1" applyFill="1" applyBorder="1" applyAlignment="1">
      <alignment horizontal="right" vertical="top" wrapText="1"/>
    </xf>
    <xf numFmtId="0" fontId="1" fillId="0" borderId="3" xfId="0" applyFont="1" applyFill="1" applyBorder="1"/>
    <xf numFmtId="0" fontId="1" fillId="0" borderId="0" xfId="0" applyFont="1" applyFill="1" applyBorder="1"/>
    <xf numFmtId="0" fontId="1" fillId="0" borderId="0" xfId="0" applyFont="1" applyFill="1" applyAlignment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10" fontId="1" fillId="0" borderId="0" xfId="3" applyNumberFormat="1" applyFont="1" applyFill="1" applyBorder="1"/>
    <xf numFmtId="164" fontId="1" fillId="0" borderId="0" xfId="1" applyNumberFormat="1" applyFont="1" applyFill="1" applyBorder="1"/>
    <xf numFmtId="0" fontId="4" fillId="0" borderId="0" xfId="0" applyFont="1" applyFill="1" applyAlignment="1">
      <alignment horizontal="right"/>
    </xf>
    <xf numFmtId="43" fontId="4" fillId="0" borderId="0" xfId="1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43" fontId="4" fillId="0" borderId="0" xfId="1" applyFont="1" applyFill="1" applyBorder="1" applyAlignment="1">
      <alignment horizontal="center"/>
    </xf>
    <xf numFmtId="0" fontId="4" fillId="0" borderId="2" xfId="0" applyFont="1" applyFill="1" applyBorder="1"/>
    <xf numFmtId="43" fontId="4" fillId="0" borderId="2" xfId="1" applyFont="1" applyFill="1" applyBorder="1" applyAlignment="1">
      <alignment horizontal="center"/>
    </xf>
    <xf numFmtId="166" fontId="4" fillId="0" borderId="0" xfId="2" applyNumberFormat="1" applyFont="1" applyFill="1" applyAlignment="1">
      <alignment horizontal="left" indent="2"/>
    </xf>
    <xf numFmtId="166" fontId="4" fillId="0" borderId="0" xfId="2" applyNumberFormat="1" applyFont="1" applyFill="1" applyBorder="1" applyAlignment="1">
      <alignment horizontal="right"/>
    </xf>
    <xf numFmtId="10" fontId="4" fillId="0" borderId="0" xfId="3" applyNumberFormat="1" applyFont="1" applyFill="1" applyBorder="1"/>
    <xf numFmtId="0" fontId="4" fillId="0" borderId="0" xfId="0" applyFont="1" applyFill="1" applyBorder="1" applyAlignment="1">
      <alignment horizontal="right"/>
    </xf>
    <xf numFmtId="43" fontId="4" fillId="0" borderId="0" xfId="1" applyFont="1" applyFill="1" applyBorder="1"/>
    <xf numFmtId="165" fontId="4" fillId="0" borderId="0" xfId="0" applyNumberFormat="1" applyFont="1" applyFill="1" applyBorder="1"/>
    <xf numFmtId="165" fontId="4" fillId="0" borderId="0" xfId="0" applyNumberFormat="1" applyFont="1" applyFill="1"/>
    <xf numFmtId="41" fontId="4" fillId="0" borderId="0" xfId="0" applyNumberFormat="1" applyFont="1" applyFill="1"/>
    <xf numFmtId="0" fontId="4" fillId="0" borderId="4" xfId="0" applyFont="1" applyFill="1" applyBorder="1"/>
    <xf numFmtId="165" fontId="4" fillId="0" borderId="4" xfId="0" applyNumberFormat="1" applyFont="1" applyFill="1" applyBorder="1"/>
    <xf numFmtId="43" fontId="4" fillId="0" borderId="4" xfId="1" applyFont="1" applyFill="1" applyBorder="1"/>
    <xf numFmtId="0" fontId="0" fillId="0" borderId="0" xfId="0" quotePrefix="1" applyFill="1"/>
    <xf numFmtId="0" fontId="0" fillId="0" borderId="0" xfId="0" applyFill="1" applyAlignment="1">
      <alignment horizontal="right"/>
    </xf>
    <xf numFmtId="43" fontId="0" fillId="0" borderId="0" xfId="1" applyFont="1" applyFill="1"/>
    <xf numFmtId="3" fontId="1" fillId="0" borderId="0" xfId="0" applyNumberFormat="1" applyFont="1" applyFill="1"/>
    <xf numFmtId="3" fontId="1" fillId="0" borderId="4" xfId="0" applyNumberFormat="1" applyFont="1" applyFill="1" applyBorder="1"/>
    <xf numFmtId="166" fontId="1" fillId="0" borderId="0" xfId="2" applyNumberFormat="1" applyFont="1" applyFill="1"/>
    <xf numFmtId="0" fontId="1" fillId="0" borderId="0" xfId="0" applyFont="1" applyFill="1" applyAlignment="1">
      <alignment horizontal="centerContinuous"/>
    </xf>
    <xf numFmtId="0" fontId="3" fillId="0" borderId="0" xfId="0" applyFont="1" applyFill="1"/>
    <xf numFmtId="3" fontId="3" fillId="0" borderId="0" xfId="0" applyNumberFormat="1" applyFont="1" applyFill="1"/>
    <xf numFmtId="0" fontId="4" fillId="0" borderId="0" xfId="0" applyFont="1" applyFill="1" applyBorder="1" applyAlignment="1"/>
    <xf numFmtId="166" fontId="4" fillId="0" borderId="2" xfId="0" applyNumberFormat="1" applyFont="1" applyBorder="1" applyAlignment="1">
      <alignment horizontal="center"/>
    </xf>
    <xf numFmtId="0" fontId="0" fillId="0" borderId="3" xfId="0" applyFill="1" applyBorder="1"/>
    <xf numFmtId="165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165" fontId="0" fillId="0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41" fontId="12" fillId="0" borderId="0" xfId="0" applyNumberFormat="1" applyFont="1"/>
    <xf numFmtId="0" fontId="7" fillId="0" borderId="0" xfId="0" applyFont="1" applyFill="1" applyBorder="1"/>
    <xf numFmtId="0" fontId="0" fillId="0" borderId="0" xfId="0" applyFont="1"/>
    <xf numFmtId="165" fontId="4" fillId="0" borderId="2" xfId="1" applyNumberFormat="1" applyFont="1" applyBorder="1" applyAlignment="1">
      <alignment horizontal="center"/>
    </xf>
    <xf numFmtId="165" fontId="2" fillId="0" borderId="0" xfId="1" applyNumberFormat="1" applyFont="1" applyFill="1" applyBorder="1"/>
    <xf numFmtId="165" fontId="2" fillId="0" borderId="4" xfId="1" applyNumberFormat="1" applyFont="1" applyFill="1" applyBorder="1"/>
    <xf numFmtId="165" fontId="2" fillId="0" borderId="0" xfId="0" applyNumberFormat="1" applyFont="1" applyBorder="1"/>
    <xf numFmtId="0" fontId="2" fillId="0" borderId="0" xfId="0" applyFont="1" applyBorder="1"/>
    <xf numFmtId="0" fontId="2" fillId="0" borderId="1" xfId="0" applyFont="1" applyBorder="1"/>
    <xf numFmtId="165" fontId="2" fillId="0" borderId="0" xfId="1" applyNumberFormat="1" applyFont="1" applyBorder="1"/>
    <xf numFmtId="43" fontId="2" fillId="0" borderId="0" xfId="1" applyFont="1" applyBorder="1"/>
    <xf numFmtId="41" fontId="2" fillId="0" borderId="0" xfId="1" applyNumberFormat="1" applyFont="1" applyFill="1" applyProtection="1">
      <protection locked="0"/>
    </xf>
    <xf numFmtId="41" fontId="2" fillId="0" borderId="0" xfId="0" applyNumberFormat="1" applyFont="1" applyFill="1"/>
    <xf numFmtId="41" fontId="2" fillId="0" borderId="0" xfId="0" applyNumberFormat="1" applyFont="1" applyFill="1" applyBorder="1"/>
    <xf numFmtId="42" fontId="2" fillId="0" borderId="0" xfId="0" applyNumberFormat="1" applyFont="1" applyFill="1"/>
    <xf numFmtId="41" fontId="2" fillId="0" borderId="4" xfId="0" applyNumberFormat="1" applyFont="1" applyFill="1" applyBorder="1"/>
    <xf numFmtId="165" fontId="14" fillId="0" borderId="0" xfId="1" applyNumberFormat="1" applyFont="1" applyFill="1"/>
    <xf numFmtId="166" fontId="14" fillId="0" borderId="0" xfId="2" applyNumberFormat="1" applyFont="1" applyFill="1"/>
    <xf numFmtId="165" fontId="2" fillId="0" borderId="0" xfId="1" applyNumberFormat="1" applyFont="1" applyFill="1"/>
    <xf numFmtId="41" fontId="2" fillId="0" borderId="0" xfId="1" applyNumberFormat="1" applyFont="1" applyFill="1"/>
    <xf numFmtId="166" fontId="14" fillId="0" borderId="0" xfId="2" applyNumberFormat="1" applyFont="1" applyFill="1" applyAlignment="1">
      <alignment horizontal="left" indent="3"/>
    </xf>
    <xf numFmtId="3" fontId="2" fillId="0" borderId="0" xfId="0" applyNumberFormat="1" applyFont="1" applyFill="1"/>
    <xf numFmtId="3" fontId="2" fillId="0" borderId="4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" applyFont="1" applyFill="1" applyBorder="1"/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6" fontId="2" fillId="0" borderId="0" xfId="2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Alignment="1"/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3" xfId="0" applyFont="1" applyFill="1" applyBorder="1"/>
    <xf numFmtId="3" fontId="2" fillId="0" borderId="5" xfId="0" applyNumberFormat="1" applyFont="1" applyFill="1" applyBorder="1"/>
    <xf numFmtId="167" fontId="2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left" indent="2"/>
    </xf>
    <xf numFmtId="3" fontId="2" fillId="0" borderId="0" xfId="0" applyNumberFormat="1" applyFont="1" applyFill="1" applyAlignment="1">
      <alignment horizontal="left" indent="3"/>
    </xf>
    <xf numFmtId="0" fontId="2" fillId="0" borderId="0" xfId="0" applyFont="1" applyFill="1" applyAlignment="1">
      <alignment horizontal="left" indent="3"/>
    </xf>
    <xf numFmtId="165" fontId="2" fillId="0" borderId="0" xfId="0" applyNumberFormat="1" applyFont="1" applyFill="1"/>
    <xf numFmtId="168" fontId="2" fillId="0" borderId="0" xfId="0" applyNumberFormat="1" applyFont="1" applyFill="1"/>
    <xf numFmtId="169" fontId="2" fillId="0" borderId="0" xfId="0" applyNumberFormat="1" applyFont="1" applyFill="1"/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170" fontId="2" fillId="0" borderId="0" xfId="0" applyNumberFormat="1" applyFont="1" applyFill="1"/>
    <xf numFmtId="37" fontId="2" fillId="0" borderId="0" xfId="2" applyNumberFormat="1" applyFont="1" applyFill="1" applyBorder="1"/>
    <xf numFmtId="37" fontId="2" fillId="0" borderId="0" xfId="2" applyNumberFormat="1" applyFont="1" applyFill="1"/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6" fontId="2" fillId="0" borderId="0" xfId="2" applyNumberFormat="1" applyFont="1" applyFill="1" applyAlignment="1">
      <alignment horizontal="left" indent="2"/>
    </xf>
    <xf numFmtId="3" fontId="2" fillId="0" borderId="3" xfId="0" applyNumberFormat="1" applyFont="1" applyFill="1" applyBorder="1"/>
    <xf numFmtId="0" fontId="2" fillId="0" borderId="1" xfId="0" applyFont="1" applyFill="1" applyBorder="1"/>
    <xf numFmtId="3" fontId="2" fillId="0" borderId="7" xfId="0" applyNumberFormat="1" applyFont="1" applyFill="1" applyBorder="1"/>
    <xf numFmtId="165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center"/>
    </xf>
    <xf numFmtId="42" fontId="2" fillId="0" borderId="0" xfId="2" applyNumberFormat="1" applyFont="1" applyFill="1" applyBorder="1" applyAlignment="1">
      <alignment horizontal="center"/>
    </xf>
    <xf numFmtId="42" fontId="2" fillId="0" borderId="0" xfId="2" applyNumberFormat="1" applyFont="1" applyFill="1" applyBorder="1" applyAlignment="1">
      <alignment horizontal="right"/>
    </xf>
    <xf numFmtId="42" fontId="2" fillId="0" borderId="0" xfId="1" applyNumberFormat="1" applyFont="1" applyFill="1" applyBorder="1" applyAlignment="1">
      <alignment horizontal="center"/>
    </xf>
    <xf numFmtId="42" fontId="2" fillId="0" borderId="0" xfId="0" applyNumberFormat="1" applyFont="1" applyFill="1" applyBorder="1" applyAlignment="1">
      <alignment horizontal="center"/>
    </xf>
    <xf numFmtId="166" fontId="2" fillId="0" borderId="0" xfId="2" applyNumberFormat="1" applyFont="1" applyFill="1" applyProtection="1">
      <protection locked="0"/>
    </xf>
    <xf numFmtId="44" fontId="2" fillId="0" borderId="0" xfId="2" applyFont="1" applyFill="1" applyBorder="1"/>
    <xf numFmtId="166" fontId="2" fillId="0" borderId="0" xfId="0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0" borderId="0" xfId="1" applyNumberFormat="1" applyFont="1" applyFill="1" applyBorder="1" applyAlignment="1">
      <alignment horizontal="center" wrapText="1"/>
    </xf>
    <xf numFmtId="166" fontId="2" fillId="0" borderId="0" xfId="2" applyNumberFormat="1" applyFont="1" applyFill="1"/>
    <xf numFmtId="42" fontId="2" fillId="0" borderId="0" xfId="2" applyNumberFormat="1" applyFont="1" applyFill="1"/>
    <xf numFmtId="166" fontId="2" fillId="0" borderId="0" xfId="2" applyNumberFormat="1" applyFont="1"/>
    <xf numFmtId="44" fontId="2" fillId="0" borderId="0" xfId="0" applyNumberFormat="1" applyFont="1" applyFill="1" applyProtection="1">
      <protection locked="0"/>
    </xf>
    <xf numFmtId="0" fontId="2" fillId="0" borderId="0" xfId="0" applyFont="1" applyFill="1" applyAlignment="1"/>
    <xf numFmtId="41" fontId="2" fillId="0" borderId="0" xfId="0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7" fontId="2" fillId="0" borderId="0" xfId="0" applyNumberFormat="1" applyFont="1" applyFill="1"/>
    <xf numFmtId="165" fontId="0" fillId="0" borderId="0" xfId="2" applyNumberFormat="1" applyFont="1" applyBorder="1" applyAlignment="1">
      <alignment horizontal="left" indent="2"/>
    </xf>
    <xf numFmtId="165" fontId="0" fillId="0" borderId="0" xfId="1" applyNumberFormat="1" applyFont="1" applyBorder="1" applyAlignment="1">
      <alignment horizontal="left" indent="2"/>
    </xf>
    <xf numFmtId="166" fontId="2" fillId="0" borderId="0" xfId="2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Continuous"/>
    </xf>
    <xf numFmtId="165" fontId="2" fillId="0" borderId="0" xfId="0" applyNumberFormat="1" applyFont="1"/>
    <xf numFmtId="44" fontId="2" fillId="0" borderId="0" xfId="2" applyFont="1" applyFill="1"/>
    <xf numFmtId="2" fontId="0" fillId="0" borderId="0" xfId="0" applyNumberFormat="1"/>
    <xf numFmtId="44" fontId="2" fillId="0" borderId="0" xfId="2" applyFont="1" applyFill="1" applyBorder="1" applyProtection="1">
      <protection locked="0"/>
    </xf>
    <xf numFmtId="44" fontId="0" fillId="0" borderId="0" xfId="2" applyFont="1"/>
    <xf numFmtId="49" fontId="0" fillId="0" borderId="0" xfId="2" applyNumberFormat="1" applyFont="1" applyFill="1" applyBorder="1"/>
    <xf numFmtId="166" fontId="0" fillId="0" borderId="0" xfId="2" applyNumberFormat="1" applyFont="1" applyFill="1" applyBorder="1"/>
    <xf numFmtId="43" fontId="2" fillId="0" borderId="3" xfId="1" applyFont="1" applyBorder="1"/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2" fontId="2" fillId="0" borderId="0" xfId="2" applyNumberFormat="1" applyFont="1" applyFill="1" applyBorder="1"/>
    <xf numFmtId="166" fontId="0" fillId="0" borderId="0" xfId="2" applyNumberFormat="1" applyFont="1" applyFill="1"/>
    <xf numFmtId="0" fontId="2" fillId="0" borderId="4" xfId="0" applyFont="1" applyBorder="1"/>
    <xf numFmtId="166" fontId="2" fillId="0" borderId="0" xfId="0" applyNumberFormat="1" applyFont="1" applyFill="1" applyBorder="1"/>
    <xf numFmtId="43" fontId="2" fillId="0" borderId="0" xfId="1" applyFont="1" applyFill="1" applyBorder="1" applyAlignment="1">
      <alignment wrapText="1"/>
    </xf>
    <xf numFmtId="165" fontId="2" fillId="0" borderId="4" xfId="0" applyNumberFormat="1" applyFont="1" applyFill="1" applyBorder="1"/>
    <xf numFmtId="0" fontId="0" fillId="0" borderId="0" xfId="0" applyBorder="1" applyAlignment="1"/>
    <xf numFmtId="166" fontId="2" fillId="0" borderId="0" xfId="2" applyNumberFormat="1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43" fontId="4" fillId="0" borderId="0" xfId="0" applyNumberFormat="1" applyFont="1" applyFill="1"/>
    <xf numFmtId="165" fontId="0" fillId="0" borderId="0" xfId="1" applyNumberFormat="1" applyFont="1" applyFill="1" applyBorder="1"/>
    <xf numFmtId="44" fontId="0" fillId="0" borderId="0" xfId="2" applyFont="1" applyFill="1"/>
    <xf numFmtId="41" fontId="1" fillId="0" borderId="0" xfId="0" applyNumberFormat="1" applyFont="1" applyFill="1" applyBorder="1"/>
    <xf numFmtId="165" fontId="1" fillId="0" borderId="0" xfId="1" applyNumberFormat="1" applyFont="1" applyFill="1" applyProtection="1">
      <protection locked="0"/>
    </xf>
    <xf numFmtId="41" fontId="1" fillId="0" borderId="4" xfId="0" applyNumberFormat="1" applyFont="1" applyFill="1" applyBorder="1"/>
    <xf numFmtId="43" fontId="1" fillId="0" borderId="4" xfId="1" applyNumberFormat="1" applyFont="1" applyFill="1" applyBorder="1"/>
    <xf numFmtId="43" fontId="1" fillId="0" borderId="0" xfId="0" applyNumberFormat="1" applyFont="1" applyFill="1" applyBorder="1"/>
    <xf numFmtId="165" fontId="1" fillId="0" borderId="0" xfId="0" applyNumberFormat="1" applyFont="1" applyFill="1"/>
    <xf numFmtId="41" fontId="1" fillId="0" borderId="0" xfId="1" applyNumberFormat="1" applyFont="1" applyFill="1" applyBorder="1"/>
    <xf numFmtId="41" fontId="1" fillId="0" borderId="0" xfId="0" applyNumberFormat="1" applyFont="1" applyFill="1" applyBorder="1" applyAlignment="1"/>
    <xf numFmtId="171" fontId="1" fillId="0" borderId="0" xfId="0" applyNumberFormat="1" applyFont="1" applyFill="1" applyBorder="1"/>
    <xf numFmtId="165" fontId="1" fillId="0" borderId="0" xfId="1" applyNumberFormat="1" applyFont="1" applyFill="1" applyAlignment="1" applyProtection="1">
      <protection locked="0"/>
    </xf>
    <xf numFmtId="0" fontId="2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8" fillId="0" borderId="0" xfId="4" applyAlignment="1" applyProtection="1"/>
    <xf numFmtId="0" fontId="1" fillId="0" borderId="0" xfId="0" applyFont="1" applyBorder="1" applyAlignment="1">
      <alignment horizontal="centerContinuous"/>
    </xf>
    <xf numFmtId="41" fontId="19" fillId="0" borderId="0" xfId="0" applyNumberFormat="1" applyFont="1" applyFill="1" applyBorder="1"/>
    <xf numFmtId="165" fontId="19" fillId="0" borderId="0" xfId="1" applyNumberFormat="1" applyFont="1" applyFill="1" applyProtection="1">
      <protection locked="0"/>
    </xf>
    <xf numFmtId="0" fontId="19" fillId="0" borderId="0" xfId="0" applyFont="1" applyFill="1"/>
    <xf numFmtId="165" fontId="19" fillId="0" borderId="0" xfId="1" applyNumberFormat="1" applyFont="1" applyFill="1"/>
    <xf numFmtId="165" fontId="19" fillId="0" borderId="4" xfId="1" applyNumberFormat="1" applyFont="1" applyFill="1" applyBorder="1"/>
    <xf numFmtId="165" fontId="19" fillId="0" borderId="0" xfId="1" applyNumberFormat="1" applyFont="1" applyFill="1" applyBorder="1"/>
    <xf numFmtId="41" fontId="19" fillId="0" borderId="0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41" fontId="19" fillId="0" borderId="0" xfId="1" applyNumberFormat="1" applyFont="1" applyFill="1" applyBorder="1"/>
    <xf numFmtId="41" fontId="19" fillId="0" borderId="0" xfId="0" applyNumberFormat="1" applyFont="1" applyFill="1" applyBorder="1" applyAlignment="1"/>
    <xf numFmtId="3" fontId="19" fillId="0" borderId="0" xfId="0" applyNumberFormat="1" applyFont="1" applyFill="1" applyAlignment="1" applyProtection="1">
      <protection locked="0"/>
    </xf>
    <xf numFmtId="165" fontId="19" fillId="0" borderId="0" xfId="1" applyNumberFormat="1" applyFont="1" applyFill="1" applyBorder="1" applyProtection="1">
      <protection locked="0"/>
    </xf>
    <xf numFmtId="41" fontId="19" fillId="0" borderId="0" xfId="1" applyNumberFormat="1" applyFont="1" applyFill="1"/>
    <xf numFmtId="0" fontId="19" fillId="0" borderId="0" xfId="0" applyFont="1"/>
    <xf numFmtId="166" fontId="19" fillId="0" borderId="0" xfId="2" applyNumberFormat="1" applyFont="1" applyFill="1" applyAlignment="1">
      <alignment horizontal="left" indent="3"/>
    </xf>
    <xf numFmtId="165" fontId="19" fillId="0" borderId="0" xfId="0" applyNumberFormat="1" applyFont="1" applyFill="1" applyBorder="1"/>
    <xf numFmtId="0" fontId="19" fillId="0" borderId="0" xfId="0" applyFont="1" applyFill="1" applyBorder="1"/>
    <xf numFmtId="165" fontId="19" fillId="0" borderId="0" xfId="1" applyNumberFormat="1" applyFont="1" applyFill="1" applyAlignment="1">
      <alignment horizontal="right" vertical="top"/>
    </xf>
    <xf numFmtId="43" fontId="19" fillId="0" borderId="0" xfId="1" applyFont="1"/>
    <xf numFmtId="3" fontId="1" fillId="0" borderId="0" xfId="0" applyNumberFormat="1" applyFont="1" applyFill="1" applyBorder="1"/>
    <xf numFmtId="43" fontId="1" fillId="0" borderId="0" xfId="1" applyNumberFormat="1" applyFont="1" applyFill="1" applyAlignment="1" applyProtection="1">
      <protection locked="0"/>
    </xf>
    <xf numFmtId="3" fontId="1" fillId="0" borderId="0" xfId="0" applyNumberFormat="1" applyFont="1" applyFill="1" applyAlignment="1" applyProtection="1">
      <protection locked="0"/>
    </xf>
    <xf numFmtId="43" fontId="1" fillId="0" borderId="4" xfId="1" applyFont="1" applyFill="1" applyBorder="1" applyAlignment="1" applyProtection="1">
      <protection locked="0"/>
    </xf>
    <xf numFmtId="41" fontId="1" fillId="0" borderId="0" xfId="1" applyNumberFormat="1" applyFont="1" applyFill="1"/>
    <xf numFmtId="165" fontId="20" fillId="0" borderId="0" xfId="1" applyNumberFormat="1" applyFont="1" applyFill="1"/>
    <xf numFmtId="165" fontId="20" fillId="0" borderId="0" xfId="1" applyNumberFormat="1" applyFont="1" applyFill="1" applyProtection="1">
      <protection locked="0"/>
    </xf>
    <xf numFmtId="41" fontId="20" fillId="0" borderId="0" xfId="1" applyNumberFormat="1" applyFont="1" applyFill="1"/>
    <xf numFmtId="41" fontId="1" fillId="0" borderId="0" xfId="0" applyNumberFormat="1" applyFont="1" applyFill="1" applyAlignment="1"/>
    <xf numFmtId="4" fontId="1" fillId="0" borderId="0" xfId="0" applyNumberFormat="1" applyFont="1" applyFill="1"/>
    <xf numFmtId="43" fontId="1" fillId="0" borderId="0" xfId="1" applyFont="1" applyFill="1"/>
    <xf numFmtId="37" fontId="1" fillId="0" borderId="0" xfId="2" applyNumberFormat="1" applyFont="1" applyFill="1"/>
    <xf numFmtId="3" fontId="1" fillId="0" borderId="0" xfId="0" applyNumberFormat="1" applyFont="1" applyFill="1" applyAlignment="1"/>
    <xf numFmtId="0" fontId="18" fillId="0" borderId="0" xfId="4" applyFill="1" applyBorder="1" applyAlignment="1" applyProtection="1"/>
    <xf numFmtId="165" fontId="1" fillId="0" borderId="2" xfId="0" applyNumberFormat="1" applyFont="1" applyBorder="1"/>
    <xf numFmtId="0" fontId="1" fillId="0" borderId="0" xfId="0" applyFont="1" applyFill="1" applyAlignment="1">
      <alignment horizontal="left"/>
    </xf>
    <xf numFmtId="3" fontId="1" fillId="0" borderId="0" xfId="0" quotePrefix="1" applyNumberFormat="1" applyFont="1" applyBorder="1" applyAlignment="1" applyProtection="1">
      <alignment horizontal="right"/>
      <protection locked="0"/>
    </xf>
    <xf numFmtId="3" fontId="1" fillId="0" borderId="2" xfId="0" applyNumberFormat="1" applyFont="1" applyBorder="1"/>
    <xf numFmtId="165" fontId="1" fillId="0" borderId="0" xfId="1" applyNumberFormat="1" applyFont="1"/>
    <xf numFmtId="41" fontId="1" fillId="0" borderId="0" xfId="0" applyNumberFormat="1" applyFont="1" applyFill="1"/>
    <xf numFmtId="42" fontId="1" fillId="0" borderId="0" xfId="0" applyNumberFormat="1" applyFont="1" applyFill="1"/>
    <xf numFmtId="43" fontId="1" fillId="0" borderId="0" xfId="2" applyNumberFormat="1" applyFont="1" applyFill="1"/>
    <xf numFmtId="43" fontId="1" fillId="0" borderId="4" xfId="2" applyNumberFormat="1" applyFont="1" applyFill="1" applyBorder="1"/>
    <xf numFmtId="165" fontId="1" fillId="0" borderId="0" xfId="1" applyNumberFormat="1" applyFont="1" applyFill="1" applyBorder="1" applyProtection="1">
      <protection locked="0"/>
    </xf>
    <xf numFmtId="165" fontId="1" fillId="0" borderId="0" xfId="1" applyNumberFormat="1" applyFont="1" applyFill="1" applyAlignment="1" applyProtection="1">
      <alignment horizontal="right"/>
      <protection locked="0"/>
    </xf>
    <xf numFmtId="165" fontId="1" fillId="0" borderId="4" xfId="1" applyNumberFormat="1" applyFont="1" applyFill="1" applyBorder="1" applyAlignment="1"/>
    <xf numFmtId="165" fontId="1" fillId="0" borderId="4" xfId="1" applyNumberFormat="1" applyFont="1" applyFill="1" applyBorder="1" applyAlignment="1" applyProtection="1">
      <protection locked="0"/>
    </xf>
    <xf numFmtId="41" fontId="1" fillId="0" borderId="4" xfId="1" applyNumberFormat="1" applyFont="1" applyFill="1" applyBorder="1"/>
    <xf numFmtId="166" fontId="1" fillId="0" borderId="0" xfId="2" applyNumberFormat="1" applyFont="1" applyFill="1" applyAlignment="1">
      <alignment horizontal="left" indent="3"/>
    </xf>
    <xf numFmtId="43" fontId="1" fillId="0" borderId="0" xfId="1" applyNumberFormat="1" applyFont="1" applyFill="1"/>
    <xf numFmtId="41" fontId="1" fillId="0" borderId="0" xfId="2" applyNumberFormat="1" applyFont="1" applyFill="1" applyProtection="1">
      <protection locked="0"/>
    </xf>
    <xf numFmtId="41" fontId="1" fillId="0" borderId="4" xfId="0" applyNumberFormat="1" applyFont="1" applyFill="1" applyBorder="1" applyAlignment="1"/>
    <xf numFmtId="41" fontId="1" fillId="0" borderId="0" xfId="0" quotePrefix="1" applyNumberFormat="1" applyFont="1" applyFill="1" applyAlignment="1">
      <alignment horizontal="right"/>
    </xf>
    <xf numFmtId="41" fontId="1" fillId="0" borderId="0" xfId="0" applyNumberFormat="1" applyFont="1" applyFill="1" applyBorder="1" applyAlignment="1" applyProtection="1">
      <alignment horizontal="center" vertical="center"/>
      <protection locked="0"/>
    </xf>
    <xf numFmtId="41" fontId="1" fillId="0" borderId="0" xfId="0" applyNumberFormat="1" applyFont="1" applyFill="1" applyBorder="1" applyAlignment="1">
      <alignment horizontal="right"/>
    </xf>
    <xf numFmtId="41" fontId="1" fillId="0" borderId="0" xfId="0" quotePrefix="1" applyNumberFormat="1" applyFont="1" applyFill="1" applyBorder="1"/>
    <xf numFmtId="165" fontId="1" fillId="0" borderId="0" xfId="1" applyNumberFormat="1" applyFont="1" applyFill="1" applyBorder="1" applyAlignment="1">
      <alignment horizontal="right"/>
    </xf>
    <xf numFmtId="42" fontId="1" fillId="0" borderId="0" xfId="2" applyNumberFormat="1" applyFont="1" applyFill="1"/>
    <xf numFmtId="37" fontId="2" fillId="0" borderId="0" xfId="2" applyNumberFormat="1" applyFont="1" applyFill="1" applyBorder="1" applyAlignment="1">
      <alignment horizontal="right"/>
    </xf>
    <xf numFmtId="165" fontId="1" fillId="0" borderId="0" xfId="1" applyNumberFormat="1" applyFont="1" applyFill="1" applyAlignment="1">
      <alignment horizontal="right" vertical="top"/>
    </xf>
    <xf numFmtId="165" fontId="1" fillId="0" borderId="0" xfId="1" applyNumberFormat="1" applyFont="1" applyFill="1" applyAlignment="1" applyProtection="1">
      <alignment horizontal="left" indent="2"/>
      <protection locked="0"/>
    </xf>
    <xf numFmtId="43" fontId="1" fillId="0" borderId="0" xfId="1" applyFont="1" applyFill="1" applyBorder="1"/>
    <xf numFmtId="165" fontId="1" fillId="0" borderId="4" xfId="0" applyNumberFormat="1" applyFont="1" applyFill="1" applyBorder="1"/>
    <xf numFmtId="165" fontId="1" fillId="0" borderId="4" xfId="1" applyNumberFormat="1" applyFont="1" applyFill="1" applyBorder="1" applyProtection="1">
      <protection locked="0"/>
    </xf>
    <xf numFmtId="165" fontId="1" fillId="0" borderId="4" xfId="1" applyNumberFormat="1" applyFont="1" applyFill="1" applyBorder="1" applyAlignment="1">
      <alignment horizontal="right"/>
    </xf>
    <xf numFmtId="165" fontId="1" fillId="0" borderId="4" xfId="1" applyNumberFormat="1" applyFont="1" applyFill="1" applyBorder="1" applyAlignment="1">
      <alignment horizontal="right" vertical="top"/>
    </xf>
    <xf numFmtId="165" fontId="0" fillId="0" borderId="0" xfId="0" applyNumberFormat="1" applyFill="1" applyBorder="1"/>
    <xf numFmtId="0" fontId="11" fillId="0" borderId="3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0" fillId="0" borderId="0" xfId="0" applyFill="1" applyAlignment="1"/>
    <xf numFmtId="0" fontId="0" fillId="0" borderId="0" xfId="0" applyFill="1" applyBorder="1" applyAlignment="1"/>
    <xf numFmtId="0" fontId="11" fillId="0" borderId="0" xfId="0" applyFont="1" applyFill="1" applyBorder="1"/>
    <xf numFmtId="165" fontId="11" fillId="0" borderId="0" xfId="0" applyNumberFormat="1" applyFont="1" applyFill="1" applyBorder="1" applyAlignment="1">
      <alignment horizontal="center"/>
    </xf>
    <xf numFmtId="165" fontId="11" fillId="0" borderId="5" xfId="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" xfId="0" applyFont="1" applyFill="1" applyBorder="1"/>
    <xf numFmtId="165" fontId="11" fillId="0" borderId="2" xfId="1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right"/>
    </xf>
    <xf numFmtId="166" fontId="11" fillId="0" borderId="0" xfId="2" applyNumberFormat="1" applyFont="1" applyFill="1" applyBorder="1" applyAlignment="1">
      <alignment horizontal="center"/>
    </xf>
    <xf numFmtId="42" fontId="11" fillId="0" borderId="0" xfId="2" applyNumberFormat="1" applyFont="1" applyFill="1" applyBorder="1" applyAlignment="1">
      <alignment horizontal="center"/>
    </xf>
    <xf numFmtId="10" fontId="11" fillId="0" borderId="0" xfId="3" applyNumberFormat="1" applyFont="1" applyFill="1" applyBorder="1"/>
    <xf numFmtId="44" fontId="0" fillId="0" borderId="0" xfId="2" applyNumberFormat="1" applyFont="1" applyFill="1" applyBorder="1" applyAlignment="1">
      <alignment horizontal="center"/>
    </xf>
    <xf numFmtId="165" fontId="11" fillId="0" borderId="0" xfId="1" applyNumberFormat="1" applyFont="1" applyFill="1" applyBorder="1" applyAlignment="1">
      <alignment horizontal="center"/>
    </xf>
    <xf numFmtId="165" fontId="11" fillId="0" borderId="0" xfId="1" applyNumberFormat="1" applyFont="1" applyFill="1" applyBorder="1"/>
    <xf numFmtId="43" fontId="2" fillId="0" borderId="0" xfId="1" applyNumberFormat="1" applyFont="1" applyFill="1" applyBorder="1"/>
    <xf numFmtId="43" fontId="2" fillId="0" borderId="4" xfId="1" applyNumberFormat="1" applyFont="1" applyFill="1" applyBorder="1"/>
    <xf numFmtId="0" fontId="1" fillId="0" borderId="0" xfId="0" quotePrefix="1" applyFont="1" applyFill="1" applyBorder="1"/>
    <xf numFmtId="0" fontId="6" fillId="0" borderId="0" xfId="0" applyFont="1" applyFill="1"/>
    <xf numFmtId="0" fontId="11" fillId="0" borderId="0" xfId="0" quotePrefix="1" applyFont="1" applyFill="1"/>
    <xf numFmtId="44" fontId="11" fillId="0" borderId="0" xfId="1" applyNumberFormat="1" applyFont="1" applyFill="1" applyBorder="1" applyAlignment="1">
      <alignment horizontal="center"/>
    </xf>
    <xf numFmtId="41" fontId="0" fillId="0" borderId="0" xfId="0" applyNumberFormat="1" applyFill="1" applyBorder="1"/>
    <xf numFmtId="41" fontId="13" fillId="0" borderId="0" xfId="0" quotePrefix="1" applyNumberFormat="1" applyFont="1" applyFill="1" applyBorder="1"/>
    <xf numFmtId="42" fontId="1" fillId="0" borderId="0" xfId="2" applyNumberFormat="1" applyFont="1" applyFill="1" applyBorder="1" applyAlignment="1">
      <alignment horizontal="center"/>
    </xf>
    <xf numFmtId="3" fontId="1" fillId="0" borderId="0" xfId="1" applyNumberFormat="1" applyFont="1" applyFill="1" applyBorder="1"/>
    <xf numFmtId="3" fontId="19" fillId="0" borderId="0" xfId="1" applyNumberFormat="1" applyFont="1" applyFill="1" applyBorder="1"/>
    <xf numFmtId="3" fontId="1" fillId="0" borderId="0" xfId="1" applyNumberFormat="1" applyFont="1" applyFill="1" applyProtection="1">
      <protection locked="0"/>
    </xf>
    <xf numFmtId="3" fontId="1" fillId="0" borderId="4" xfId="1" applyNumberFormat="1" applyFont="1" applyFill="1" applyBorder="1"/>
    <xf numFmtId="3" fontId="1" fillId="0" borderId="4" xfId="1" applyNumberFormat="1" applyFont="1" applyFill="1" applyBorder="1" applyProtection="1">
      <protection locked="0"/>
    </xf>
    <xf numFmtId="0" fontId="16" fillId="0" borderId="0" xfId="0" applyFont="1" applyFill="1" applyBorder="1"/>
    <xf numFmtId="3" fontId="2" fillId="0" borderId="0" xfId="0" applyNumberFormat="1" applyFont="1" applyFill="1" applyAlignment="1">
      <alignment horizontal="center"/>
    </xf>
    <xf numFmtId="37" fontId="1" fillId="0" borderId="0" xfId="1" applyNumberFormat="1" applyFont="1" applyBorder="1"/>
    <xf numFmtId="37" fontId="1" fillId="0" borderId="2" xfId="1" applyNumberFormat="1" applyFont="1" applyBorder="1"/>
    <xf numFmtId="165" fontId="1" fillId="0" borderId="4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5" fontId="11" fillId="0" borderId="4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65" fontId="0" fillId="0" borderId="8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65" fontId="1" fillId="0" borderId="8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43" fontId="4" fillId="0" borderId="1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7" xfId="0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5" fontId="2" fillId="0" borderId="15" xfId="1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/>
    </xf>
    <xf numFmtId="165" fontId="2" fillId="0" borderId="16" xfId="1" applyNumberFormat="1" applyFont="1" applyFill="1" applyBorder="1" applyAlignment="1">
      <alignment horizontal="center"/>
    </xf>
    <xf numFmtId="165" fontId="2" fillId="0" borderId="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165" fontId="2" fillId="0" borderId="5" xfId="1" applyNumberFormat="1" applyFont="1" applyBorder="1" applyAlignment="1">
      <alignment horizontal="center" wrapText="1"/>
    </xf>
    <xf numFmtId="0" fontId="0" fillId="0" borderId="7" xfId="0" applyBorder="1" applyAlignment="1"/>
    <xf numFmtId="0" fontId="0" fillId="0" borderId="0" xfId="0" applyAlignment="1">
      <alignment horizontal="center" wrapText="1"/>
    </xf>
    <xf numFmtId="165" fontId="2" fillId="0" borderId="0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0" xfId="2" applyFont="1" applyBorder="1" applyAlignment="1">
      <alignment horizontal="center" vertical="center" wrapText="1"/>
    </xf>
    <xf numFmtId="44" fontId="2" fillId="0" borderId="2" xfId="2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0" fillId="0" borderId="2" xfId="0" applyBorder="1" applyAlignment="1">
      <alignment vertical="justify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http://www.census.gov/" TargetMode="External"/><Relationship Id="rId1" Type="http://schemas.openxmlformats.org/officeDocument/2006/relationships/hyperlink" Target="http://www.dat.state.md.us/sdatweb/stats/AnnualRpt_201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3"/>
  <sheetViews>
    <sheetView showRowColHeaders="0" tabSelected="1" zoomScaleNormal="100" workbookViewId="0">
      <selection sqref="A1:L1"/>
    </sheetView>
  </sheetViews>
  <sheetFormatPr defaultRowHeight="12.75"/>
  <cols>
    <col min="1" max="1" width="14.140625" style="83" bestFit="1" customWidth="1"/>
    <col min="2" max="2" width="15.5703125" style="83" customWidth="1"/>
    <col min="3" max="3" width="14.85546875" style="83" bestFit="1" customWidth="1"/>
    <col min="4" max="4" width="13.28515625" style="83" bestFit="1" customWidth="1"/>
    <col min="5" max="5" width="14.85546875" style="83" bestFit="1" customWidth="1"/>
    <col min="6" max="6" width="17.7109375" style="83" bestFit="1" customWidth="1"/>
    <col min="7" max="7" width="13.28515625" style="83" bestFit="1" customWidth="1"/>
    <col min="8" max="8" width="2.7109375" style="83" customWidth="1"/>
    <col min="9" max="12" width="9.140625" style="83"/>
  </cols>
  <sheetData>
    <row r="1" spans="1:60">
      <c r="A1" s="441" t="s">
        <v>85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</row>
    <row r="2" spans="1:60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</row>
    <row r="3" spans="1:60">
      <c r="A3" s="441" t="s">
        <v>262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</row>
    <row r="4" spans="1:60" ht="13.5" thickBot="1">
      <c r="A4" s="23"/>
      <c r="B4" s="98"/>
      <c r="C4" s="23"/>
      <c r="D4" s="23"/>
      <c r="E4" s="23"/>
      <c r="F4" s="23"/>
      <c r="G4" s="23"/>
      <c r="H4" s="23"/>
      <c r="I4" s="47"/>
      <c r="J4" s="23"/>
      <c r="K4" s="23"/>
      <c r="L4" s="23"/>
    </row>
    <row r="5" spans="1:60" ht="15" customHeight="1" thickTop="1">
      <c r="A5" s="99" t="s">
        <v>77</v>
      </c>
      <c r="B5" s="100" t="s">
        <v>43</v>
      </c>
      <c r="C5" s="439"/>
      <c r="D5" s="439"/>
      <c r="E5" s="440"/>
      <c r="F5" s="440"/>
      <c r="G5" s="99"/>
      <c r="H5" s="99"/>
      <c r="I5" s="439" t="s">
        <v>82</v>
      </c>
      <c r="J5" s="439"/>
      <c r="K5" s="439"/>
      <c r="L5" s="43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</row>
    <row r="6" spans="1:60">
      <c r="A6" s="32" t="s">
        <v>33</v>
      </c>
      <c r="B6" s="101" t="s">
        <v>83</v>
      </c>
      <c r="C6" s="438" t="s">
        <v>77</v>
      </c>
      <c r="D6" s="438"/>
      <c r="E6" s="102"/>
      <c r="F6" s="102"/>
      <c r="G6" s="101" t="s">
        <v>79</v>
      </c>
      <c r="H6" s="101"/>
      <c r="I6" s="103"/>
      <c r="J6" s="103"/>
      <c r="K6" s="103"/>
      <c r="L6" s="103" t="s">
        <v>141</v>
      </c>
    </row>
    <row r="7" spans="1:60" ht="13.5" thickBot="1">
      <c r="A7" s="52" t="s">
        <v>132</v>
      </c>
      <c r="B7" s="104" t="s">
        <v>84</v>
      </c>
      <c r="C7" s="49" t="s">
        <v>78</v>
      </c>
      <c r="D7" s="49" t="s">
        <v>214</v>
      </c>
      <c r="E7" s="49" t="s">
        <v>44</v>
      </c>
      <c r="F7" s="49" t="s">
        <v>51</v>
      </c>
      <c r="G7" s="49" t="s">
        <v>81</v>
      </c>
      <c r="H7" s="49"/>
      <c r="I7" s="104" t="s">
        <v>77</v>
      </c>
      <c r="J7" s="104" t="s">
        <v>44</v>
      </c>
      <c r="K7" s="105" t="s">
        <v>51</v>
      </c>
      <c r="L7" s="105" t="s">
        <v>81</v>
      </c>
    </row>
    <row r="8" spans="1:60">
      <c r="A8" s="32" t="s">
        <v>0</v>
      </c>
      <c r="B8" s="106">
        <f t="shared" ref="B8:G8" si="0">SUM(B10:B37)</f>
        <v>13908869629.530003</v>
      </c>
      <c r="C8" s="106">
        <f t="shared" si="0"/>
        <v>6637442914.1300001</v>
      </c>
      <c r="D8" s="106">
        <f t="shared" si="0"/>
        <v>237129747.67999998</v>
      </c>
      <c r="E8" s="106">
        <f t="shared" si="0"/>
        <v>6112891737.3300009</v>
      </c>
      <c r="F8" s="118">
        <f t="shared" si="0"/>
        <v>824566948.33999991</v>
      </c>
      <c r="G8" s="106">
        <f t="shared" si="0"/>
        <v>96838282.049999997</v>
      </c>
      <c r="H8" s="106"/>
      <c r="I8" s="107">
        <f>IF(B8&lt;&gt;0,((+C8+D8)/B8),(IF(C8&lt;&gt;0,1,0)))</f>
        <v>0.4942581852384722</v>
      </c>
      <c r="J8" s="107">
        <f>IF($B8&lt;&gt;0,(E8/$B8),(IF(E8&lt;&gt;0,1,0)))</f>
        <v>0.43949594037114881</v>
      </c>
      <c r="K8" s="107">
        <f>IF($B8&lt;&gt;0,(F8/$B8),(IF(F8&lt;&gt;0,1,0)))</f>
        <v>5.9283534198160646E-2</v>
      </c>
      <c r="L8" s="107">
        <f>IF($B8&lt;&gt;0,(G8/$B8),(IF(G8&lt;&gt;0,1,0)))</f>
        <v>6.9623401922182136E-3</v>
      </c>
    </row>
    <row r="9" spans="1:60">
      <c r="A9" s="108"/>
      <c r="B9" s="109"/>
      <c r="C9" s="109"/>
      <c r="D9" s="30"/>
      <c r="E9" s="103"/>
      <c r="F9" s="103"/>
      <c r="G9" s="103"/>
      <c r="H9" s="103"/>
      <c r="I9" s="110"/>
      <c r="J9" s="110"/>
      <c r="K9" s="110"/>
      <c r="L9" s="110"/>
    </row>
    <row r="10" spans="1:60">
      <c r="A10" s="23" t="s">
        <v>1</v>
      </c>
      <c r="B10" s="72">
        <f t="shared" ref="B10:B28" si="1">SUM(C10:G10)</f>
        <v>130550429.5</v>
      </c>
      <c r="C10" s="109">
        <f>'table 2a'!C11+table4!C11+table5!C11</f>
        <v>29728150.550000001</v>
      </c>
      <c r="D10" s="30">
        <f>'table 2a'!D11+table4!D11+table5!D11+'table 6'!C12+'table 6'!D12+'table 6'!F12+'table 6'!E12</f>
        <v>1841843.91</v>
      </c>
      <c r="E10" s="109">
        <f>'table 2a'!E11+table4!E11+table5!E11+'table 6'!G12</f>
        <v>84887350.350000009</v>
      </c>
      <c r="F10" s="30">
        <f>'table 2a'!F11+'table 6'!I12</f>
        <v>12622638.239999998</v>
      </c>
      <c r="G10" s="50">
        <f>table4!G11+table5!G11+'table 6'!K12</f>
        <v>1470446.4500000002</v>
      </c>
      <c r="H10" s="111"/>
      <c r="I10" s="112">
        <f>IF(B10&lt;&gt;0,((+C10+D10)/B10*100),(IF(C10&lt;&gt;0,1,0)))</f>
        <v>24.182221828691876</v>
      </c>
      <c r="J10" s="112">
        <f t="shared" ref="J10:L14" si="2">IF($B10&lt;&gt;0,(E10/$B10*100),(IF(E10&lt;&gt;0,1,0)))</f>
        <v>65.022651151063442</v>
      </c>
      <c r="K10" s="112">
        <f t="shared" si="2"/>
        <v>9.6687833876486771</v>
      </c>
      <c r="L10" s="112">
        <f t="shared" si="2"/>
        <v>1.1263436325960154</v>
      </c>
    </row>
    <row r="11" spans="1:60">
      <c r="A11" s="23" t="s">
        <v>2</v>
      </c>
      <c r="B11" s="72">
        <f t="shared" si="1"/>
        <v>1197653924.23</v>
      </c>
      <c r="C11" s="109">
        <f>'table 2a'!C12+table4!C12+table5!C12</f>
        <v>652435229</v>
      </c>
      <c r="D11" s="30">
        <f>'table 2a'!D12+table4!D12+table5!D12+'table 6'!C13+'table 6'!D13+'table 6'!F13+'table 6'!E13</f>
        <v>13346561.93</v>
      </c>
      <c r="E11" s="109">
        <f>'table 2a'!E12+table4!E12+table5!E12+'table 6'!G13</f>
        <v>400418722.19000006</v>
      </c>
      <c r="F11" s="30">
        <f>'table 2a'!F12+'table 6'!I13</f>
        <v>57978186.109999999</v>
      </c>
      <c r="G11" s="50">
        <f>table4!G12+table5!G12+'table 6'!K13</f>
        <v>73475225</v>
      </c>
      <c r="H11" s="72"/>
      <c r="I11" s="112">
        <f>IF(B11&lt;&gt;0,((+C11+D11)/B11*100),(IF(C11&lt;&gt;0,1,0)))</f>
        <v>55.590498846154311</v>
      </c>
      <c r="J11" s="112">
        <f t="shared" si="2"/>
        <v>33.433591631859656</v>
      </c>
      <c r="K11" s="112">
        <f t="shared" si="2"/>
        <v>4.8409799305985279</v>
      </c>
      <c r="L11" s="112">
        <f t="shared" si="2"/>
        <v>6.1349295913875084</v>
      </c>
    </row>
    <row r="12" spans="1:60">
      <c r="A12" s="23" t="s">
        <v>3</v>
      </c>
      <c r="B12" s="72">
        <f t="shared" si="1"/>
        <v>1434490324.3100004</v>
      </c>
      <c r="C12" s="109">
        <f>'table 2a'!C13+table4!C13+table5!C13</f>
        <v>260144935.22</v>
      </c>
      <c r="D12" s="30">
        <f>'table 2a'!D13+table4!D13+table5!D13+'table 6'!C14+'table 6'!D14+'table 6'!F14+'table 6'!E14</f>
        <v>12097315.5</v>
      </c>
      <c r="E12" s="109">
        <f>'table 2a'!E13+table4!E13+table5!E13+'table 6'!G14</f>
        <v>974007852.30000019</v>
      </c>
      <c r="F12" s="30">
        <f>'table 2a'!F13+'table 6'!I14</f>
        <v>178832832.12</v>
      </c>
      <c r="G12" s="50">
        <f>table4!G13+table5!G13+'table 6'!K14</f>
        <v>9407389.1699999999</v>
      </c>
      <c r="H12" s="72"/>
      <c r="I12" s="112">
        <f>IF(B12&lt;&gt;0,((+C12+D12)/B12*100),(IF(C12&lt;&gt;0,1,0)))</f>
        <v>18.978326037225131</v>
      </c>
      <c r="J12" s="112">
        <f t="shared" si="2"/>
        <v>67.899227746168634</v>
      </c>
      <c r="K12" s="112">
        <f t="shared" si="2"/>
        <v>12.466646103452792</v>
      </c>
      <c r="L12" s="112">
        <f t="shared" si="2"/>
        <v>0.6558001131534309</v>
      </c>
    </row>
    <row r="13" spans="1:60">
      <c r="A13" s="23" t="s">
        <v>4</v>
      </c>
      <c r="B13" s="72">
        <f t="shared" si="1"/>
        <v>1579044738.8699999</v>
      </c>
      <c r="C13" s="109">
        <f>'table 2a'!C14+table4!C14+table5!C14</f>
        <v>770522310</v>
      </c>
      <c r="D13" s="30">
        <f>'table 2a'!D14+table4!D14+table5!D14+'table 6'!C15+'table 6'!D15+'table 6'!F15+'table 6'!E15</f>
        <v>17173373.32</v>
      </c>
      <c r="E13" s="109">
        <f>'table 2a'!E14+table4!E14+table5!E14+'table 6'!G15</f>
        <v>694646673.49999988</v>
      </c>
      <c r="F13" s="30">
        <f>'table 2a'!F14+'table 6'!I15</f>
        <v>96276767.049999997</v>
      </c>
      <c r="G13" s="50">
        <f>table4!G14+table5!G14+'table 6'!K15</f>
        <v>425615</v>
      </c>
      <c r="H13" s="72"/>
      <c r="I13" s="112">
        <f>IF(B13&lt;&gt;0,((+C13+D13)/B13*100),(IF(C13&lt;&gt;0,1,0)))</f>
        <v>49.884317013316092</v>
      </c>
      <c r="J13" s="112">
        <f t="shared" si="2"/>
        <v>43.991576451285653</v>
      </c>
      <c r="K13" s="112">
        <f t="shared" si="2"/>
        <v>6.0971525809267328</v>
      </c>
      <c r="L13" s="112">
        <f t="shared" si="2"/>
        <v>2.6953954471523062E-2</v>
      </c>
    </row>
    <row r="14" spans="1:60">
      <c r="A14" s="23" t="s">
        <v>5</v>
      </c>
      <c r="B14" s="72">
        <f t="shared" si="1"/>
        <v>241790140.84999999</v>
      </c>
      <c r="C14" s="109">
        <f>'table 2a'!C15+table4!C15+table5!C15</f>
        <v>124516383</v>
      </c>
      <c r="D14" s="30">
        <f>'table 2a'!D15+table4!D15+table5!D15+'table 6'!C16+'table 6'!D16+'table 6'!F16+'table 6'!E16</f>
        <v>5782408.4399999995</v>
      </c>
      <c r="E14" s="109">
        <f>'table 2a'!E15+table4!E15+table5!E15+'table 6'!G16</f>
        <v>102173993.88000001</v>
      </c>
      <c r="F14" s="30">
        <f>'table 2a'!F15+'table 6'!I16</f>
        <v>9317355.5299999993</v>
      </c>
      <c r="G14" s="50">
        <f>table4!G15+table5!G15+'table 6'!K16</f>
        <v>0</v>
      </c>
      <c r="H14" s="72"/>
      <c r="I14" s="112">
        <f>IF(B14&lt;&gt;0,((+C14+D14)/B14*100),(IF(C14&lt;&gt;0,1,0)))</f>
        <v>53.889207798937434</v>
      </c>
      <c r="J14" s="112">
        <f t="shared" si="2"/>
        <v>42.257303594271022</v>
      </c>
      <c r="K14" s="112">
        <f t="shared" si="2"/>
        <v>3.853488606791553</v>
      </c>
      <c r="L14" s="112">
        <f t="shared" si="2"/>
        <v>0</v>
      </c>
    </row>
    <row r="15" spans="1:60">
      <c r="A15" s="23"/>
      <c r="B15" s="72"/>
      <c r="C15" s="30"/>
      <c r="D15" s="30"/>
      <c r="E15" s="50"/>
      <c r="F15" s="30"/>
      <c r="G15" s="30"/>
      <c r="H15" s="72"/>
      <c r="I15" s="112"/>
      <c r="J15" s="112"/>
      <c r="K15" s="112"/>
      <c r="L15" s="112"/>
    </row>
    <row r="16" spans="1:60">
      <c r="A16" s="23" t="s">
        <v>6</v>
      </c>
      <c r="B16" s="72">
        <f t="shared" si="1"/>
        <v>73510640.219999999</v>
      </c>
      <c r="C16" s="109">
        <f>'table 2a'!C17+table4!C17+table5!C17</f>
        <v>13206304.5</v>
      </c>
      <c r="D16" s="30">
        <f>'table 2a'!D17+table4!D17+table5!D17+'table 6'!C18+'table 6'!D18+'table 6'!F18+'table 6'!E18</f>
        <v>3274210.5800000005</v>
      </c>
      <c r="E16" s="109">
        <f>'table 2a'!E17+table4!E17+table5!E17+'table 6'!G18</f>
        <v>50223295.270000003</v>
      </c>
      <c r="F16" s="30">
        <f>'table 2a'!F17+'table 6'!I18</f>
        <v>6315264.9299999997</v>
      </c>
      <c r="G16" s="50">
        <f>table4!G17+table5!G17+'table 6'!K18</f>
        <v>491564.93999999994</v>
      </c>
      <c r="H16" s="72"/>
      <c r="I16" s="112">
        <f>IF(B16&lt;&gt;0,((+C16+D16)/B16*100),(IF(C16&lt;&gt;0,1,0)))</f>
        <v>22.419223979926862</v>
      </c>
      <c r="J16" s="112">
        <f t="shared" ref="J16:L20" si="3">IF($B16&lt;&gt;0,(E16/$B16*100),(IF(E16&lt;&gt;0,1,0)))</f>
        <v>68.321123472321204</v>
      </c>
      <c r="K16" s="112">
        <f t="shared" si="3"/>
        <v>8.5909535151644754</v>
      </c>
      <c r="L16" s="112">
        <f t="shared" si="3"/>
        <v>0.66869903258747587</v>
      </c>
    </row>
    <row r="17" spans="1:12">
      <c r="A17" s="23" t="s">
        <v>7</v>
      </c>
      <c r="B17" s="72">
        <f t="shared" si="1"/>
        <v>377570966.33999991</v>
      </c>
      <c r="C17" s="109">
        <f>'table 2a'!C18+table4!C18+table5!C18</f>
        <v>190183366.62</v>
      </c>
      <c r="D17" s="30">
        <f>'table 2a'!D18+table4!D18+table5!D18+'table 6'!C19+'table 6'!D19+'table 6'!F19+'table 6'!E19</f>
        <v>5113351.3</v>
      </c>
      <c r="E17" s="109">
        <f>'table 2a'!E18+table4!E18+table5!E18+'table 6'!G19</f>
        <v>167353613.36999997</v>
      </c>
      <c r="F17" s="30">
        <f>'table 2a'!F18+'table 6'!I19</f>
        <v>14908061.77</v>
      </c>
      <c r="G17" s="50">
        <f>table4!G18+table5!G18+'table 6'!K19</f>
        <v>12573.28</v>
      </c>
      <c r="H17" s="72"/>
      <c r="I17" s="112">
        <f>IF(B17&lt;&gt;0,((+C17+D17)/B17*100),(IF(C17&lt;&gt;0,1,0)))</f>
        <v>51.724506206903833</v>
      </c>
      <c r="J17" s="112">
        <f t="shared" si="3"/>
        <v>44.323750576547049</v>
      </c>
      <c r="K17" s="112">
        <f t="shared" si="3"/>
        <v>3.948413172366489</v>
      </c>
      <c r="L17" s="112">
        <f t="shared" si="3"/>
        <v>3.3300441826551496E-3</v>
      </c>
    </row>
    <row r="18" spans="1:12">
      <c r="A18" s="23" t="s">
        <v>8</v>
      </c>
      <c r="B18" s="72">
        <f t="shared" si="1"/>
        <v>211521379.5</v>
      </c>
      <c r="C18" s="109">
        <f>'table 2a'!C19+table4!C19+table5!C19</f>
        <v>73121774.590000004</v>
      </c>
      <c r="D18" s="30">
        <f>'table 2a'!D19+table4!D19+table5!D19+'table 6'!C20+'table 6'!D20+'table 6'!F20+'table 6'!E20</f>
        <v>10664624.5</v>
      </c>
      <c r="E18" s="109">
        <f>'table 2a'!E19+table4!E19+table5!E19+'table 6'!G20</f>
        <v>114002461.5</v>
      </c>
      <c r="F18" s="30">
        <f>'table 2a'!F19+'table 6'!I20</f>
        <v>13732518.91</v>
      </c>
      <c r="G18" s="50">
        <f>table4!G19+table5!G19+'table 6'!K20</f>
        <v>0</v>
      </c>
      <c r="H18" s="72"/>
      <c r="I18" s="112">
        <f>IF(B18&lt;&gt;0,((+C18+D18)/B18*100),(IF(C18&lt;&gt;0,1,0)))</f>
        <v>39.611314604725337</v>
      </c>
      <c r="J18" s="112">
        <f t="shared" si="3"/>
        <v>53.8964249237983</v>
      </c>
      <c r="K18" s="112">
        <f t="shared" si="3"/>
        <v>6.4922604714763601</v>
      </c>
      <c r="L18" s="112">
        <f t="shared" si="3"/>
        <v>0</v>
      </c>
    </row>
    <row r="19" spans="1:12">
      <c r="A19" s="23" t="s">
        <v>9</v>
      </c>
      <c r="B19" s="72">
        <f t="shared" si="1"/>
        <v>410926185.37</v>
      </c>
      <c r="C19" s="109">
        <f>'table 2a'!C20+table4!C20+table5!C20</f>
        <v>187631691.34999999</v>
      </c>
      <c r="D19" s="30">
        <f>'table 2a'!D20+table4!D20+table5!D20+'table 6'!C21+'table 6'!D21+'table 6'!F21+'table 6'!E21</f>
        <v>9520471.2599999998</v>
      </c>
      <c r="E19" s="109">
        <f>'table 2a'!E20+table4!E20+table5!E20+'table 6'!G21</f>
        <v>194716587.03999996</v>
      </c>
      <c r="F19" s="30">
        <f>'table 2a'!F20+'table 6'!I21</f>
        <v>19057435.719999999</v>
      </c>
      <c r="G19" s="50">
        <f>table4!G20+table5!G20+'table 6'!K21</f>
        <v>0</v>
      </c>
      <c r="H19" s="72"/>
      <c r="I19" s="112">
        <f>IF(B19&lt;&gt;0,((+C19+D19)/B19*100),(IF(C19&lt;&gt;0,1,0)))</f>
        <v>47.977512660207623</v>
      </c>
      <c r="J19" s="112">
        <f t="shared" si="3"/>
        <v>47.384808749697022</v>
      </c>
      <c r="K19" s="112">
        <f t="shared" si="3"/>
        <v>4.6376785900953443</v>
      </c>
      <c r="L19" s="112">
        <f t="shared" si="3"/>
        <v>0</v>
      </c>
    </row>
    <row r="20" spans="1:12">
      <c r="A20" s="23" t="s">
        <v>10</v>
      </c>
      <c r="B20" s="72">
        <f t="shared" si="1"/>
        <v>67515397.050000012</v>
      </c>
      <c r="C20" s="109">
        <f>'table 2a'!C21+table4!C21+table5!C21</f>
        <v>21774050</v>
      </c>
      <c r="D20" s="30">
        <f>'table 2a'!D21+table4!D21+table5!D21+'table 6'!C22+'table 6'!D22+'table 6'!F22+'table 6'!E22</f>
        <v>1238880.33</v>
      </c>
      <c r="E20" s="109">
        <f>'table 2a'!E21+table4!E21+table5!E21+'table 6'!G22</f>
        <v>37693053.250000007</v>
      </c>
      <c r="F20" s="30">
        <f>'table 2a'!F21+'table 6'!I22</f>
        <v>6809413.4699999988</v>
      </c>
      <c r="G20" s="50">
        <f>table4!G21+table5!G21+'table 6'!K22</f>
        <v>0</v>
      </c>
      <c r="H20" s="72"/>
      <c r="I20" s="112">
        <f>IF(B20&lt;&gt;0,((+C20+D20)/B20*100),(IF(C20&lt;&gt;0,1,0)))</f>
        <v>34.085455074725054</v>
      </c>
      <c r="J20" s="112">
        <f t="shared" si="3"/>
        <v>55.828825567130394</v>
      </c>
      <c r="K20" s="112">
        <f t="shared" si="3"/>
        <v>10.085719358144541</v>
      </c>
      <c r="L20" s="112">
        <f t="shared" si="3"/>
        <v>0</v>
      </c>
    </row>
    <row r="21" spans="1:12">
      <c r="A21" s="23"/>
      <c r="B21" s="72"/>
      <c r="C21" s="30"/>
      <c r="D21" s="30"/>
      <c r="E21" s="50"/>
      <c r="F21" s="30"/>
      <c r="G21" s="30"/>
      <c r="H21" s="72"/>
      <c r="I21" s="112"/>
      <c r="J21" s="112"/>
      <c r="K21" s="112"/>
      <c r="L21" s="112"/>
    </row>
    <row r="22" spans="1:12">
      <c r="A22" s="23" t="s">
        <v>11</v>
      </c>
      <c r="B22" s="72">
        <f t="shared" si="1"/>
        <v>620160779.88</v>
      </c>
      <c r="C22" s="109">
        <f>'table 2a'!C23+table4!C23+table5!C23</f>
        <v>295544193</v>
      </c>
      <c r="D22" s="30">
        <f>'table 2a'!D23+table4!D23+table5!D23+'table 6'!C24+'table 6'!D24+'table 6'!F24+'table 6'!E24</f>
        <v>25116306.639999997</v>
      </c>
      <c r="E22" s="109">
        <f>'table 2a'!E23+table4!E23+table5!E23+'table 6'!G24</f>
        <v>277606916.49000001</v>
      </c>
      <c r="F22" s="30">
        <f>'table 2a'!F23+'table 6'!I24</f>
        <v>21893363.75</v>
      </c>
      <c r="G22" s="50">
        <f>table4!G23+table5!G23+'table 6'!K24</f>
        <v>0</v>
      </c>
      <c r="H22" s="72"/>
      <c r="I22" s="112">
        <f>IF(B22&lt;&gt;0,((+C22+D22)/B22*100),(IF(C22&lt;&gt;0,1,0)))</f>
        <v>51.706026895484626</v>
      </c>
      <c r="J22" s="112">
        <f t="shared" ref="J22:L26" si="4">IF($B22&lt;&gt;0,(E22/$B22*100),(IF(E22&lt;&gt;0,1,0)))</f>
        <v>44.763700881522446</v>
      </c>
      <c r="K22" s="112">
        <f t="shared" si="4"/>
        <v>3.5302722229929353</v>
      </c>
      <c r="L22" s="112">
        <f t="shared" si="4"/>
        <v>0</v>
      </c>
    </row>
    <row r="23" spans="1:12">
      <c r="A23" s="23" t="s">
        <v>12</v>
      </c>
      <c r="B23" s="72">
        <f t="shared" si="1"/>
        <v>58594134.160000004</v>
      </c>
      <c r="C23" s="109">
        <f>'table 2a'!C24+table4!C24+table5!C24</f>
        <v>26042364.920000002</v>
      </c>
      <c r="D23" s="30">
        <f>'table 2a'!D24+table4!D24+table5!D24+'table 6'!C25+'table 6'!D25+'table 6'!F25+'table 6'!E25</f>
        <v>1125638.23</v>
      </c>
      <c r="E23" s="109">
        <f>'table 2a'!E24+table4!E24+table5!E24+'table 6'!G25</f>
        <v>25629454.640000001</v>
      </c>
      <c r="F23" s="30">
        <f>'table 2a'!F24+'table 6'!I25</f>
        <v>5511765.3700000001</v>
      </c>
      <c r="G23" s="50">
        <f>table4!G24+table5!G24+'table 6'!K25</f>
        <v>284911</v>
      </c>
      <c r="H23" s="72"/>
      <c r="I23" s="112">
        <f>IF(B23&lt;&gt;0,((+C23+D23)/B23*100),(IF(C23&lt;&gt;0,1,0)))</f>
        <v>46.366421382409591</v>
      </c>
      <c r="J23" s="112">
        <f t="shared" si="4"/>
        <v>43.740649140773989</v>
      </c>
      <c r="K23" s="112">
        <f t="shared" si="4"/>
        <v>9.4066845581322269</v>
      </c>
      <c r="L23" s="112">
        <f t="shared" si="4"/>
        <v>0.48624491868419478</v>
      </c>
    </row>
    <row r="24" spans="1:12">
      <c r="A24" s="23" t="s">
        <v>13</v>
      </c>
      <c r="B24" s="72">
        <f t="shared" si="1"/>
        <v>564507195.67999995</v>
      </c>
      <c r="C24" s="109">
        <f>'table 2a'!C25+table4!C25+table5!C25</f>
        <v>261538914.44999999</v>
      </c>
      <c r="D24" s="30">
        <f>'table 2a'!D25+table4!D25+table5!D25+'table 6'!C26+'table 6'!D26+'table 6'!F26+'table 6'!E26</f>
        <v>21352051.5</v>
      </c>
      <c r="E24" s="109">
        <f>'table 2a'!E25+table4!E25+table5!E25+'table 6'!G26</f>
        <v>253440653.13</v>
      </c>
      <c r="F24" s="30">
        <f>'table 2a'!F25+'table 6'!I26</f>
        <v>28175576.599999998</v>
      </c>
      <c r="G24" s="50">
        <f>table4!G25+table5!G25+'table 6'!K26</f>
        <v>0</v>
      </c>
      <c r="H24" s="72"/>
      <c r="I24" s="112">
        <f>IF(B24&lt;&gt;0,((+C24+D24)/B24*100),(IF(C24&lt;&gt;0,1,0)))</f>
        <v>50.112906994787245</v>
      </c>
      <c r="J24" s="112">
        <f t="shared" si="4"/>
        <v>44.895911880221085</v>
      </c>
      <c r="K24" s="112">
        <f t="shared" si="4"/>
        <v>4.9911811249916793</v>
      </c>
      <c r="L24" s="112">
        <f t="shared" si="4"/>
        <v>0</v>
      </c>
    </row>
    <row r="25" spans="1:12">
      <c r="A25" s="23" t="s">
        <v>14</v>
      </c>
      <c r="B25" s="72">
        <f t="shared" si="1"/>
        <v>934297782.04999995</v>
      </c>
      <c r="C25" s="109">
        <f>'table 2a'!C26+table4!C26+table5!C26</f>
        <v>589212633</v>
      </c>
      <c r="D25" s="30">
        <f>'table 2a'!D26+table4!D26+table5!D26+'table 6'!C27+'table 6'!D27+'table 6'!F27+'table 6'!E27</f>
        <v>12843679</v>
      </c>
      <c r="E25" s="109">
        <f>'table 2a'!E26+table4!E26+table5!E26+'table 6'!G27</f>
        <v>308661682</v>
      </c>
      <c r="F25" s="30">
        <f>'table 2a'!F26+'table 6'!I27</f>
        <v>23579788.050000004</v>
      </c>
      <c r="G25" s="50">
        <f>table4!G26+table5!G26+'table 6'!K27</f>
        <v>0</v>
      </c>
      <c r="H25" s="72"/>
      <c r="I25" s="112">
        <f>IF(B25&lt;&gt;0,((+C25+D25)/B25*100),(IF(C25&lt;&gt;0,1,0)))</f>
        <v>64.439445706377612</v>
      </c>
      <c r="J25" s="112">
        <f t="shared" si="4"/>
        <v>33.036756367198741</v>
      </c>
      <c r="K25" s="112">
        <f t="shared" si="4"/>
        <v>2.523797926423645</v>
      </c>
      <c r="L25" s="112">
        <f t="shared" si="4"/>
        <v>0</v>
      </c>
    </row>
    <row r="26" spans="1:12">
      <c r="A26" s="23" t="s">
        <v>15</v>
      </c>
      <c r="B26" s="72">
        <f t="shared" si="1"/>
        <v>33226066.570000004</v>
      </c>
      <c r="C26" s="109">
        <f>'table 2a'!C27+table4!C27+table5!C27</f>
        <v>17362758</v>
      </c>
      <c r="D26" s="30">
        <f>'table 2a'!D27+table4!D27+table5!D27+'table 6'!C28+'table 6'!D28+'table 6'!F28+'table 6'!E28</f>
        <v>497905.62</v>
      </c>
      <c r="E26" s="109">
        <f>'table 2a'!E27+table4!E27+table5!E27+'table 6'!G28</f>
        <v>12164364.9</v>
      </c>
      <c r="F26" s="30">
        <f>'table 2a'!F27+'table 6'!I28</f>
        <v>3191853.05</v>
      </c>
      <c r="G26" s="50">
        <f>table4!G27+table5!G27+'table 6'!K28</f>
        <v>9185</v>
      </c>
      <c r="H26" s="72"/>
      <c r="I26" s="112">
        <f>IF(B26&lt;&gt;0,((+C26+D26)/B26*100),(IF(C26&lt;&gt;0,1,0)))</f>
        <v>53.754974523907364</v>
      </c>
      <c r="J26" s="112">
        <f t="shared" si="4"/>
        <v>36.610908710401709</v>
      </c>
      <c r="K26" s="112">
        <f t="shared" si="4"/>
        <v>9.6064728073528318</v>
      </c>
      <c r="L26" s="112">
        <f t="shared" si="4"/>
        <v>2.7643958338099479E-2</v>
      </c>
    </row>
    <row r="27" spans="1:12">
      <c r="A27" s="23"/>
      <c r="B27" s="72"/>
      <c r="C27" s="30"/>
      <c r="D27" s="30"/>
      <c r="E27" s="50"/>
      <c r="F27" s="30"/>
      <c r="G27" s="30"/>
      <c r="H27" s="72"/>
      <c r="I27" s="112"/>
      <c r="J27" s="112"/>
      <c r="K27" s="112"/>
      <c r="L27" s="112"/>
    </row>
    <row r="28" spans="1:12">
      <c r="A28" s="23" t="s">
        <v>16</v>
      </c>
      <c r="B28" s="72">
        <f t="shared" si="1"/>
        <v>2766926130.2999997</v>
      </c>
      <c r="C28" s="109">
        <f>'table 2a'!C29+table4!C29+table5!C29</f>
        <v>1822959970</v>
      </c>
      <c r="D28" s="30">
        <f>'table 2a'!D29+table4!D29+table5!D29+'table 6'!C30+'table 6'!D30+'table 6'!F30+'table 6'!E30</f>
        <v>33667862.469999999</v>
      </c>
      <c r="E28" s="109">
        <f>'table 2a'!E29+table4!E29+table5!E29+'table 6'!G30</f>
        <v>805270689.98000002</v>
      </c>
      <c r="F28" s="30">
        <f>'table 2a'!F29+'table 6'!I30</f>
        <v>105027607.84999999</v>
      </c>
      <c r="G28" s="50">
        <f>table4!G29+table5!G29+'table 6'!K30</f>
        <v>0</v>
      </c>
      <c r="H28" s="72"/>
      <c r="I28" s="112">
        <f>IF(B28&lt;&gt;0,((+C28+D28)/B28*100),(IF(C28&lt;&gt;0,1,0)))</f>
        <v>67.100737245511439</v>
      </c>
      <c r="J28" s="112">
        <f t="shared" ref="J28:L32" si="5">IF($B28&lt;&gt;0,(E28/$B28*100),(IF(E28&lt;&gt;0,1,0)))</f>
        <v>29.103440137474497</v>
      </c>
      <c r="K28" s="112">
        <f t="shared" si="5"/>
        <v>3.795822617014085</v>
      </c>
      <c r="L28" s="112">
        <f t="shared" si="5"/>
        <v>0</v>
      </c>
    </row>
    <row r="29" spans="1:12">
      <c r="A29" s="23" t="s">
        <v>17</v>
      </c>
      <c r="B29" s="72">
        <f t="shared" ref="B29:B37" si="6">SUM(C29:G29)</f>
        <v>2137639031.8899999</v>
      </c>
      <c r="C29" s="109">
        <f>'table 2a'!C30+table4!C30+table5!C30</f>
        <v>879998355.12999988</v>
      </c>
      <c r="D29" s="30">
        <f>'table 2a'!D30+table4!D30+table5!D30+'table 6'!C31+'table 6'!D31+'table 6'!F31+'table 6'!E31</f>
        <v>46849529.909999996</v>
      </c>
      <c r="E29" s="109">
        <f>'table 2a'!E30+table4!E30+table5!E30+'table 6'!G31</f>
        <v>1070282928.09</v>
      </c>
      <c r="F29" s="30">
        <f>'table 2a'!F30+'table 6'!I31</f>
        <v>140508218.75999999</v>
      </c>
      <c r="G29" s="50">
        <f>table4!G30+table5!G30+'table 6'!K31</f>
        <v>0</v>
      </c>
      <c r="H29" s="72"/>
      <c r="I29" s="112">
        <f>IF(B29&lt;&gt;0,((+C29+D29)/B29*100),(IF(C29&lt;&gt;0,1,0)))</f>
        <v>43.358484347122186</v>
      </c>
      <c r="J29" s="112">
        <f t="shared" si="5"/>
        <v>50.068459273206024</v>
      </c>
      <c r="K29" s="112">
        <f t="shared" si="5"/>
        <v>6.5730563796717938</v>
      </c>
      <c r="L29" s="112">
        <f t="shared" si="5"/>
        <v>0</v>
      </c>
    </row>
    <row r="30" spans="1:12">
      <c r="A30" s="23" t="s">
        <v>18</v>
      </c>
      <c r="B30" s="72">
        <f t="shared" si="6"/>
        <v>103419494.41000001</v>
      </c>
      <c r="C30" s="109">
        <f>'table 2a'!C31+table4!C31+table5!C31</f>
        <v>55920340.259999998</v>
      </c>
      <c r="D30" s="30">
        <f>'table 2a'!D31+table4!D31+table5!D31+'table 6'!C32+'table 6'!D32+'table 6'!F32+'table 6'!E32</f>
        <v>2299009.5999999996</v>
      </c>
      <c r="E30" s="109">
        <f>'table 2a'!E31+table4!E31+table5!E31+'table 6'!G32</f>
        <v>39410486.400000006</v>
      </c>
      <c r="F30" s="30">
        <f>'table 2a'!F31+'table 6'!I32</f>
        <v>5789658.1499999994</v>
      </c>
      <c r="G30" s="50">
        <f>table4!G31+table5!G31+'table 6'!K32</f>
        <v>0</v>
      </c>
      <c r="H30" s="72"/>
      <c r="I30" s="112">
        <f>IF(B30&lt;&gt;0,((+C30+D30)/B30*100),(IF(C30&lt;&gt;0,1,0)))</f>
        <v>56.294367123081344</v>
      </c>
      <c r="J30" s="112">
        <f t="shared" si="5"/>
        <v>38.107405789240893</v>
      </c>
      <c r="K30" s="112">
        <f t="shared" si="5"/>
        <v>5.5982270876777518</v>
      </c>
      <c r="L30" s="112">
        <f t="shared" si="5"/>
        <v>0</v>
      </c>
    </row>
    <row r="31" spans="1:12">
      <c r="A31" s="23" t="s">
        <v>19</v>
      </c>
      <c r="B31" s="72">
        <f t="shared" si="6"/>
        <v>225663094.19000003</v>
      </c>
      <c r="C31" s="109">
        <f>'table 2a'!C32+table4!C32+table5!C32</f>
        <v>94697279.659999996</v>
      </c>
      <c r="D31" s="30">
        <f>'table 2a'!D32+table4!D32+table5!D32+'table 6'!C33+'table 6'!D33+'table 6'!F33+'table 6'!E33</f>
        <v>4222999.1500000004</v>
      </c>
      <c r="E31" s="109">
        <f>'table 2a'!E32+table4!E32+table5!E32+'table 6'!G33</f>
        <v>110070815.11000001</v>
      </c>
      <c r="F31" s="30">
        <f>'table 2a'!F32+'table 6'!I33</f>
        <v>16419717.549999999</v>
      </c>
      <c r="G31" s="50">
        <f>table4!G32+table5!G32+'table 6'!K33</f>
        <v>252282.72</v>
      </c>
      <c r="H31" s="72"/>
      <c r="I31" s="112">
        <f>IF(B31&lt;&gt;0,((+C31+D31)/B31*100),(IF(C31&lt;&gt;0,1,0)))</f>
        <v>43.835381751307892</v>
      </c>
      <c r="J31" s="112">
        <f t="shared" si="5"/>
        <v>48.776613431226124</v>
      </c>
      <c r="K31" s="112">
        <f t="shared" si="5"/>
        <v>7.276208637011421</v>
      </c>
      <c r="L31" s="112">
        <f t="shared" si="5"/>
        <v>0.11179618045456172</v>
      </c>
    </row>
    <row r="32" spans="1:12">
      <c r="A32" s="23" t="s">
        <v>20</v>
      </c>
      <c r="B32" s="72">
        <f t="shared" si="6"/>
        <v>43146745.670000002</v>
      </c>
      <c r="C32" s="109">
        <f>'table 2a'!C33+table4!C33+table5!C33</f>
        <v>9296661.1199999992</v>
      </c>
      <c r="D32" s="30">
        <f>'table 2a'!D33+table4!D33+table5!D33+'table 6'!C34+'table 6'!D34+'table 6'!F34+'table 6'!E34</f>
        <v>474914.41000000003</v>
      </c>
      <c r="E32" s="109">
        <f>'table 2a'!E33+table4!E33+table5!E33+'table 6'!G34</f>
        <v>26593163.469999999</v>
      </c>
      <c r="F32" s="30">
        <f>'table 2a'!F33+'table 6'!I34</f>
        <v>5508396.6699999999</v>
      </c>
      <c r="G32" s="50">
        <f>table4!G33+table5!G33+'table 6'!K34</f>
        <v>1273610</v>
      </c>
      <c r="H32" s="72"/>
      <c r="I32" s="112">
        <f>IF(B32&lt;&gt;0,((+C32+D32)/B32*100),(IF(C32&lt;&gt;0,1,0)))</f>
        <v>22.647306021029046</v>
      </c>
      <c r="J32" s="112">
        <f t="shared" si="5"/>
        <v>61.634227696783782</v>
      </c>
      <c r="K32" s="112">
        <f t="shared" si="5"/>
        <v>12.766656174094718</v>
      </c>
      <c r="L32" s="112">
        <f t="shared" si="5"/>
        <v>2.9518101080924461</v>
      </c>
    </row>
    <row r="33" spans="1:13" ht="12.75" customHeight="1">
      <c r="A33" s="23"/>
      <c r="B33" s="72"/>
      <c r="C33" s="30"/>
      <c r="D33" s="30"/>
      <c r="E33" s="50"/>
      <c r="F33" s="30"/>
      <c r="G33" s="30"/>
      <c r="H33" s="72"/>
      <c r="I33" s="23"/>
      <c r="J33" s="23"/>
      <c r="K33" s="23"/>
      <c r="L33" s="23"/>
    </row>
    <row r="34" spans="1:13">
      <c r="A34" s="23" t="s">
        <v>21</v>
      </c>
      <c r="B34" s="72">
        <f t="shared" si="6"/>
        <v>60388172.93</v>
      </c>
      <c r="C34" s="109">
        <f>'table 2a'!C35+table4!C35+table5!C35</f>
        <v>39113823.600000001</v>
      </c>
      <c r="D34" s="30">
        <f>'table 2a'!D35+table4!D35+table5!D35+'table 6'!C36+'table 6'!D36+'table 6'!F36+'table 6'!E36</f>
        <v>1141295.72</v>
      </c>
      <c r="E34" s="109">
        <f>'table 2a'!E35+table4!E35+table5!E35+'table 6'!G36</f>
        <v>16152534.68</v>
      </c>
      <c r="F34" s="30">
        <f>'table 2a'!F35+'table 6'!I36</f>
        <v>3980518.9299999997</v>
      </c>
      <c r="G34" s="50">
        <f>table4!G35+table5!G35+'table 6'!K36</f>
        <v>0</v>
      </c>
      <c r="H34" s="72"/>
      <c r="I34" s="112">
        <f>IF(B34&lt;&gt;0,((+C34+D34)/B34*100),(IF(C34&lt;&gt;0,1,0)))</f>
        <v>66.660601516562551</v>
      </c>
      <c r="J34" s="112">
        <f t="shared" ref="J34:L37" si="7">IF($B34&lt;&gt;0,(E34/$B34*100),(IF(E34&lt;&gt;0,1,0)))</f>
        <v>26.747844646208275</v>
      </c>
      <c r="K34" s="112">
        <f t="shared" si="7"/>
        <v>6.5915538372291662</v>
      </c>
      <c r="L34" s="112">
        <f t="shared" si="7"/>
        <v>0</v>
      </c>
    </row>
    <row r="35" spans="1:13">
      <c r="A35" s="23" t="s">
        <v>22</v>
      </c>
      <c r="B35" s="72">
        <f t="shared" si="6"/>
        <v>314438493.54000002</v>
      </c>
      <c r="C35" s="109">
        <f>'table 2a'!C36+table4!C36+table5!C36</f>
        <v>98641671</v>
      </c>
      <c r="D35" s="30">
        <f>'table 2a'!D36+table4!D36+table5!D36+'table 6'!C37+'table 6'!D37+'table 6'!F37+'table 6'!E37</f>
        <v>4506947.91</v>
      </c>
      <c r="E35" s="109">
        <f>'table 2a'!E36+table4!E36+table5!E36+'table 6'!G37</f>
        <v>183605610.59</v>
      </c>
      <c r="F35" s="30">
        <f>'table 2a'!F36+'table 6'!I37</f>
        <v>21094460.969999999</v>
      </c>
      <c r="G35" s="50">
        <f>table4!G36+table5!G36+'table 6'!K37</f>
        <v>6589803.0700000003</v>
      </c>
      <c r="H35" s="72"/>
      <c r="I35" s="112">
        <f>IF(B35&lt;&gt;0,((+C35+D35)/B35*100),(IF(C35&lt;&gt;0,1,0)))</f>
        <v>32.804068531411652</v>
      </c>
      <c r="J35" s="112">
        <f t="shared" si="7"/>
        <v>58.391581934812756</v>
      </c>
      <c r="K35" s="112">
        <f t="shared" si="7"/>
        <v>6.7086127822694683</v>
      </c>
      <c r="L35" s="112">
        <f t="shared" si="7"/>
        <v>2.0957367515061271</v>
      </c>
    </row>
    <row r="36" spans="1:13">
      <c r="A36" s="23" t="s">
        <v>23</v>
      </c>
      <c r="B36" s="72">
        <f t="shared" si="6"/>
        <v>212408830.91</v>
      </c>
      <c r="C36" s="109">
        <f>'table 2a'!C37+table4!C37+table5!C37</f>
        <v>49395332</v>
      </c>
      <c r="D36" s="30">
        <f>'table 2a'!D37+table4!D37+table5!D37+'table 6'!C38+'table 6'!D38+'table 6'!F38+'table 6'!E38</f>
        <v>1999607.91</v>
      </c>
      <c r="E36" s="109">
        <f>'table 2a'!E37+table4!E37+table5!E37+'table 6'!G38</f>
        <v>137326093.09</v>
      </c>
      <c r="F36" s="30">
        <f>'table 2a'!F37+'table 6'!I38</f>
        <v>20542121.490000002</v>
      </c>
      <c r="G36" s="50">
        <f>table4!G37+table5!G37+'table 6'!K38</f>
        <v>3145676.42</v>
      </c>
      <c r="H36" s="72"/>
      <c r="I36" s="112">
        <f>IF(B36&lt;&gt;0,((+C36+D36)/B36*100),(IF(C36&lt;&gt;0,1,0)))</f>
        <v>24.196235010481558</v>
      </c>
      <c r="J36" s="112">
        <f t="shared" si="7"/>
        <v>64.651781426256534</v>
      </c>
      <c r="K36" s="112">
        <f t="shared" si="7"/>
        <v>9.6710298729076527</v>
      </c>
      <c r="L36" s="112">
        <f t="shared" si="7"/>
        <v>1.480953690354267</v>
      </c>
    </row>
    <row r="37" spans="1:13">
      <c r="A37" s="31" t="s">
        <v>24</v>
      </c>
      <c r="B37" s="113">
        <f t="shared" si="6"/>
        <v>109479551.11</v>
      </c>
      <c r="C37" s="114">
        <f>'table 2a'!C38+table4!C38+table5!C38</f>
        <v>74454423.159999996</v>
      </c>
      <c r="D37" s="28">
        <f>'table 2a'!D38+table4!D38+table5!D38+'table 6'!C39+'table 6'!D39+'table 6'!F39+'table 6'!E39</f>
        <v>978958.53999999992</v>
      </c>
      <c r="E37" s="114">
        <f>'table 2a'!E38+table4!E38+table5!E38+'table 6'!G39</f>
        <v>26552742.109999999</v>
      </c>
      <c r="F37" s="28">
        <f>'table 2a'!F38+'table 6'!I39</f>
        <v>7493427.2999999989</v>
      </c>
      <c r="G37" s="115">
        <f>table4!G38+table5!G38+'table 6'!K39</f>
        <v>0</v>
      </c>
      <c r="H37" s="113"/>
      <c r="I37" s="116">
        <f>IF(B37&lt;&gt;0,((+C37+D37)/B37*100),(IF(C37&lt;&gt;0,1,0)))</f>
        <v>68.901800322699557</v>
      </c>
      <c r="J37" s="116">
        <f t="shared" si="7"/>
        <v>24.253608861915254</v>
      </c>
      <c r="K37" s="116">
        <f t="shared" si="7"/>
        <v>6.8445908153851933</v>
      </c>
      <c r="L37" s="116">
        <f t="shared" si="7"/>
        <v>0</v>
      </c>
    </row>
    <row r="38" spans="1:13">
      <c r="B38" s="77"/>
      <c r="C38" s="135"/>
      <c r="D38" s="77"/>
      <c r="E38" s="77"/>
      <c r="F38" s="77"/>
      <c r="G38" s="77"/>
      <c r="H38" s="77"/>
      <c r="I38" s="136"/>
      <c r="J38" s="136"/>
      <c r="K38" s="136"/>
      <c r="L38" s="136"/>
      <c r="M38" s="77"/>
    </row>
    <row r="39" spans="1:13">
      <c r="A39" s="134" t="s">
        <v>197</v>
      </c>
      <c r="B39" s="77"/>
      <c r="C39" s="77"/>
      <c r="D39" s="77"/>
      <c r="E39" s="77"/>
      <c r="F39" s="77"/>
      <c r="G39" s="77"/>
      <c r="H39" s="77"/>
      <c r="I39" s="136"/>
      <c r="J39" s="136"/>
      <c r="K39" s="136"/>
      <c r="L39" s="136"/>
      <c r="M39" s="77"/>
    </row>
    <row r="40" spans="1:13">
      <c r="A40" s="137" t="s">
        <v>213</v>
      </c>
      <c r="B40" s="77"/>
      <c r="C40" s="77"/>
      <c r="D40" s="77"/>
      <c r="E40" s="77"/>
      <c r="F40" s="77"/>
      <c r="G40" s="77"/>
      <c r="H40" s="77"/>
      <c r="I40" s="136"/>
      <c r="J40" s="136"/>
      <c r="K40" s="136"/>
      <c r="L40" s="136"/>
      <c r="M40" s="77"/>
    </row>
    <row r="41" spans="1:13">
      <c r="A41" s="97"/>
      <c r="I41" s="117"/>
      <c r="J41" s="117"/>
      <c r="K41" s="117"/>
      <c r="L41" s="117"/>
    </row>
    <row r="42" spans="1:13">
      <c r="I42" s="84"/>
      <c r="J42" s="84"/>
      <c r="K42" s="84"/>
      <c r="L42" s="84"/>
    </row>
    <row r="43" spans="1:13">
      <c r="I43" s="84"/>
      <c r="J43" s="84"/>
      <c r="K43" s="84"/>
      <c r="L43" s="84"/>
    </row>
  </sheetData>
  <sheetProtection password="CAF5" sheet="1" objects="1" scenarios="1"/>
  <mergeCells count="6">
    <mergeCell ref="C6:D6"/>
    <mergeCell ref="C5:F5"/>
    <mergeCell ref="I5:L5"/>
    <mergeCell ref="A1:L1"/>
    <mergeCell ref="A2:L2"/>
    <mergeCell ref="A3:L3"/>
  </mergeCells>
  <phoneticPr fontId="0" type="noConversion"/>
  <printOptions horizontalCentered="1"/>
  <pageMargins left="0.59" right="0.56000000000000005" top="0.83" bottom="1" header="0.67" footer="0.5"/>
  <pageSetup scale="89" orientation="landscape" r:id="rId1"/>
  <headerFooter alignWithMargins="0">
    <oddFooter>&amp;L&amp;"Arial,Italic"&amp;9MSDE - LFRO  12 / 2013&amp;C- 1 -&amp;R&amp;"Arial,Italic"&amp;9Selected Financial Data-Part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Normal="100" workbookViewId="0">
      <selection sqref="A1:F1"/>
    </sheetView>
  </sheetViews>
  <sheetFormatPr defaultRowHeight="12.75"/>
  <cols>
    <col min="1" max="1" width="13.85546875" customWidth="1"/>
    <col min="2" max="2" width="14.42578125" style="229" customWidth="1"/>
    <col min="3" max="3" width="15" style="229" bestFit="1" customWidth="1"/>
    <col min="4" max="4" width="14.85546875" style="229" customWidth="1"/>
    <col min="5" max="5" width="15.5703125" style="229" customWidth="1"/>
    <col min="6" max="6" width="17.42578125" style="224" customWidth="1"/>
  </cols>
  <sheetData>
    <row r="1" spans="1:7">
      <c r="A1" s="449" t="s">
        <v>117</v>
      </c>
      <c r="B1" s="449"/>
      <c r="C1" s="449"/>
      <c r="D1" s="449"/>
      <c r="E1" s="449"/>
      <c r="F1" s="449"/>
    </row>
    <row r="3" spans="1:7">
      <c r="A3" s="441" t="s">
        <v>266</v>
      </c>
      <c r="B3" s="449"/>
      <c r="C3" s="449"/>
      <c r="D3" s="449"/>
      <c r="E3" s="449"/>
      <c r="F3" s="449"/>
    </row>
    <row r="4" spans="1:7" ht="13.5" thickBot="1">
      <c r="A4" s="77"/>
      <c r="B4" s="234"/>
      <c r="C4" s="234"/>
      <c r="D4" s="234"/>
      <c r="E4" s="234"/>
      <c r="F4" s="234"/>
    </row>
    <row r="5" spans="1:7" ht="15" customHeight="1" thickTop="1">
      <c r="A5" s="482" t="s">
        <v>47</v>
      </c>
      <c r="B5" s="482"/>
      <c r="C5" s="482"/>
      <c r="D5" s="482"/>
      <c r="E5" s="482"/>
      <c r="F5" s="495"/>
    </row>
    <row r="6" spans="1:7">
      <c r="A6" s="493"/>
      <c r="B6" s="493"/>
      <c r="C6" s="493"/>
      <c r="D6" s="493"/>
      <c r="E6" s="493"/>
      <c r="F6" s="493"/>
      <c r="G6" s="3"/>
    </row>
    <row r="7" spans="1:7" ht="12.75" customHeight="1">
      <c r="A7" s="484" t="s">
        <v>157</v>
      </c>
      <c r="C7" s="494" t="s">
        <v>158</v>
      </c>
      <c r="F7" s="494" t="s">
        <v>150</v>
      </c>
    </row>
    <row r="8" spans="1:7" ht="12.75" customHeight="1">
      <c r="A8" s="484"/>
      <c r="B8" s="476" t="s">
        <v>231</v>
      </c>
      <c r="C8" s="470"/>
      <c r="D8" s="282"/>
      <c r="E8" s="499" t="s">
        <v>160</v>
      </c>
      <c r="F8" s="470"/>
    </row>
    <row r="9" spans="1:7" ht="12.75" customHeight="1">
      <c r="A9" s="484"/>
      <c r="B9" s="496"/>
      <c r="C9" s="470"/>
      <c r="D9" s="497" t="s">
        <v>159</v>
      </c>
      <c r="E9" s="496"/>
      <c r="F9" s="470"/>
    </row>
    <row r="10" spans="1:7" ht="13.5" thickBot="1">
      <c r="A10" s="486"/>
      <c r="B10" s="472"/>
      <c r="C10" s="471"/>
      <c r="D10" s="498"/>
      <c r="E10" s="472"/>
      <c r="F10" s="471"/>
    </row>
    <row r="11" spans="1:7" s="305" customFormat="1">
      <c r="A11" s="289" t="s">
        <v>0</v>
      </c>
      <c r="B11" s="271">
        <f>SUM(B13:B40)</f>
        <v>177405509</v>
      </c>
      <c r="C11" s="271">
        <f>SUM(C13:C40)</f>
        <v>9627694.6799999997</v>
      </c>
      <c r="D11" s="271">
        <f>SUM(D13:D40)</f>
        <v>559793.3600000001</v>
      </c>
      <c r="E11" s="271">
        <f>SUM(E13:E40)</f>
        <v>7001754.04</v>
      </c>
      <c r="F11" s="271">
        <f>SUM(F13:F40)</f>
        <v>67553438.659999996</v>
      </c>
    </row>
    <row r="12" spans="1:7">
      <c r="A12" s="3"/>
      <c r="B12" s="211"/>
      <c r="C12" s="210"/>
      <c r="D12" s="210"/>
      <c r="E12" s="210"/>
      <c r="F12" s="229"/>
    </row>
    <row r="13" spans="1:7">
      <c r="A13" t="s">
        <v>1</v>
      </c>
      <c r="B13" s="358">
        <v>101128</v>
      </c>
      <c r="C13" s="50">
        <v>75500</v>
      </c>
      <c r="D13" s="50">
        <v>0</v>
      </c>
      <c r="E13" s="129">
        <v>0</v>
      </c>
      <c r="F13" s="372">
        <v>489054.54</v>
      </c>
    </row>
    <row r="14" spans="1:7">
      <c r="A14" t="s">
        <v>2</v>
      </c>
      <c r="B14" s="358">
        <v>8305336</v>
      </c>
      <c r="C14" s="50">
        <v>807000</v>
      </c>
      <c r="D14" s="50">
        <v>22158.980000000003</v>
      </c>
      <c r="E14" s="129">
        <v>301383.05</v>
      </c>
      <c r="F14" s="372">
        <v>783004.5</v>
      </c>
    </row>
    <row r="15" spans="1:7">
      <c r="A15" t="s">
        <v>3</v>
      </c>
      <c r="B15" s="358">
        <v>14492297</v>
      </c>
      <c r="C15" s="50">
        <v>1934000</v>
      </c>
      <c r="D15" s="130">
        <v>173764.72</v>
      </c>
      <c r="E15" s="129">
        <v>800827.57000000007</v>
      </c>
      <c r="F15" s="372">
        <v>11655345.35</v>
      </c>
    </row>
    <row r="16" spans="1:7">
      <c r="A16" t="s">
        <v>4</v>
      </c>
      <c r="B16" s="358">
        <v>12091512</v>
      </c>
      <c r="C16" s="372">
        <v>1028000</v>
      </c>
      <c r="D16" s="50">
        <v>0</v>
      </c>
      <c r="E16" s="129">
        <v>336501.42000000004</v>
      </c>
      <c r="F16" s="372">
        <v>12700864.75</v>
      </c>
    </row>
    <row r="17" spans="1:6">
      <c r="A17" t="s">
        <v>5</v>
      </c>
      <c r="B17" s="358">
        <v>495085</v>
      </c>
      <c r="C17" s="377">
        <v>0</v>
      </c>
      <c r="D17" s="50">
        <v>29430.41</v>
      </c>
      <c r="E17" s="129">
        <v>272937.14</v>
      </c>
      <c r="F17" s="372">
        <v>537851.43000000005</v>
      </c>
    </row>
    <row r="18" spans="1:6">
      <c r="B18" s="361"/>
      <c r="C18" s="340"/>
      <c r="D18" s="340"/>
      <c r="E18" s="338"/>
      <c r="F18" s="129"/>
    </row>
    <row r="19" spans="1:6">
      <c r="A19" t="s">
        <v>6</v>
      </c>
      <c r="B19" s="373">
        <v>1187907</v>
      </c>
      <c r="C19" s="372">
        <v>51500</v>
      </c>
      <c r="D19" s="50">
        <v>0</v>
      </c>
      <c r="E19" s="129">
        <v>333553.32</v>
      </c>
      <c r="F19" s="372">
        <v>979019</v>
      </c>
    </row>
    <row r="20" spans="1:6">
      <c r="A20" t="s">
        <v>7</v>
      </c>
      <c r="B20" s="358">
        <v>660005</v>
      </c>
      <c r="C20" s="50">
        <v>298000</v>
      </c>
      <c r="D20" s="50">
        <v>15837.150000000001</v>
      </c>
      <c r="E20" s="129">
        <v>0</v>
      </c>
      <c r="F20" s="372">
        <f>2000+1581083.02</f>
        <v>1583083.02</v>
      </c>
    </row>
    <row r="21" spans="1:6">
      <c r="A21" t="s">
        <v>8</v>
      </c>
      <c r="B21" s="358">
        <v>660175</v>
      </c>
      <c r="C21" s="50">
        <v>171500</v>
      </c>
      <c r="D21" s="50">
        <v>0</v>
      </c>
      <c r="E21" s="129">
        <v>468682.83999999997</v>
      </c>
      <c r="F21" s="372">
        <v>573685.88</v>
      </c>
    </row>
    <row r="22" spans="1:6">
      <c r="A22" t="s">
        <v>9</v>
      </c>
      <c r="B22" s="358">
        <v>827929</v>
      </c>
      <c r="C22" s="372">
        <v>154500</v>
      </c>
      <c r="D22" s="50">
        <v>16626.29</v>
      </c>
      <c r="E22" s="129">
        <v>555836.35</v>
      </c>
      <c r="F22" s="372">
        <v>21068</v>
      </c>
    </row>
    <row r="23" spans="1:6">
      <c r="A23" t="s">
        <v>10</v>
      </c>
      <c r="B23" s="358">
        <v>291147</v>
      </c>
      <c r="C23" s="130">
        <v>116000</v>
      </c>
      <c r="D23" s="50">
        <v>7403</v>
      </c>
      <c r="E23" s="129">
        <v>311734.34999999998</v>
      </c>
      <c r="F23" s="372">
        <v>1796798</v>
      </c>
    </row>
    <row r="24" spans="1:6">
      <c r="B24" s="361"/>
      <c r="C24" s="340"/>
      <c r="D24" s="340"/>
      <c r="E24" s="338"/>
      <c r="F24" s="129"/>
    </row>
    <row r="25" spans="1:6">
      <c r="A25" t="s">
        <v>11</v>
      </c>
      <c r="B25" s="358">
        <v>6460598</v>
      </c>
      <c r="C25" s="50">
        <v>131500</v>
      </c>
      <c r="D25" s="50">
        <v>15737.15</v>
      </c>
      <c r="E25" s="129">
        <v>326096.17000000004</v>
      </c>
      <c r="F25" s="372">
        <v>309198.71000000002</v>
      </c>
    </row>
    <row r="26" spans="1:6">
      <c r="A26" t="s">
        <v>12</v>
      </c>
      <c r="B26" s="373">
        <v>2712</v>
      </c>
      <c r="C26" s="377">
        <v>14194.68</v>
      </c>
      <c r="D26" s="50">
        <v>0</v>
      </c>
      <c r="E26" s="129">
        <v>334418.28000000003</v>
      </c>
      <c r="F26" s="372">
        <v>1246451.4099999999</v>
      </c>
    </row>
    <row r="27" spans="1:6">
      <c r="A27" t="s">
        <v>13</v>
      </c>
      <c r="B27" s="358">
        <v>1503546</v>
      </c>
      <c r="C27" s="130">
        <v>357000</v>
      </c>
      <c r="D27" s="130">
        <v>0</v>
      </c>
      <c r="E27" s="129">
        <v>40516.160000000003</v>
      </c>
      <c r="F27" s="372">
        <f>3175343.17+2000+885.36</f>
        <v>3178228.53</v>
      </c>
    </row>
    <row r="28" spans="1:6">
      <c r="A28" t="s">
        <v>14</v>
      </c>
      <c r="B28" s="358">
        <v>6917664</v>
      </c>
      <c r="C28" s="130">
        <v>221000</v>
      </c>
      <c r="D28" s="50">
        <v>0</v>
      </c>
      <c r="E28" s="129">
        <v>246243</v>
      </c>
      <c r="F28" s="372">
        <v>2292954.88</v>
      </c>
    </row>
    <row r="29" spans="1:6">
      <c r="A29" t="s">
        <v>15</v>
      </c>
      <c r="B29" s="358">
        <v>206175</v>
      </c>
      <c r="C29" s="50">
        <v>43500</v>
      </c>
      <c r="D29" s="50">
        <v>47131.59</v>
      </c>
      <c r="E29" s="129">
        <v>276973.89</v>
      </c>
      <c r="F29" s="372">
        <v>49518.58</v>
      </c>
    </row>
    <row r="30" spans="1:6">
      <c r="B30" s="361"/>
      <c r="C30" s="340"/>
      <c r="D30" s="340"/>
      <c r="E30" s="338"/>
      <c r="F30" s="129"/>
    </row>
    <row r="31" spans="1:6">
      <c r="A31" t="s">
        <v>16</v>
      </c>
      <c r="B31" s="358">
        <v>55107686</v>
      </c>
      <c r="C31" s="50">
        <v>0</v>
      </c>
      <c r="D31" s="50">
        <v>0</v>
      </c>
      <c r="E31" s="129">
        <v>611362.92000000004</v>
      </c>
      <c r="F31" s="372">
        <v>719774.08</v>
      </c>
    </row>
    <row r="32" spans="1:6">
      <c r="A32" t="s">
        <v>17</v>
      </c>
      <c r="B32" s="373">
        <v>61516886</v>
      </c>
      <c r="C32" s="372">
        <v>3664500</v>
      </c>
      <c r="D32" s="50">
        <v>0</v>
      </c>
      <c r="E32" s="129">
        <v>410011.07</v>
      </c>
      <c r="F32" s="372">
        <v>21583605.309999999</v>
      </c>
    </row>
    <row r="33" spans="1:6">
      <c r="A33" t="s">
        <v>18</v>
      </c>
      <c r="B33" s="358">
        <v>362481</v>
      </c>
      <c r="C33" s="130">
        <v>20000</v>
      </c>
      <c r="D33" s="50">
        <v>4383.6899999999996</v>
      </c>
      <c r="E33" s="129">
        <v>334249.01000000007</v>
      </c>
      <c r="F33" s="372">
        <v>359313.07</v>
      </c>
    </row>
    <row r="34" spans="1:6">
      <c r="A34" t="s">
        <v>19</v>
      </c>
      <c r="B34" s="358">
        <v>521895</v>
      </c>
      <c r="C34" s="130">
        <v>0</v>
      </c>
      <c r="D34" s="50">
        <v>0</v>
      </c>
      <c r="E34" s="129">
        <v>314501.93</v>
      </c>
      <c r="F34" s="372">
        <f>5000+3463327</f>
        <v>3468327</v>
      </c>
    </row>
    <row r="35" spans="1:6">
      <c r="A35" t="s">
        <v>20</v>
      </c>
      <c r="B35" s="358">
        <v>352227</v>
      </c>
      <c r="C35" s="130">
        <v>0</v>
      </c>
      <c r="D35" s="50">
        <v>0</v>
      </c>
      <c r="E35" s="129">
        <v>6808</v>
      </c>
      <c r="F35" s="372">
        <v>127173.47</v>
      </c>
    </row>
    <row r="36" spans="1:6">
      <c r="B36" s="361"/>
      <c r="C36" s="340"/>
      <c r="D36" s="340"/>
      <c r="E36" s="338"/>
      <c r="F36" s="129"/>
    </row>
    <row r="37" spans="1:6">
      <c r="A37" t="s">
        <v>21</v>
      </c>
      <c r="B37" s="358">
        <v>543553</v>
      </c>
      <c r="C37" s="372">
        <v>127500</v>
      </c>
      <c r="D37" s="50">
        <v>124687.90000000001</v>
      </c>
      <c r="E37" s="129">
        <v>220345.27000000002</v>
      </c>
      <c r="F37" s="372">
        <v>14026</v>
      </c>
    </row>
    <row r="38" spans="1:6">
      <c r="A38" t="s">
        <v>22</v>
      </c>
      <c r="B38" s="358">
        <v>1705670</v>
      </c>
      <c r="C38" s="50">
        <v>162500</v>
      </c>
      <c r="D38" s="50">
        <v>59691.42</v>
      </c>
      <c r="E38" s="129">
        <v>213319.99</v>
      </c>
      <c r="F38" s="372">
        <f>955.5+1905523.8</f>
        <v>1906479.3</v>
      </c>
    </row>
    <row r="39" spans="1:6">
      <c r="A39" t="s">
        <v>23</v>
      </c>
      <c r="B39" s="358">
        <v>2722386</v>
      </c>
      <c r="C39" s="50">
        <v>250000</v>
      </c>
      <c r="D39" s="50">
        <v>42941.06</v>
      </c>
      <c r="E39" s="129">
        <v>285452.31</v>
      </c>
      <c r="F39" s="372">
        <v>669230.62</v>
      </c>
    </row>
    <row r="40" spans="1:6">
      <c r="A40" s="12" t="s">
        <v>24</v>
      </c>
      <c r="B40" s="381">
        <v>369509</v>
      </c>
      <c r="C40" s="115">
        <v>0</v>
      </c>
      <c r="D40" s="115">
        <v>0</v>
      </c>
      <c r="E40" s="131">
        <v>0</v>
      </c>
      <c r="F40" s="115">
        <v>509383.23</v>
      </c>
    </row>
  </sheetData>
  <sheetProtection password="CAF5" sheet="1" objects="1" scenarios="1"/>
  <mergeCells count="10">
    <mergeCell ref="A1:F1"/>
    <mergeCell ref="A7:A10"/>
    <mergeCell ref="C7:C10"/>
    <mergeCell ref="F7:F10"/>
    <mergeCell ref="A5:F5"/>
    <mergeCell ref="A6:F6"/>
    <mergeCell ref="A3:F3"/>
    <mergeCell ref="B8:B10"/>
    <mergeCell ref="D9:D10"/>
    <mergeCell ref="E8:E10"/>
  </mergeCells>
  <phoneticPr fontId="0" type="noConversion"/>
  <printOptions horizontalCentered="1"/>
  <pageMargins left="0.27" right="0.25" top="0.83" bottom="1" header="0.67" footer="0.5"/>
  <pageSetup scale="96" orientation="landscape" r:id="rId1"/>
  <headerFooter alignWithMargins="0">
    <oddHeader xml:space="preserve">&amp;R&amp;18
&amp;"Arial,Bold"
</oddHeader>
    <oddFooter xml:space="preserve">&amp;L&amp;"Arial,Italic"&amp;9MSDE - LFRO  12 / 2013&amp;C- 10 -&amp;R&amp;"Arial,Italic"&amp;9Selected Financial Data-Part 1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Normal="100" workbookViewId="0">
      <selection sqref="A1:J1"/>
    </sheetView>
  </sheetViews>
  <sheetFormatPr defaultRowHeight="12.75"/>
  <cols>
    <col min="1" max="1" width="21.85546875" customWidth="1"/>
    <col min="2" max="2" width="14.85546875" customWidth="1"/>
    <col min="3" max="3" width="5.42578125" customWidth="1"/>
    <col min="4" max="4" width="18.28515625" customWidth="1"/>
    <col min="5" max="5" width="5.140625" customWidth="1"/>
    <col min="6" max="6" width="18" customWidth="1"/>
    <col min="7" max="7" width="8.42578125" customWidth="1"/>
    <col min="8" max="8" width="11.28515625" customWidth="1"/>
    <col min="9" max="9" width="8" customWidth="1"/>
    <col min="10" max="10" width="11.28515625" bestFit="1" customWidth="1"/>
  </cols>
  <sheetData>
    <row r="1" spans="1:15">
      <c r="A1" s="449" t="s">
        <v>117</v>
      </c>
      <c r="B1" s="449"/>
      <c r="C1" s="449"/>
      <c r="D1" s="449"/>
      <c r="E1" s="449"/>
      <c r="F1" s="449"/>
      <c r="G1" s="449"/>
      <c r="H1" s="449"/>
      <c r="I1" s="449"/>
      <c r="J1" s="449"/>
    </row>
    <row r="3" spans="1:15">
      <c r="A3" s="441" t="s">
        <v>266</v>
      </c>
      <c r="B3" s="480"/>
      <c r="C3" s="480"/>
      <c r="D3" s="480"/>
      <c r="E3" s="480"/>
      <c r="F3" s="480"/>
      <c r="G3" s="480"/>
      <c r="H3" s="480"/>
      <c r="I3" s="480"/>
      <c r="J3" s="480"/>
    </row>
    <row r="4" spans="1:15" ht="13.5" thickBo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5" ht="15" customHeight="1" thickTop="1">
      <c r="A5" s="3"/>
      <c r="B5" s="43" t="s">
        <v>110</v>
      </c>
      <c r="C5" s="43"/>
      <c r="D5" s="500"/>
      <c r="E5" s="500"/>
      <c r="F5" s="500"/>
      <c r="G5" s="500"/>
      <c r="H5" s="500"/>
      <c r="I5" s="4"/>
      <c r="K5" s="3"/>
      <c r="L5" s="3"/>
      <c r="M5" s="3"/>
      <c r="N5" s="3"/>
      <c r="O5" s="3"/>
    </row>
    <row r="6" spans="1:15">
      <c r="A6" s="3" t="s">
        <v>77</v>
      </c>
      <c r="B6" s="500" t="s">
        <v>37</v>
      </c>
      <c r="C6" s="500"/>
      <c r="D6" s="500"/>
      <c r="E6" s="500"/>
      <c r="F6" s="4" t="s">
        <v>34</v>
      </c>
      <c r="G6" s="4"/>
      <c r="H6" s="4"/>
      <c r="I6" s="4"/>
      <c r="J6" s="4" t="s">
        <v>41</v>
      </c>
      <c r="K6" s="3"/>
      <c r="L6" s="3"/>
      <c r="M6" s="3"/>
      <c r="N6" s="3"/>
      <c r="O6" s="3"/>
    </row>
    <row r="7" spans="1:15">
      <c r="A7" s="3" t="s">
        <v>33</v>
      </c>
      <c r="B7" s="500" t="s">
        <v>38</v>
      </c>
      <c r="C7" s="500"/>
      <c r="D7" s="500"/>
      <c r="E7" s="500"/>
      <c r="F7" s="4" t="s">
        <v>75</v>
      </c>
      <c r="G7" s="4"/>
      <c r="H7" s="4"/>
      <c r="I7" s="4"/>
      <c r="J7" s="4" t="s">
        <v>38</v>
      </c>
      <c r="K7" s="3"/>
      <c r="L7" s="3"/>
      <c r="M7" s="3"/>
      <c r="N7" s="3"/>
      <c r="O7" s="3"/>
    </row>
    <row r="8" spans="1:15" ht="13.5" thickBot="1">
      <c r="A8" s="7" t="s">
        <v>132</v>
      </c>
      <c r="B8" s="501" t="s">
        <v>48</v>
      </c>
      <c r="C8" s="501"/>
      <c r="D8" s="501"/>
      <c r="E8" s="501"/>
      <c r="F8" s="8" t="s">
        <v>48</v>
      </c>
      <c r="G8" s="8"/>
      <c r="H8" s="8"/>
      <c r="I8" s="8"/>
      <c r="J8" s="8" t="s">
        <v>48</v>
      </c>
    </row>
    <row r="9" spans="1:15">
      <c r="A9" s="3" t="s">
        <v>0</v>
      </c>
      <c r="B9" s="252">
        <f>SUM(B11:B38)</f>
        <v>7543783.3399999999</v>
      </c>
      <c r="C9" s="209"/>
      <c r="D9" s="212"/>
      <c r="E9" s="209"/>
      <c r="F9" s="252">
        <f>SUM(F11:F38)</f>
        <v>317021571.26000005</v>
      </c>
      <c r="G9" s="181"/>
      <c r="H9" s="181"/>
      <c r="I9" s="181"/>
      <c r="J9" s="181">
        <f>SUM(J11:J38)</f>
        <v>0</v>
      </c>
    </row>
    <row r="10" spans="1:15">
      <c r="A10" s="3"/>
      <c r="B10" s="208"/>
      <c r="C10" s="208"/>
      <c r="D10" s="208"/>
      <c r="E10" s="208"/>
      <c r="F10" s="208"/>
      <c r="G10" s="129"/>
      <c r="H10" s="129"/>
      <c r="I10" s="129"/>
      <c r="J10" s="129"/>
    </row>
    <row r="11" spans="1:15">
      <c r="A11" t="s">
        <v>1</v>
      </c>
      <c r="B11" s="129">
        <v>194898.18</v>
      </c>
      <c r="C11" s="348"/>
      <c r="D11" s="338"/>
      <c r="E11" s="338"/>
      <c r="F11" s="129">
        <v>876576</v>
      </c>
      <c r="G11" s="129"/>
      <c r="H11" s="129"/>
      <c r="I11" s="129"/>
      <c r="J11" s="129">
        <v>0</v>
      </c>
    </row>
    <row r="12" spans="1:15">
      <c r="A12" t="s">
        <v>2</v>
      </c>
      <c r="B12" s="129">
        <v>611328</v>
      </c>
      <c r="C12" s="338"/>
      <c r="D12" s="349"/>
      <c r="E12" s="338"/>
      <c r="F12" s="129">
        <v>21756730</v>
      </c>
      <c r="G12" s="129"/>
      <c r="H12" s="129"/>
      <c r="I12" s="129"/>
      <c r="J12" s="129">
        <v>0</v>
      </c>
    </row>
    <row r="13" spans="1:15">
      <c r="A13" t="s">
        <v>3</v>
      </c>
      <c r="B13" s="129">
        <v>760926.64</v>
      </c>
      <c r="C13" s="129"/>
      <c r="D13" s="382"/>
      <c r="E13" s="129"/>
      <c r="F13" s="129">
        <v>38052744.090000004</v>
      </c>
      <c r="G13" s="129"/>
      <c r="H13" s="129"/>
      <c r="I13" s="129"/>
      <c r="J13" s="129">
        <v>0</v>
      </c>
    </row>
    <row r="14" spans="1:15">
      <c r="A14" t="s">
        <v>4</v>
      </c>
      <c r="B14" s="129">
        <v>868566</v>
      </c>
      <c r="C14" s="129"/>
      <c r="D14" s="382"/>
      <c r="E14" s="129"/>
      <c r="F14" s="129">
        <v>44493485</v>
      </c>
      <c r="G14" s="129"/>
      <c r="H14" s="129"/>
      <c r="I14" s="129"/>
      <c r="J14" s="129">
        <v>0</v>
      </c>
    </row>
    <row r="15" spans="1:15">
      <c r="A15" t="s">
        <v>5</v>
      </c>
      <c r="B15" s="129">
        <v>38220</v>
      </c>
      <c r="C15" s="129"/>
      <c r="D15" s="382"/>
      <c r="E15" s="129"/>
      <c r="F15" s="129">
        <v>3580796</v>
      </c>
      <c r="G15" s="129"/>
      <c r="H15" s="129"/>
      <c r="I15" s="129"/>
      <c r="J15" s="129">
        <v>0</v>
      </c>
    </row>
    <row r="16" spans="1:15">
      <c r="B16" s="338"/>
      <c r="C16" s="338"/>
      <c r="D16" s="338"/>
      <c r="E16" s="338"/>
      <c r="F16" s="338"/>
      <c r="G16" s="129"/>
      <c r="H16" s="129"/>
      <c r="I16" s="129"/>
      <c r="J16" s="129"/>
    </row>
    <row r="17" spans="1:10">
      <c r="A17" t="s">
        <v>6</v>
      </c>
      <c r="B17" s="129">
        <v>111423.14</v>
      </c>
      <c r="C17" s="129"/>
      <c r="D17" s="382"/>
      <c r="E17" s="129"/>
      <c r="F17" s="129">
        <v>589097.5</v>
      </c>
      <c r="G17" s="129"/>
      <c r="H17" s="129"/>
      <c r="I17" s="129"/>
      <c r="J17" s="129">
        <v>0</v>
      </c>
    </row>
    <row r="18" spans="1:10">
      <c r="A18" t="s">
        <v>7</v>
      </c>
      <c r="B18" s="129">
        <v>96254.53</v>
      </c>
      <c r="C18" s="129"/>
      <c r="D18" s="382"/>
      <c r="E18" s="129"/>
      <c r="F18" s="129">
        <v>4485058</v>
      </c>
      <c r="G18" s="129"/>
      <c r="H18" s="129"/>
      <c r="I18" s="129"/>
      <c r="J18" s="129">
        <v>0</v>
      </c>
    </row>
    <row r="19" spans="1:10">
      <c r="A19" t="s">
        <v>8</v>
      </c>
      <c r="B19" s="129">
        <v>298946.36</v>
      </c>
      <c r="C19" s="129"/>
      <c r="D19" s="382"/>
      <c r="E19" s="129"/>
      <c r="F19" s="129">
        <v>1717961.5</v>
      </c>
      <c r="G19" s="129"/>
      <c r="H19" s="129"/>
      <c r="I19" s="129"/>
      <c r="J19" s="129">
        <v>0</v>
      </c>
    </row>
    <row r="20" spans="1:10">
      <c r="A20" t="s">
        <v>9</v>
      </c>
      <c r="B20" s="129">
        <v>271337.38</v>
      </c>
      <c r="C20" s="129"/>
      <c r="D20" s="382"/>
      <c r="E20" s="129"/>
      <c r="F20" s="129">
        <v>15963341</v>
      </c>
      <c r="G20" s="129"/>
      <c r="H20" s="129"/>
      <c r="I20" s="129"/>
      <c r="J20" s="129">
        <v>0</v>
      </c>
    </row>
    <row r="21" spans="1:10">
      <c r="A21" t="s">
        <v>10</v>
      </c>
      <c r="B21" s="129">
        <v>100933</v>
      </c>
      <c r="C21" s="129"/>
      <c r="D21" s="382"/>
      <c r="E21" s="129"/>
      <c r="F21" s="129">
        <v>935389</v>
      </c>
      <c r="G21" s="129"/>
      <c r="H21" s="129"/>
      <c r="I21" s="129"/>
      <c r="J21" s="129">
        <v>0</v>
      </c>
    </row>
    <row r="22" spans="1:10">
      <c r="B22" s="338"/>
      <c r="C22" s="338"/>
      <c r="D22" s="338"/>
      <c r="E22" s="338"/>
      <c r="F22" s="338"/>
      <c r="G22" s="129"/>
      <c r="H22" s="129"/>
      <c r="I22" s="129"/>
      <c r="J22" s="129"/>
    </row>
    <row r="23" spans="1:10">
      <c r="A23" t="s">
        <v>11</v>
      </c>
      <c r="B23" s="129">
        <v>217590</v>
      </c>
      <c r="C23" s="129"/>
      <c r="D23" s="382"/>
      <c r="E23" s="129"/>
      <c r="F23" s="129">
        <v>20411534</v>
      </c>
      <c r="G23" s="129"/>
      <c r="H23" s="129"/>
      <c r="I23" s="129"/>
      <c r="J23" s="129">
        <v>0</v>
      </c>
    </row>
    <row r="24" spans="1:10">
      <c r="A24" t="s">
        <v>12</v>
      </c>
      <c r="B24" s="129">
        <v>128871</v>
      </c>
      <c r="C24" s="129"/>
      <c r="D24" s="382"/>
      <c r="E24" s="129"/>
      <c r="F24" s="129">
        <v>0</v>
      </c>
      <c r="G24" s="129"/>
      <c r="H24" s="129"/>
      <c r="I24" s="129"/>
      <c r="J24" s="129">
        <v>0</v>
      </c>
    </row>
    <row r="25" spans="1:10">
      <c r="A25" t="s">
        <v>13</v>
      </c>
      <c r="B25" s="129">
        <v>343783</v>
      </c>
      <c r="C25" s="129"/>
      <c r="D25" s="382"/>
      <c r="E25" s="129"/>
      <c r="F25" s="129">
        <v>13892937</v>
      </c>
      <c r="G25" s="129"/>
      <c r="H25" s="129"/>
      <c r="I25" s="129"/>
      <c r="J25" s="129">
        <v>0</v>
      </c>
    </row>
    <row r="26" spans="1:10">
      <c r="A26" t="s">
        <v>14</v>
      </c>
      <c r="B26" s="129">
        <v>191850</v>
      </c>
      <c r="C26" s="129"/>
      <c r="D26" s="382"/>
      <c r="E26" s="129"/>
      <c r="F26" s="129">
        <v>31488230</v>
      </c>
      <c r="G26" s="129"/>
      <c r="H26" s="129"/>
      <c r="I26" s="129"/>
      <c r="J26" s="129">
        <v>0</v>
      </c>
    </row>
    <row r="27" spans="1:10">
      <c r="A27" t="s">
        <v>15</v>
      </c>
      <c r="B27" s="129">
        <v>84725</v>
      </c>
      <c r="C27" s="129"/>
      <c r="D27" s="382"/>
      <c r="E27" s="129"/>
      <c r="F27" s="129">
        <v>104177</v>
      </c>
      <c r="G27" s="129"/>
      <c r="H27" s="129"/>
      <c r="I27" s="129"/>
      <c r="J27" s="129">
        <v>0</v>
      </c>
    </row>
    <row r="28" spans="1:10">
      <c r="B28" s="338"/>
      <c r="C28" s="338"/>
      <c r="D28" s="338"/>
      <c r="E28" s="338"/>
      <c r="F28" s="338"/>
      <c r="G28" s="129"/>
      <c r="H28" s="129"/>
      <c r="I28" s="129"/>
      <c r="J28" s="129"/>
    </row>
    <row r="29" spans="1:10">
      <c r="A29" t="s">
        <v>16</v>
      </c>
      <c r="B29" s="129">
        <v>1097324</v>
      </c>
      <c r="C29" s="129"/>
      <c r="D29" s="382"/>
      <c r="E29" s="129"/>
      <c r="F29" s="129">
        <v>54921235</v>
      </c>
      <c r="G29" s="129"/>
      <c r="H29" s="129"/>
      <c r="I29" s="129"/>
      <c r="J29" s="129">
        <v>0</v>
      </c>
    </row>
    <row r="30" spans="1:10">
      <c r="A30" t="s">
        <v>17</v>
      </c>
      <c r="B30" s="129">
        <v>1049917</v>
      </c>
      <c r="C30" s="129"/>
      <c r="D30" s="382"/>
      <c r="E30" s="129"/>
      <c r="F30" s="129">
        <v>49233028</v>
      </c>
      <c r="G30" s="129"/>
      <c r="H30" s="129"/>
      <c r="I30" s="129"/>
      <c r="J30" s="129">
        <v>0</v>
      </c>
    </row>
    <row r="31" spans="1:10">
      <c r="A31" t="s">
        <v>18</v>
      </c>
      <c r="B31" s="129">
        <v>63171</v>
      </c>
      <c r="C31" s="129"/>
      <c r="D31" s="382"/>
      <c r="E31" s="129"/>
      <c r="F31" s="129">
        <v>410825.93</v>
      </c>
      <c r="G31" s="286"/>
      <c r="H31" s="129"/>
      <c r="I31" s="129"/>
      <c r="J31" s="129">
        <v>0</v>
      </c>
    </row>
    <row r="32" spans="1:10">
      <c r="A32" t="s">
        <v>19</v>
      </c>
      <c r="B32" s="129">
        <v>208450.09</v>
      </c>
      <c r="C32" s="129"/>
      <c r="D32" s="382"/>
      <c r="E32" s="129"/>
      <c r="F32" s="129">
        <v>1040570.06</v>
      </c>
      <c r="G32" s="129"/>
      <c r="H32" s="129"/>
      <c r="I32" s="129"/>
      <c r="J32" s="129">
        <v>0</v>
      </c>
    </row>
    <row r="33" spans="1:10">
      <c r="A33" t="s">
        <v>20</v>
      </c>
      <c r="B33" s="129">
        <v>72367</v>
      </c>
      <c r="C33" s="129"/>
      <c r="D33" s="382"/>
      <c r="E33" s="129"/>
      <c r="F33" s="129">
        <v>113027</v>
      </c>
      <c r="G33" s="129"/>
      <c r="H33" s="129"/>
      <c r="I33" s="129"/>
      <c r="J33" s="129">
        <v>0</v>
      </c>
    </row>
    <row r="34" spans="1:10">
      <c r="B34" s="338"/>
      <c r="C34" s="338"/>
      <c r="D34" s="338"/>
      <c r="E34" s="338"/>
      <c r="F34" s="338"/>
      <c r="G34" s="129"/>
      <c r="H34" s="129"/>
      <c r="I34" s="129"/>
      <c r="J34" s="129"/>
    </row>
    <row r="35" spans="1:10">
      <c r="A35" t="s">
        <v>21</v>
      </c>
      <c r="B35" s="129">
        <v>85017.61</v>
      </c>
      <c r="C35" s="129"/>
      <c r="D35" s="382"/>
      <c r="E35" s="129"/>
      <c r="F35" s="129">
        <v>417431.13</v>
      </c>
      <c r="G35" s="129"/>
      <c r="H35" s="129"/>
      <c r="I35" s="129"/>
      <c r="J35" s="129">
        <v>0</v>
      </c>
    </row>
    <row r="36" spans="1:10">
      <c r="A36" t="s">
        <v>22</v>
      </c>
      <c r="B36" s="129">
        <v>373109.65</v>
      </c>
      <c r="C36" s="129"/>
      <c r="D36" s="382"/>
      <c r="E36" s="129"/>
      <c r="F36" s="129">
        <v>7888132.7000000002</v>
      </c>
      <c r="G36" s="129"/>
      <c r="H36" s="129"/>
      <c r="I36" s="129"/>
      <c r="J36" s="129">
        <v>0</v>
      </c>
    </row>
    <row r="37" spans="1:10">
      <c r="A37" t="s">
        <v>23</v>
      </c>
      <c r="B37" s="129">
        <v>153846.59999999998</v>
      </c>
      <c r="C37" s="23"/>
      <c r="D37" s="383"/>
      <c r="E37" s="129"/>
      <c r="F37" s="129">
        <v>4340212.3499999996</v>
      </c>
      <c r="G37" s="129"/>
      <c r="H37" s="129"/>
      <c r="I37" s="129"/>
      <c r="J37" s="129">
        <v>0</v>
      </c>
    </row>
    <row r="38" spans="1:10">
      <c r="A38" s="12" t="s">
        <v>24</v>
      </c>
      <c r="B38" s="131">
        <v>120928.16</v>
      </c>
      <c r="C38" s="324"/>
      <c r="D38" s="324"/>
      <c r="E38" s="131"/>
      <c r="F38" s="131">
        <v>309053</v>
      </c>
      <c r="G38" s="131"/>
      <c r="H38" s="131"/>
      <c r="I38" s="131"/>
      <c r="J38" s="129">
        <v>0</v>
      </c>
    </row>
    <row r="39" spans="1:10">
      <c r="F39" s="5"/>
      <c r="G39" s="5"/>
    </row>
    <row r="40" spans="1:10">
      <c r="F40" s="5"/>
      <c r="G40" s="5"/>
    </row>
    <row r="41" spans="1:10">
      <c r="F41" s="5"/>
      <c r="G41" s="5"/>
    </row>
  </sheetData>
  <sheetProtection password="CAF5" sheet="1" objects="1" scenarios="1"/>
  <mergeCells count="9">
    <mergeCell ref="A1:J1"/>
    <mergeCell ref="A3:J3"/>
    <mergeCell ref="D5:H5"/>
    <mergeCell ref="B8:C8"/>
    <mergeCell ref="B7:C7"/>
    <mergeCell ref="B6:C6"/>
    <mergeCell ref="D8:E8"/>
    <mergeCell ref="D7:E7"/>
    <mergeCell ref="D6:E6"/>
  </mergeCells>
  <phoneticPr fontId="0" type="noConversion"/>
  <printOptions horizontalCentered="1"/>
  <pageMargins left="0.56000000000000005" right="0.55000000000000004" top="0.83" bottom="1" header="0.67" footer="0.5"/>
  <pageSetup orientation="landscape" r:id="rId1"/>
  <headerFooter alignWithMargins="0">
    <oddFooter>&amp;L&amp;"Arial,Italic"&amp;9MSDE - LFRO  12 / 2013&amp;C- 11 -&amp;R&amp;"Arial,Italic"&amp;9Selected Financial Data-Part 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6"/>
  <sheetViews>
    <sheetView zoomScaleNormal="100" workbookViewId="0">
      <selection sqref="A1:K1"/>
    </sheetView>
  </sheetViews>
  <sheetFormatPr defaultRowHeight="12.75"/>
  <cols>
    <col min="1" max="1" width="17" style="3" customWidth="1"/>
    <col min="2" max="2" width="16" style="199" bestFit="1" customWidth="1"/>
    <col min="3" max="3" width="14.7109375" style="199" customWidth="1"/>
    <col min="4" max="4" width="13.85546875" style="199" bestFit="1" customWidth="1"/>
    <col min="5" max="6" width="14.7109375" style="202" customWidth="1"/>
    <col min="7" max="7" width="12.85546875" style="199" bestFit="1" customWidth="1"/>
    <col min="8" max="10" width="12.85546875" style="199" customWidth="1"/>
    <col min="11" max="11" width="11.28515625" style="199" bestFit="1" customWidth="1"/>
    <col min="12" max="12" width="14.7109375" style="3" customWidth="1"/>
    <col min="13" max="13" width="12.42578125" style="3" customWidth="1"/>
    <col min="14" max="14" width="14" style="3" customWidth="1"/>
    <col min="15" max="16384" width="9.140625" style="3"/>
  </cols>
  <sheetData>
    <row r="1" spans="1:37">
      <c r="A1" s="500" t="s">
        <v>118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</row>
    <row r="2" spans="1:37">
      <c r="A2" s="500"/>
      <c r="B2" s="500"/>
      <c r="C2" s="500"/>
      <c r="D2" s="500"/>
      <c r="E2" s="500"/>
      <c r="F2" s="500"/>
      <c r="G2" s="500"/>
      <c r="H2" s="500"/>
      <c r="I2" s="500"/>
      <c r="J2" s="500"/>
      <c r="K2" s="500"/>
    </row>
    <row r="3" spans="1:37">
      <c r="A3" s="506" t="s">
        <v>287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</row>
    <row r="4" spans="1:37" ht="13.5" thickBot="1">
      <c r="F4" s="291"/>
    </row>
    <row r="5" spans="1:37" ht="15" customHeight="1" thickTop="1">
      <c r="A5" s="6"/>
      <c r="B5" s="200"/>
      <c r="C5" s="200"/>
      <c r="D5" s="220"/>
      <c r="E5" s="221"/>
      <c r="F5" s="511" t="s">
        <v>234</v>
      </c>
      <c r="G5" s="505"/>
      <c r="H5" s="505"/>
      <c r="I5" s="505"/>
      <c r="J5" s="505"/>
      <c r="K5" s="505"/>
    </row>
    <row r="6" spans="1:37">
      <c r="D6" s="216"/>
      <c r="E6" s="217" t="s">
        <v>136</v>
      </c>
      <c r="F6" s="512"/>
      <c r="G6" s="502" t="s">
        <v>235</v>
      </c>
      <c r="H6" s="502"/>
      <c r="I6" s="502"/>
      <c r="J6" s="502"/>
      <c r="K6" s="502"/>
    </row>
    <row r="7" spans="1:37" ht="12.75" customHeight="1">
      <c r="A7" s="3" t="s">
        <v>77</v>
      </c>
      <c r="B7" s="216" t="s">
        <v>43</v>
      </c>
      <c r="C7" s="508" t="s">
        <v>221</v>
      </c>
      <c r="D7" s="216" t="s">
        <v>134</v>
      </c>
      <c r="E7" s="503" t="s">
        <v>175</v>
      </c>
      <c r="F7" s="512"/>
      <c r="G7" s="216"/>
      <c r="H7" s="216"/>
      <c r="I7" s="216"/>
      <c r="J7" s="216"/>
      <c r="K7" s="216" t="s">
        <v>68</v>
      </c>
    </row>
    <row r="8" spans="1:37" ht="12.75" customHeight="1">
      <c r="A8" s="3" t="s">
        <v>33</v>
      </c>
      <c r="B8" s="216" t="s">
        <v>51</v>
      </c>
      <c r="C8" s="508"/>
      <c r="D8" s="216" t="s">
        <v>33</v>
      </c>
      <c r="E8" s="503"/>
      <c r="F8" s="512"/>
      <c r="G8" s="216" t="s">
        <v>67</v>
      </c>
      <c r="H8" s="216" t="s">
        <v>44</v>
      </c>
      <c r="I8" s="216" t="s">
        <v>237</v>
      </c>
      <c r="J8" s="510" t="s">
        <v>236</v>
      </c>
      <c r="K8" s="216" t="s">
        <v>69</v>
      </c>
    </row>
    <row r="9" spans="1:37" ht="13.5" thickBot="1">
      <c r="A9" s="7" t="s">
        <v>132</v>
      </c>
      <c r="B9" s="218" t="s">
        <v>45</v>
      </c>
      <c r="C9" s="509"/>
      <c r="D9" s="218" t="s">
        <v>55</v>
      </c>
      <c r="E9" s="504"/>
      <c r="F9" s="513"/>
      <c r="G9" s="218" t="s">
        <v>63</v>
      </c>
      <c r="H9" s="218" t="s">
        <v>61</v>
      </c>
      <c r="I9" s="218" t="s">
        <v>238</v>
      </c>
      <c r="J9" s="471"/>
      <c r="K9" s="218" t="s">
        <v>33</v>
      </c>
    </row>
    <row r="10" spans="1:37" s="290" customFormat="1">
      <c r="A10" s="289" t="s">
        <v>0</v>
      </c>
      <c r="B10" s="227">
        <f t="shared" ref="B10:K10" si="0">SUM(B12:B39)</f>
        <v>824566948.33999991</v>
      </c>
      <c r="C10" s="227">
        <f t="shared" si="0"/>
        <v>2902</v>
      </c>
      <c r="D10" s="227">
        <f t="shared" si="0"/>
        <v>193134.7</v>
      </c>
      <c r="E10" s="227">
        <f t="shared" si="0"/>
        <v>8560054</v>
      </c>
      <c r="F10" s="227">
        <f t="shared" si="0"/>
        <v>187752.27999999997</v>
      </c>
      <c r="G10" s="227">
        <f t="shared" si="0"/>
        <v>8195273.7100000018</v>
      </c>
      <c r="H10" s="227">
        <f t="shared" si="0"/>
        <v>46732.24</v>
      </c>
      <c r="I10" s="227">
        <f t="shared" si="0"/>
        <v>9379.89</v>
      </c>
      <c r="J10" s="227">
        <f t="shared" si="0"/>
        <v>511449.06999999995</v>
      </c>
      <c r="K10" s="227">
        <f t="shared" si="0"/>
        <v>0</v>
      </c>
    </row>
    <row r="11" spans="1:37">
      <c r="B11" s="307"/>
      <c r="C11" s="307"/>
      <c r="D11" s="228"/>
      <c r="E11" s="308"/>
      <c r="F11" s="308"/>
      <c r="G11" s="228"/>
      <c r="H11" s="228"/>
      <c r="I11" s="228"/>
      <c r="J11" s="228"/>
      <c r="K11" s="228"/>
    </row>
    <row r="12" spans="1:37">
      <c r="A12" s="3" t="s">
        <v>1</v>
      </c>
      <c r="B12" s="256">
        <f>SUM(C12:K12)+SUM('fed2'!B12:K12)+SUM('fed3'!B12:J12)+SUM('fed4'!B12:L12)+SUM('fed5'!B12:M12)</f>
        <v>12622638.239999998</v>
      </c>
      <c r="C12" s="123">
        <v>0</v>
      </c>
      <c r="D12" s="130">
        <v>0</v>
      </c>
      <c r="E12" s="130">
        <v>0</v>
      </c>
      <c r="F12" s="130">
        <v>0</v>
      </c>
      <c r="G12" s="130">
        <v>126589</v>
      </c>
      <c r="H12" s="130">
        <v>0</v>
      </c>
      <c r="I12" s="130">
        <v>0</v>
      </c>
      <c r="J12" s="130">
        <v>1705.78</v>
      </c>
      <c r="K12" s="130">
        <v>0</v>
      </c>
      <c r="L12" s="20"/>
      <c r="N12" s="130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>
      <c r="A13" s="3" t="s">
        <v>2</v>
      </c>
      <c r="B13" s="256">
        <f>SUM(C13:K13)+SUM('fed2'!B13:K13)+SUM('fed3'!B13:J13)+SUM('fed4'!B13:L13)+SUM('fed5'!B13:M13)</f>
        <v>57978186.109999999</v>
      </c>
      <c r="C13" s="123">
        <v>0</v>
      </c>
      <c r="D13" s="130">
        <v>0</v>
      </c>
      <c r="E13" s="429">
        <v>526687.86</v>
      </c>
      <c r="F13" s="429">
        <v>53340.27</v>
      </c>
      <c r="G13" s="322">
        <v>540371.4</v>
      </c>
      <c r="H13" s="130">
        <v>0</v>
      </c>
      <c r="I13" s="130">
        <v>0</v>
      </c>
      <c r="J13" s="322">
        <v>39803.839999999997</v>
      </c>
      <c r="K13" s="322">
        <v>0</v>
      </c>
      <c r="L13" s="20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>
      <c r="A14" s="3" t="s">
        <v>3</v>
      </c>
      <c r="B14" s="256">
        <f>SUM(C14:K14)+SUM('fed2'!B14:K14)+SUM('fed3'!B14:J14)+SUM('fed4'!B14:L14)+SUM('fed5'!B14:M14)</f>
        <v>178832832.12</v>
      </c>
      <c r="C14" s="123">
        <v>0</v>
      </c>
      <c r="D14" s="130">
        <v>0</v>
      </c>
      <c r="E14" s="429">
        <v>255623.6</v>
      </c>
      <c r="F14" s="429">
        <v>15147.78</v>
      </c>
      <c r="G14" s="130">
        <v>1635925.59</v>
      </c>
      <c r="H14" s="130">
        <v>0</v>
      </c>
      <c r="I14" s="130">
        <v>0</v>
      </c>
      <c r="J14" s="130">
        <v>55974.27</v>
      </c>
      <c r="K14" s="130">
        <v>0</v>
      </c>
      <c r="L14" s="20"/>
      <c r="M14" s="130"/>
      <c r="N14" s="130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>
      <c r="A15" s="3" t="s">
        <v>4</v>
      </c>
      <c r="B15" s="256">
        <f>SUM(C15:K15)+SUM('fed2'!B15:K15)+SUM('fed3'!B15:J15)+SUM('fed4'!B15:L15)+SUM('fed5'!B15:M15)</f>
        <v>96276767.049999997</v>
      </c>
      <c r="C15" s="123">
        <v>0</v>
      </c>
      <c r="D15" s="130">
        <v>0</v>
      </c>
      <c r="E15" s="429">
        <v>627742.21</v>
      </c>
      <c r="F15" s="429">
        <v>8005.45</v>
      </c>
      <c r="G15" s="130">
        <v>929923.06</v>
      </c>
      <c r="H15" s="130">
        <v>5933.34</v>
      </c>
      <c r="I15" s="130">
        <v>0</v>
      </c>
      <c r="J15" s="130">
        <v>29813</v>
      </c>
      <c r="K15" s="130">
        <v>0</v>
      </c>
      <c r="L15" s="20"/>
      <c r="M15" s="130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3.5" customHeight="1">
      <c r="A16" s="3" t="s">
        <v>5</v>
      </c>
      <c r="B16" s="256">
        <f>SUM(C16:K16)+SUM('fed2'!B16:K16)+SUM('fed3'!B16:J16)+SUM('fed4'!B16:L16)+SUM('fed5'!B16:M16)</f>
        <v>9317355.5299999993</v>
      </c>
      <c r="C16" s="123">
        <v>0</v>
      </c>
      <c r="D16" s="130">
        <v>95043</v>
      </c>
      <c r="E16" s="429">
        <v>39658.61</v>
      </c>
      <c r="F16" s="130">
        <v>0</v>
      </c>
      <c r="G16" s="130">
        <v>112650.95</v>
      </c>
      <c r="H16" s="130">
        <v>0</v>
      </c>
      <c r="I16" s="130">
        <v>0</v>
      </c>
      <c r="J16" s="130">
        <v>2980</v>
      </c>
      <c r="K16" s="130">
        <v>0</v>
      </c>
      <c r="L16" s="20"/>
      <c r="M16" s="13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3.5" customHeight="1">
      <c r="B17" s="256"/>
      <c r="C17" s="350"/>
      <c r="D17" s="340"/>
      <c r="E17" s="430"/>
      <c r="F17" s="430"/>
      <c r="G17" s="340"/>
      <c r="H17" s="340"/>
      <c r="I17" s="340"/>
      <c r="J17" s="340"/>
      <c r="K17" s="340"/>
      <c r="L17" s="20"/>
      <c r="M17" s="2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>
      <c r="A18" s="3" t="s">
        <v>6</v>
      </c>
      <c r="B18" s="256">
        <f>SUM(C18:K18)+SUM('fed2'!B18:K18)+SUM('fed3'!B18:J18)+SUM('fed4'!B18:L18)+SUM('fed5'!B18:M18)</f>
        <v>6315264.9299999997</v>
      </c>
      <c r="C18" s="123">
        <v>0</v>
      </c>
      <c r="D18" s="130">
        <v>0</v>
      </c>
      <c r="E18" s="429">
        <v>37743.620000000003</v>
      </c>
      <c r="F18" s="130">
        <v>0</v>
      </c>
      <c r="G18" s="130">
        <v>68149.679999999993</v>
      </c>
      <c r="H18" s="130">
        <v>0</v>
      </c>
      <c r="I18" s="130">
        <v>0</v>
      </c>
      <c r="J18" s="130">
        <v>31838.15</v>
      </c>
      <c r="K18" s="130">
        <v>0</v>
      </c>
      <c r="L18" s="20"/>
      <c r="M18" s="400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>
      <c r="A19" s="3" t="s">
        <v>7</v>
      </c>
      <c r="B19" s="256">
        <f>SUM(C19:K19)+SUM('fed2'!B19:K19)+SUM('fed3'!B19:J19)+SUM('fed4'!B19:L19)+SUM('fed5'!B19:M19)</f>
        <v>14908061.77</v>
      </c>
      <c r="C19" s="123">
        <v>0</v>
      </c>
      <c r="D19" s="130">
        <v>0</v>
      </c>
      <c r="E19" s="429">
        <v>46544.959999999999</v>
      </c>
      <c r="F19" s="130">
        <v>0</v>
      </c>
      <c r="G19" s="130">
        <v>172066</v>
      </c>
      <c r="H19" s="130">
        <v>25000</v>
      </c>
      <c r="I19" s="130">
        <v>0</v>
      </c>
      <c r="J19" s="130">
        <v>37612.18</v>
      </c>
      <c r="K19" s="130">
        <v>0</v>
      </c>
      <c r="L19" s="20"/>
      <c r="M19" s="400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>
      <c r="A20" s="3" t="s">
        <v>8</v>
      </c>
      <c r="B20" s="256">
        <f>SUM(C20:K20)+SUM('fed2'!B20:K20)+SUM('fed3'!B20:J20)+SUM('fed4'!B20:L20)+SUM('fed5'!B20:M20)</f>
        <v>13732518.91</v>
      </c>
      <c r="C20" s="123">
        <v>0</v>
      </c>
      <c r="D20" s="130">
        <v>0</v>
      </c>
      <c r="E20" s="431">
        <v>21979.96</v>
      </c>
      <c r="F20" s="431">
        <v>7664.35</v>
      </c>
      <c r="G20" s="322">
        <v>161251</v>
      </c>
      <c r="H20" s="322">
        <v>0</v>
      </c>
      <c r="I20" s="130">
        <v>0</v>
      </c>
      <c r="J20" s="322">
        <v>6531</v>
      </c>
      <c r="K20" s="322">
        <v>0</v>
      </c>
      <c r="L20" s="20"/>
      <c r="M20" s="400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>
      <c r="A21" s="3" t="s">
        <v>9</v>
      </c>
      <c r="B21" s="256">
        <f>SUM(C21:K21)+SUM('fed2'!B21:K21)+SUM('fed3'!B21:J21)+SUM('fed4'!B21:L21)+SUM('fed5'!B21:M21)</f>
        <v>19057435.719999999</v>
      </c>
      <c r="C21" s="123">
        <v>0</v>
      </c>
      <c r="D21" s="130">
        <v>0</v>
      </c>
      <c r="E21" s="431">
        <v>43792.6</v>
      </c>
      <c r="F21" s="431">
        <v>11311.05</v>
      </c>
      <c r="G21" s="130">
        <v>210822.66</v>
      </c>
      <c r="H21" s="130">
        <v>0</v>
      </c>
      <c r="I21" s="130">
        <v>0</v>
      </c>
      <c r="J21" s="130">
        <v>4063.01</v>
      </c>
      <c r="K21" s="130">
        <v>0</v>
      </c>
      <c r="L21" s="20"/>
      <c r="M21" s="400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>
      <c r="A22" s="3" t="s">
        <v>10</v>
      </c>
      <c r="B22" s="256">
        <f>SUM(C22:K22)+SUM('fed2'!B22:K22)+SUM('fed3'!B22:J22)+SUM('fed4'!B22:L22)+SUM('fed5'!B22:M22)</f>
        <v>6809413.4699999988</v>
      </c>
      <c r="C22" s="123">
        <v>0</v>
      </c>
      <c r="D22" s="130">
        <v>0</v>
      </c>
      <c r="E22" s="431">
        <v>16842.39</v>
      </c>
      <c r="F22" s="130">
        <v>0</v>
      </c>
      <c r="G22" s="130">
        <v>74415</v>
      </c>
      <c r="H22" s="130">
        <v>13000</v>
      </c>
      <c r="I22" s="130">
        <v>7280</v>
      </c>
      <c r="J22" s="130">
        <v>0</v>
      </c>
      <c r="K22" s="130">
        <v>0</v>
      </c>
      <c r="L22" s="20"/>
      <c r="M22" s="2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>
      <c r="B23" s="256"/>
      <c r="C23" s="351"/>
      <c r="D23" s="340"/>
      <c r="E23" s="430"/>
      <c r="F23" s="430"/>
      <c r="G23" s="340"/>
      <c r="H23" s="340"/>
      <c r="I23" s="340"/>
      <c r="J23" s="340"/>
      <c r="K23" s="340"/>
      <c r="L23" s="20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>
      <c r="A24" s="3" t="s">
        <v>11</v>
      </c>
      <c r="B24" s="205">
        <f>SUM(C24:K24)+SUM('fed2'!B24:K24)+SUM('fed3'!B24:J24)+SUM('fed4'!B24:L24)+SUM('fed5'!B24:M24)</f>
        <v>21893363.75</v>
      </c>
      <c r="C24" s="123">
        <v>0</v>
      </c>
      <c r="D24" s="130">
        <v>0</v>
      </c>
      <c r="E24" s="431">
        <v>261964</v>
      </c>
      <c r="F24" s="431">
        <v>35566.47</v>
      </c>
      <c r="G24" s="130">
        <v>255677.66</v>
      </c>
      <c r="H24" s="130">
        <v>0</v>
      </c>
      <c r="I24" s="130">
        <v>0</v>
      </c>
      <c r="J24" s="130">
        <v>0</v>
      </c>
      <c r="K24" s="130">
        <v>0</v>
      </c>
      <c r="L24" s="20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>
      <c r="A25" s="3" t="s">
        <v>12</v>
      </c>
      <c r="B25" s="256">
        <f>SUM(C25:K25)+SUM('fed2'!B25:K25)+SUM('fed3'!B25:J25)+SUM('fed4'!B25:L25)+SUM('fed5'!B25:M25)</f>
        <v>5511765.3700000001</v>
      </c>
      <c r="C25" s="123">
        <v>0</v>
      </c>
      <c r="D25" s="130">
        <v>0</v>
      </c>
      <c r="E25" s="130">
        <v>0</v>
      </c>
      <c r="F25" s="130">
        <v>0</v>
      </c>
      <c r="G25" s="130">
        <v>65672</v>
      </c>
      <c r="H25" s="130">
        <v>0</v>
      </c>
      <c r="I25" s="130">
        <v>0</v>
      </c>
      <c r="J25" s="130">
        <v>49935.08</v>
      </c>
      <c r="K25" s="130">
        <v>0</v>
      </c>
      <c r="L25" s="20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>
      <c r="A26" s="3" t="s">
        <v>13</v>
      </c>
      <c r="B26" s="256">
        <f>SUM(C26:K26)+SUM('fed2'!B26:K26)+SUM('fed3'!B26:J26)+SUM('fed4'!B26:L26)+SUM('fed5'!B26:M26)</f>
        <v>28175576.599999998</v>
      </c>
      <c r="C26" s="123">
        <v>0</v>
      </c>
      <c r="D26" s="130">
        <v>0</v>
      </c>
      <c r="E26" s="431">
        <v>49656.01</v>
      </c>
      <c r="F26" s="130">
        <v>0</v>
      </c>
      <c r="G26" s="322">
        <v>291298</v>
      </c>
      <c r="H26" s="322">
        <v>0</v>
      </c>
      <c r="I26" s="130">
        <v>0</v>
      </c>
      <c r="J26" s="322">
        <v>72643</v>
      </c>
      <c r="K26" s="322">
        <v>0</v>
      </c>
      <c r="L26" s="20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>
      <c r="A27" s="3" t="s">
        <v>14</v>
      </c>
      <c r="B27" s="256">
        <f>SUM(C27:K27)+SUM('fed2'!B27:K27)+SUM('fed3'!B27:J27)+SUM('fed4'!B27:L27)+SUM('fed5'!B27:M27)</f>
        <v>23579788.050000004</v>
      </c>
      <c r="C27" s="123">
        <v>0</v>
      </c>
      <c r="D27" s="130">
        <v>0</v>
      </c>
      <c r="E27" s="431">
        <v>335999.11</v>
      </c>
      <c r="F27" s="130">
        <v>0</v>
      </c>
      <c r="G27" s="322">
        <v>296742.53000000003</v>
      </c>
      <c r="H27" s="322">
        <v>2798.9</v>
      </c>
      <c r="I27" s="130">
        <v>0</v>
      </c>
      <c r="J27" s="322">
        <v>25306.79</v>
      </c>
      <c r="K27" s="322">
        <v>0</v>
      </c>
      <c r="L27" s="20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>
      <c r="A28" s="3" t="s">
        <v>15</v>
      </c>
      <c r="B28" s="256">
        <f>SUM(C28:K28)+SUM('fed2'!B28:K28)+SUM('fed3'!B28:J28)+SUM('fed4'!B28:L28)+SUM('fed5'!B28:M28)</f>
        <v>3191853.05</v>
      </c>
      <c r="C28" s="123">
        <v>0</v>
      </c>
      <c r="D28" s="123">
        <v>0</v>
      </c>
      <c r="E28" s="431">
        <v>16680.93</v>
      </c>
      <c r="F28" s="130">
        <v>0</v>
      </c>
      <c r="G28" s="322">
        <v>24351.33</v>
      </c>
      <c r="H28" s="322">
        <v>0</v>
      </c>
      <c r="I28" s="322">
        <v>0</v>
      </c>
      <c r="J28" s="322">
        <v>5348.3</v>
      </c>
      <c r="K28" s="322">
        <v>0</v>
      </c>
      <c r="L28" s="20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>
      <c r="B29" s="256"/>
      <c r="C29" s="350"/>
      <c r="D29" s="340"/>
      <c r="E29" s="430"/>
      <c r="F29" s="430"/>
      <c r="G29" s="336"/>
      <c r="H29" s="336"/>
      <c r="I29" s="336"/>
      <c r="J29" s="336"/>
      <c r="K29" s="336"/>
      <c r="L29" s="20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>
      <c r="A30" s="3" t="s">
        <v>16</v>
      </c>
      <c r="B30" s="256">
        <f>SUM(C30:K30)+SUM('fed2'!B30:K30)+SUM('fed3'!B30:J30)+SUM('fed4'!B30:L30)+SUM('fed5'!B30:M30)</f>
        <v>105027607.84999999</v>
      </c>
      <c r="C30" s="123">
        <v>0</v>
      </c>
      <c r="D30" s="130">
        <v>0</v>
      </c>
      <c r="E30" s="431">
        <v>3776800.13</v>
      </c>
      <c r="F30" s="130">
        <v>0</v>
      </c>
      <c r="G30" s="129">
        <v>1200624</v>
      </c>
      <c r="H30" s="130">
        <v>0</v>
      </c>
      <c r="I30" s="130">
        <v>0</v>
      </c>
      <c r="J30" s="129">
        <v>29797</v>
      </c>
      <c r="K30" s="129">
        <v>0</v>
      </c>
      <c r="L30" s="20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>
      <c r="A31" s="3" t="s">
        <v>17</v>
      </c>
      <c r="B31" s="256">
        <f>SUM(C31:K31)+SUM('fed2'!B31:K31)+SUM('fed3'!B31:J31)+SUM('fed4'!B31:L31)+SUM('fed5'!B31:M31)</f>
        <v>140508218.75999999</v>
      </c>
      <c r="C31" s="123">
        <v>0</v>
      </c>
      <c r="D31" s="130">
        <v>0</v>
      </c>
      <c r="E31" s="431">
        <v>2211708.09</v>
      </c>
      <c r="F31" s="431">
        <v>26054</v>
      </c>
      <c r="G31" s="129">
        <v>1128592.28</v>
      </c>
      <c r="H31" s="130">
        <v>0</v>
      </c>
      <c r="I31" s="130">
        <v>0</v>
      </c>
      <c r="J31" s="129">
        <v>0</v>
      </c>
      <c r="K31" s="129">
        <v>0</v>
      </c>
      <c r="L31" s="20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s="54" customFormat="1">
      <c r="A32" s="54" t="s">
        <v>18</v>
      </c>
      <c r="B32" s="256">
        <f>SUM(C32:K32)+SUM('fed2'!B32:K32)+SUM('fed3'!B32:J32)+SUM('fed4'!B32:L32)+SUM('fed5'!B32:M32)</f>
        <v>5789658.1499999994</v>
      </c>
      <c r="C32" s="123">
        <v>0</v>
      </c>
      <c r="D32" s="130">
        <v>0</v>
      </c>
      <c r="E32" s="431">
        <v>28027.21</v>
      </c>
      <c r="F32" s="130">
        <v>0</v>
      </c>
      <c r="G32" s="129">
        <v>60536</v>
      </c>
      <c r="H32" s="130">
        <v>0</v>
      </c>
      <c r="I32" s="130">
        <v>0</v>
      </c>
      <c r="J32" s="129">
        <v>31605.29</v>
      </c>
      <c r="K32" s="129">
        <v>0</v>
      </c>
      <c r="L32" s="66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</row>
    <row r="33" spans="1:37">
      <c r="A33" s="3" t="s">
        <v>19</v>
      </c>
      <c r="B33" s="256">
        <f>SUM(C33:K33)+SUM('fed2'!B33:K33)+SUM('fed3'!B33:J33)+SUM('fed4'!B33:L33)+SUM('fed5'!B33:M33)</f>
        <v>16419717.549999999</v>
      </c>
      <c r="C33" s="123">
        <v>0</v>
      </c>
      <c r="D33" s="130">
        <v>0</v>
      </c>
      <c r="E33" s="431">
        <v>20257.36</v>
      </c>
      <c r="F33" s="130">
        <v>0</v>
      </c>
      <c r="G33" s="129">
        <v>139196.70000000001</v>
      </c>
      <c r="H33" s="130">
        <v>0</v>
      </c>
      <c r="I33" s="130">
        <v>0</v>
      </c>
      <c r="J33" s="129">
        <v>0</v>
      </c>
      <c r="K33" s="129">
        <v>0</v>
      </c>
      <c r="L33" s="20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>
      <c r="A34" s="3" t="s">
        <v>20</v>
      </c>
      <c r="B34" s="256">
        <f>SUM(C34:K34)+SUM('fed2'!B34:K34)+SUM('fed3'!B34:J34)+SUM('fed4'!B34:L34)+SUM('fed5'!B34:M34)</f>
        <v>5508396.6699999999</v>
      </c>
      <c r="C34" s="123">
        <v>2902</v>
      </c>
      <c r="D34" s="130">
        <v>44521.7</v>
      </c>
      <c r="E34" s="431">
        <v>10675.06</v>
      </c>
      <c r="F34" s="431">
        <v>9776.7999999999993</v>
      </c>
      <c r="G34" s="129">
        <f>50591.59+51835.11</f>
        <v>102426.7</v>
      </c>
      <c r="H34" s="130">
        <v>0</v>
      </c>
      <c r="I34" s="130">
        <v>0</v>
      </c>
      <c r="J34" s="129">
        <v>14740.74</v>
      </c>
      <c r="K34" s="129">
        <v>0</v>
      </c>
      <c r="L34" s="20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>
      <c r="B35" s="256"/>
      <c r="C35" s="350"/>
      <c r="D35" s="340"/>
      <c r="E35" s="430"/>
      <c r="F35" s="430"/>
      <c r="G35" s="340"/>
      <c r="H35" s="340"/>
      <c r="I35" s="340"/>
      <c r="J35" s="340"/>
      <c r="K35" s="340"/>
      <c r="L35" s="20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>
      <c r="A36" s="3" t="s">
        <v>21</v>
      </c>
      <c r="B36" s="256">
        <f>SUM(C36:K36)+SUM('fed2'!B36:K36)+SUM('fed3'!B36:J36)+SUM('fed4'!B36:L36)+SUM('fed5'!B36:M36)</f>
        <v>3980518.9299999997</v>
      </c>
      <c r="C36" s="123">
        <v>0</v>
      </c>
      <c r="D36" s="130">
        <v>0</v>
      </c>
      <c r="E36" s="431">
        <v>38081.39</v>
      </c>
      <c r="F36" s="130">
        <v>0</v>
      </c>
      <c r="G36" s="322">
        <v>49998</v>
      </c>
      <c r="H36" s="130">
        <v>0</v>
      </c>
      <c r="I36" s="322">
        <v>0</v>
      </c>
      <c r="J36" s="322">
        <v>6761.64</v>
      </c>
      <c r="K36" s="322">
        <v>0</v>
      </c>
      <c r="L36" s="20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>
      <c r="A37" s="3" t="s">
        <v>22</v>
      </c>
      <c r="B37" s="256">
        <f>SUM(C37:K37)+SUM('fed2'!B37:K37)+SUM('fed3'!B37:J37)+SUM('fed4'!B37:L37)+SUM('fed5'!B37:M37)</f>
        <v>21094460.969999999</v>
      </c>
      <c r="C37" s="123">
        <v>0</v>
      </c>
      <c r="D37" s="130">
        <v>0</v>
      </c>
      <c r="E37" s="431">
        <v>40909.980000000003</v>
      </c>
      <c r="F37" s="130">
        <v>0</v>
      </c>
      <c r="G37" s="130">
        <f>112.33+238974.52</f>
        <v>239086.84999999998</v>
      </c>
      <c r="H37" s="130">
        <v>0</v>
      </c>
      <c r="I37" s="130">
        <v>2099.89</v>
      </c>
      <c r="J37" s="130">
        <v>32500</v>
      </c>
      <c r="K37" s="130">
        <v>0</v>
      </c>
      <c r="L37" s="20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>
      <c r="A38" s="3" t="s">
        <v>23</v>
      </c>
      <c r="B38" s="256">
        <f>SUM(C38:K38)+SUM('fed2'!B38:K38)+SUM('fed3'!B38:J38)+SUM('fed4'!B38:L38)+SUM('fed5'!B38:M38)</f>
        <v>20542121.490000002</v>
      </c>
      <c r="C38" s="123">
        <v>0</v>
      </c>
      <c r="D38" s="130">
        <v>0</v>
      </c>
      <c r="E38" s="431">
        <v>136583.88</v>
      </c>
      <c r="F38" s="431">
        <v>10490.37</v>
      </c>
      <c r="G38" s="130">
        <v>206029.79</v>
      </c>
      <c r="H38" s="130">
        <v>0</v>
      </c>
      <c r="I38" s="130">
        <v>0</v>
      </c>
      <c r="J38" s="130">
        <v>0</v>
      </c>
      <c r="K38" s="130">
        <v>0</v>
      </c>
      <c r="L38" s="20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>
      <c r="A39" s="12" t="s">
        <v>24</v>
      </c>
      <c r="B39" s="309">
        <f>SUM(C39:K39)+SUM('fed2'!B39:K39)+SUM('fed3'!B39:J39)+SUM('fed4'!B39:L39)+SUM('fed5'!B39:M39)</f>
        <v>7493427.2999999989</v>
      </c>
      <c r="C39" s="396">
        <v>0</v>
      </c>
      <c r="D39" s="131">
        <v>53570</v>
      </c>
      <c r="E39" s="432">
        <v>16095.04</v>
      </c>
      <c r="F39" s="433">
        <v>10395.74</v>
      </c>
      <c r="G39" s="131">
        <f>80347+22530.53</f>
        <v>102877.53</v>
      </c>
      <c r="H39" s="131">
        <v>0</v>
      </c>
      <c r="I39" s="131">
        <v>0</v>
      </c>
      <c r="J39" s="131">
        <v>32490</v>
      </c>
      <c r="K39" s="131">
        <v>0</v>
      </c>
      <c r="L39" s="20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>
      <c r="B40" s="201"/>
      <c r="C40" s="201"/>
      <c r="D40" s="201"/>
      <c r="G40" s="196"/>
      <c r="H40" s="201"/>
      <c r="I40" s="201"/>
      <c r="J40" s="201"/>
      <c r="K40" s="201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>
      <c r="B41" s="202"/>
      <c r="C41" s="202"/>
      <c r="D41" s="201"/>
      <c r="G41" s="201"/>
      <c r="H41" s="201"/>
      <c r="I41" s="201"/>
      <c r="J41" s="201"/>
      <c r="K41" s="201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>
      <c r="D42" s="201"/>
      <c r="G42" s="201"/>
      <c r="H42" s="201"/>
      <c r="I42" s="201"/>
      <c r="J42" s="201"/>
      <c r="K42" s="201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>
      <c r="D43" s="201"/>
      <c r="G43" s="201"/>
      <c r="H43" s="201"/>
      <c r="I43" s="201"/>
      <c r="J43" s="201"/>
      <c r="K43" s="201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>
      <c r="D44" s="201"/>
      <c r="G44" s="201"/>
      <c r="H44" s="201"/>
      <c r="I44" s="201"/>
      <c r="J44" s="201"/>
      <c r="K44" s="201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>
      <c r="D45" s="201"/>
      <c r="G45" s="201"/>
      <c r="H45" s="201"/>
      <c r="I45" s="201"/>
      <c r="J45" s="201"/>
      <c r="K45" s="201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>
      <c r="D46" s="201"/>
      <c r="G46" s="201"/>
      <c r="H46" s="201"/>
      <c r="I46" s="201"/>
      <c r="J46" s="201"/>
      <c r="K46" s="201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>
      <c r="D47" s="201"/>
      <c r="G47" s="201"/>
      <c r="H47" s="201"/>
      <c r="I47" s="201"/>
      <c r="J47" s="201"/>
      <c r="K47" s="201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>
      <c r="D48" s="201"/>
      <c r="G48" s="201"/>
      <c r="H48" s="201"/>
      <c r="I48" s="201"/>
      <c r="J48" s="201"/>
      <c r="K48" s="201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4:37">
      <c r="D49" s="201"/>
      <c r="G49" s="201"/>
      <c r="H49" s="201"/>
      <c r="I49" s="201"/>
      <c r="J49" s="201"/>
      <c r="K49" s="201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4:37">
      <c r="D50" s="201"/>
      <c r="G50" s="201"/>
      <c r="H50" s="201"/>
      <c r="I50" s="201"/>
      <c r="J50" s="201"/>
      <c r="K50" s="201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4:37">
      <c r="D51" s="201"/>
      <c r="G51" s="201"/>
      <c r="H51" s="201"/>
      <c r="I51" s="201"/>
      <c r="J51" s="201"/>
      <c r="K51" s="201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4:37">
      <c r="D52" s="201"/>
      <c r="G52" s="201"/>
      <c r="H52" s="201"/>
      <c r="I52" s="201"/>
      <c r="J52" s="201"/>
      <c r="K52" s="201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4:37">
      <c r="D53" s="201"/>
      <c r="G53" s="201"/>
      <c r="H53" s="201"/>
      <c r="I53" s="201"/>
      <c r="J53" s="201"/>
      <c r="K53" s="201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4:37">
      <c r="D54" s="201"/>
      <c r="G54" s="201"/>
      <c r="H54" s="201"/>
      <c r="I54" s="201"/>
      <c r="J54" s="201"/>
      <c r="K54" s="201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4:37">
      <c r="D55" s="201"/>
      <c r="G55" s="201"/>
      <c r="H55" s="201"/>
      <c r="I55" s="201"/>
      <c r="J55" s="201"/>
      <c r="K55" s="201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4:37">
      <c r="D56" s="201"/>
      <c r="G56" s="201"/>
      <c r="H56" s="201"/>
      <c r="I56" s="201"/>
      <c r="J56" s="201"/>
      <c r="K56" s="201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4:37">
      <c r="D57" s="201"/>
      <c r="G57" s="201"/>
      <c r="H57" s="201"/>
      <c r="I57" s="201"/>
      <c r="J57" s="201"/>
      <c r="K57" s="201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4:37">
      <c r="D58" s="201"/>
      <c r="G58" s="201"/>
      <c r="H58" s="201"/>
      <c r="I58" s="201"/>
      <c r="J58" s="201"/>
      <c r="K58" s="201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4:37">
      <c r="D59" s="201"/>
      <c r="G59" s="201"/>
      <c r="H59" s="201"/>
      <c r="I59" s="201"/>
      <c r="J59" s="201"/>
      <c r="K59" s="201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4:37">
      <c r="D60" s="201"/>
      <c r="G60" s="201"/>
      <c r="H60" s="201"/>
      <c r="I60" s="201"/>
      <c r="J60" s="201"/>
      <c r="K60" s="201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4:37">
      <c r="D61" s="201"/>
      <c r="G61" s="201"/>
      <c r="H61" s="201"/>
      <c r="I61" s="201"/>
      <c r="J61" s="201"/>
      <c r="K61" s="201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4:37">
      <c r="D62" s="201"/>
      <c r="G62" s="201"/>
      <c r="H62" s="201"/>
      <c r="I62" s="201"/>
      <c r="J62" s="201"/>
      <c r="K62" s="201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4:37">
      <c r="D63" s="201"/>
      <c r="G63" s="201"/>
      <c r="H63" s="201"/>
      <c r="I63" s="201"/>
      <c r="J63" s="201"/>
      <c r="K63" s="201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4:37">
      <c r="D64" s="201"/>
      <c r="G64" s="201"/>
      <c r="H64" s="201"/>
      <c r="I64" s="201"/>
      <c r="J64" s="201"/>
      <c r="K64" s="201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4:37">
      <c r="D65" s="201"/>
      <c r="G65" s="201"/>
      <c r="H65" s="201"/>
      <c r="I65" s="201"/>
      <c r="J65" s="201"/>
      <c r="K65" s="201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4:37">
      <c r="D66" s="201"/>
      <c r="G66" s="201"/>
      <c r="H66" s="201"/>
      <c r="I66" s="201"/>
      <c r="J66" s="201"/>
      <c r="K66" s="201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4:37">
      <c r="D67" s="201"/>
      <c r="G67" s="201"/>
      <c r="H67" s="201"/>
      <c r="I67" s="201"/>
      <c r="J67" s="201"/>
      <c r="K67" s="201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4:37">
      <c r="D68" s="201"/>
      <c r="G68" s="201"/>
      <c r="H68" s="201"/>
      <c r="I68" s="201"/>
      <c r="J68" s="201"/>
      <c r="K68" s="201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4:37">
      <c r="D69" s="201"/>
      <c r="G69" s="201"/>
      <c r="H69" s="201"/>
      <c r="I69" s="201"/>
      <c r="J69" s="201"/>
      <c r="K69" s="201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4:37">
      <c r="D70" s="201"/>
      <c r="G70" s="201"/>
      <c r="H70" s="201"/>
      <c r="I70" s="201"/>
      <c r="J70" s="201"/>
      <c r="K70" s="201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4:37">
      <c r="D71" s="201"/>
      <c r="G71" s="201"/>
      <c r="H71" s="201"/>
      <c r="I71" s="201"/>
      <c r="J71" s="201"/>
      <c r="K71" s="201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4:37">
      <c r="D72" s="201"/>
      <c r="G72" s="201"/>
      <c r="H72" s="201"/>
      <c r="I72" s="201"/>
      <c r="J72" s="201"/>
      <c r="K72" s="201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4:37">
      <c r="D73" s="201"/>
      <c r="G73" s="201"/>
      <c r="H73" s="201"/>
      <c r="I73" s="201"/>
      <c r="J73" s="201"/>
      <c r="K73" s="201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4:37">
      <c r="D74" s="201"/>
      <c r="G74" s="201"/>
      <c r="H74" s="201"/>
      <c r="I74" s="201"/>
      <c r="J74" s="201"/>
      <c r="K74" s="201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4:37">
      <c r="D75" s="201"/>
      <c r="G75" s="201"/>
      <c r="H75" s="201"/>
      <c r="I75" s="201"/>
      <c r="J75" s="201"/>
      <c r="K75" s="201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4:37">
      <c r="D76" s="201"/>
      <c r="G76" s="201"/>
      <c r="H76" s="201"/>
      <c r="I76" s="201"/>
      <c r="J76" s="201"/>
      <c r="K76" s="201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</sheetData>
  <sheetProtection password="CAF5" sheet="1" objects="1" scenarios="1"/>
  <mergeCells count="9">
    <mergeCell ref="A1:K1"/>
    <mergeCell ref="G6:K6"/>
    <mergeCell ref="E7:E9"/>
    <mergeCell ref="A2:K2"/>
    <mergeCell ref="G5:K5"/>
    <mergeCell ref="A3:K3"/>
    <mergeCell ref="C7:C9"/>
    <mergeCell ref="J8:J9"/>
    <mergeCell ref="F5:F9"/>
  </mergeCells>
  <phoneticPr fontId="0" type="noConversion"/>
  <printOptions horizontalCentered="1"/>
  <pageMargins left="0.27" right="0.34" top="0.83" bottom="1" header="0.67" footer="0.5"/>
  <pageSetup scale="88" orientation="landscape" r:id="rId1"/>
  <headerFooter alignWithMargins="0">
    <oddFooter xml:space="preserve">&amp;L&amp;"Arial,Italic"&amp;9MSDE - LFRO  12 / 2013
&amp;C- 12 -&amp;R&amp;"Arial,Italic"&amp;9Selected Financial Data-Part 1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Normal="100" workbookViewId="0">
      <selection sqref="A1:L1"/>
    </sheetView>
  </sheetViews>
  <sheetFormatPr defaultRowHeight="12.75"/>
  <cols>
    <col min="1" max="1" width="14.42578125" customWidth="1"/>
    <col min="2" max="2" width="15.28515625" customWidth="1"/>
    <col min="3" max="4" width="14.42578125" customWidth="1"/>
    <col min="5" max="5" width="12.28515625" customWidth="1"/>
    <col min="6" max="7" width="14.42578125" customWidth="1"/>
    <col min="8" max="8" width="14.42578125" style="224" customWidth="1"/>
    <col min="9" max="9" width="21.42578125" style="224" customWidth="1"/>
    <col min="10" max="10" width="11.5703125" style="224" customWidth="1"/>
    <col min="11" max="11" width="14" style="224" customWidth="1"/>
    <col min="12" max="12" width="12.85546875" bestFit="1" customWidth="1"/>
  </cols>
  <sheetData>
    <row r="1" spans="1:12">
      <c r="A1" s="500" t="s">
        <v>119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</row>
    <row r="2" spans="1:12">
      <c r="A2" s="3"/>
      <c r="B2" s="3"/>
      <c r="C2" s="3"/>
      <c r="D2" s="3"/>
      <c r="E2" s="3"/>
      <c r="F2" s="3"/>
      <c r="G2" s="3"/>
      <c r="H2" s="199"/>
      <c r="I2" s="199"/>
    </row>
    <row r="3" spans="1:12">
      <c r="A3" s="506" t="s">
        <v>288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</row>
    <row r="4" spans="1:12" ht="13.5" thickBot="1">
      <c r="A4" s="3"/>
      <c r="B4" s="3"/>
      <c r="C4" s="3"/>
      <c r="D4" s="3"/>
      <c r="E4" s="3"/>
      <c r="F4" s="3"/>
      <c r="G4" s="3"/>
      <c r="H4" s="199"/>
      <c r="I4" s="199"/>
      <c r="J4" s="199"/>
      <c r="K4" s="199"/>
      <c r="L4" s="3"/>
    </row>
    <row r="5" spans="1:12" ht="15" customHeight="1" thickTop="1">
      <c r="A5" s="6"/>
      <c r="B5" s="283" t="s">
        <v>56</v>
      </c>
      <c r="C5" s="283"/>
      <c r="D5" s="283"/>
      <c r="E5" s="283"/>
      <c r="F5" s="283"/>
      <c r="G5" s="283"/>
      <c r="H5" s="283"/>
      <c r="I5" s="283"/>
      <c r="J5" s="283"/>
      <c r="K5" s="283"/>
    </row>
    <row r="6" spans="1:12" ht="12.75" customHeight="1">
      <c r="A6" s="3"/>
      <c r="B6" s="520" t="s">
        <v>241</v>
      </c>
      <c r="C6" s="521"/>
      <c r="D6" s="521"/>
      <c r="E6" s="521"/>
      <c r="F6" s="521"/>
      <c r="G6" s="521"/>
      <c r="H6" s="521"/>
      <c r="I6" s="522"/>
      <c r="J6" s="216" t="s">
        <v>226</v>
      </c>
      <c r="K6" s="215" t="s">
        <v>226</v>
      </c>
    </row>
    <row r="7" spans="1:12" ht="12.75" customHeight="1">
      <c r="A7" s="3" t="s">
        <v>77</v>
      </c>
      <c r="B7" s="216" t="s">
        <v>62</v>
      </c>
      <c r="C7" s="510" t="s">
        <v>222</v>
      </c>
      <c r="D7" s="518" t="s">
        <v>223</v>
      </c>
      <c r="E7" s="216"/>
      <c r="F7" s="216"/>
      <c r="G7" s="216" t="s">
        <v>145</v>
      </c>
      <c r="H7" s="517" t="s">
        <v>232</v>
      </c>
      <c r="I7" s="312" t="s">
        <v>247</v>
      </c>
      <c r="J7" s="216" t="s">
        <v>228</v>
      </c>
      <c r="K7" s="216" t="s">
        <v>227</v>
      </c>
    </row>
    <row r="8" spans="1:12">
      <c r="A8" s="3" t="s">
        <v>33</v>
      </c>
      <c r="B8" s="216" t="s">
        <v>57</v>
      </c>
      <c r="C8" s="470"/>
      <c r="D8" s="519"/>
      <c r="E8" s="216"/>
      <c r="F8" s="216" t="s">
        <v>59</v>
      </c>
      <c r="G8" s="216" t="s">
        <v>31</v>
      </c>
      <c r="H8" s="518"/>
      <c r="I8" s="514" t="s">
        <v>248</v>
      </c>
      <c r="J8" s="216" t="s">
        <v>26</v>
      </c>
      <c r="K8" s="216" t="s">
        <v>26</v>
      </c>
    </row>
    <row r="9" spans="1:12" ht="13.5" thickBot="1">
      <c r="A9" s="7" t="s">
        <v>132</v>
      </c>
      <c r="B9" s="218" t="s">
        <v>151</v>
      </c>
      <c r="C9" s="471"/>
      <c r="D9" s="498"/>
      <c r="E9" s="218" t="s">
        <v>53</v>
      </c>
      <c r="F9" s="218" t="s">
        <v>60</v>
      </c>
      <c r="G9" s="218" t="s">
        <v>146</v>
      </c>
      <c r="H9" s="498"/>
      <c r="I9" s="515"/>
      <c r="J9" s="218" t="s">
        <v>64</v>
      </c>
      <c r="K9" s="218" t="s">
        <v>64</v>
      </c>
    </row>
    <row r="10" spans="1:12" s="16" customFormat="1">
      <c r="A10" s="48" t="s">
        <v>0</v>
      </c>
      <c r="B10" s="227">
        <f t="shared" ref="B10:G10" si="0">SUM(B12:B39)</f>
        <v>165339348.05000001</v>
      </c>
      <c r="C10" s="227">
        <f t="shared" si="0"/>
        <v>6473581.879999999</v>
      </c>
      <c r="D10" s="227">
        <f t="shared" si="0"/>
        <v>0</v>
      </c>
      <c r="E10" s="227">
        <f t="shared" si="0"/>
        <v>594133.64999999991</v>
      </c>
      <c r="F10" s="227">
        <f t="shared" si="0"/>
        <v>133816.94</v>
      </c>
      <c r="G10" s="227">
        <f t="shared" si="0"/>
        <v>604411.81000000006</v>
      </c>
      <c r="H10" s="227">
        <f>SUM(H12:H39)</f>
        <v>11224478.41</v>
      </c>
      <c r="I10" s="227">
        <f>SUM(I12:I39)</f>
        <v>16581902.210000001</v>
      </c>
      <c r="J10" s="227">
        <f>SUM(J12:J39)</f>
        <v>390727.1</v>
      </c>
      <c r="K10" s="304">
        <f>SUM(K12:K39)</f>
        <v>86833.290000000008</v>
      </c>
      <c r="L10" s="3"/>
    </row>
    <row r="11" spans="1:12">
      <c r="A11" s="3"/>
      <c r="B11" s="230"/>
      <c r="C11" s="230"/>
      <c r="D11" s="230"/>
      <c r="E11" s="230"/>
      <c r="F11" s="230"/>
      <c r="G11" s="230"/>
      <c r="H11" s="230"/>
      <c r="I11" s="230"/>
      <c r="J11" s="228"/>
      <c r="K11" s="228"/>
    </row>
    <row r="12" spans="1:12">
      <c r="A12" s="3" t="s">
        <v>1</v>
      </c>
      <c r="B12" s="130">
        <v>2636771.38</v>
      </c>
      <c r="C12" s="130">
        <v>9460.26</v>
      </c>
      <c r="D12" s="377">
        <v>0</v>
      </c>
      <c r="E12" s="377"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81"/>
    </row>
    <row r="13" spans="1:12">
      <c r="A13" s="3" t="s">
        <v>2</v>
      </c>
      <c r="B13" s="130">
        <v>10532168.619999999</v>
      </c>
      <c r="C13" s="130">
        <v>164128.03</v>
      </c>
      <c r="D13" s="377">
        <v>0</v>
      </c>
      <c r="E13" s="377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81"/>
    </row>
    <row r="14" spans="1:12" s="23" customFormat="1">
      <c r="A14" s="32" t="s">
        <v>3</v>
      </c>
      <c r="B14" s="130">
        <v>46877074.359999999</v>
      </c>
      <c r="C14" s="377">
        <v>1590902.2</v>
      </c>
      <c r="D14" s="377">
        <v>0</v>
      </c>
      <c r="E14" s="377">
        <v>0</v>
      </c>
      <c r="F14" s="130">
        <v>0</v>
      </c>
      <c r="G14" s="130">
        <v>238711.89</v>
      </c>
      <c r="H14" s="322">
        <v>7347771.7999999998</v>
      </c>
      <c r="I14" s="322">
        <v>8218378.25</v>
      </c>
      <c r="J14" s="130">
        <v>0</v>
      </c>
      <c r="K14" s="130">
        <v>0</v>
      </c>
      <c r="L14" s="77"/>
    </row>
    <row r="15" spans="1:12">
      <c r="A15" s="3" t="s">
        <v>4</v>
      </c>
      <c r="B15" s="130">
        <v>22700307.620000001</v>
      </c>
      <c r="C15" s="130">
        <v>302881.7</v>
      </c>
      <c r="D15" s="377">
        <v>0</v>
      </c>
      <c r="E15" s="377">
        <v>0</v>
      </c>
      <c r="F15" s="130">
        <v>0</v>
      </c>
      <c r="G15" s="130">
        <v>46677.54</v>
      </c>
      <c r="H15" s="130">
        <v>0</v>
      </c>
      <c r="I15" s="130">
        <v>42434.65</v>
      </c>
      <c r="J15" s="130">
        <v>0</v>
      </c>
      <c r="K15" s="130">
        <v>0</v>
      </c>
      <c r="L15" s="81"/>
    </row>
    <row r="16" spans="1:12">
      <c r="A16" s="3" t="s">
        <v>5</v>
      </c>
      <c r="B16" s="130">
        <v>1311067.3999999999</v>
      </c>
      <c r="C16" s="130">
        <v>28066.61</v>
      </c>
      <c r="D16" s="377">
        <v>0</v>
      </c>
      <c r="E16" s="377">
        <v>0</v>
      </c>
      <c r="F16" s="130">
        <v>66802.8</v>
      </c>
      <c r="G16" s="130">
        <v>0</v>
      </c>
      <c r="H16" s="130">
        <v>0</v>
      </c>
      <c r="I16" s="130">
        <v>0</v>
      </c>
      <c r="J16" s="322">
        <v>0</v>
      </c>
      <c r="K16" s="322">
        <v>35856.239999999998</v>
      </c>
      <c r="L16" s="81"/>
    </row>
    <row r="17" spans="1:12">
      <c r="A17" s="3"/>
      <c r="B17" s="340"/>
      <c r="C17" s="346"/>
      <c r="D17" s="346"/>
      <c r="E17" s="340"/>
      <c r="F17" s="340"/>
      <c r="G17" s="340"/>
      <c r="H17" s="340"/>
      <c r="I17" s="340"/>
      <c r="J17" s="338"/>
      <c r="K17" s="338"/>
      <c r="L17" s="81"/>
    </row>
    <row r="18" spans="1:12">
      <c r="A18" s="3" t="s">
        <v>6</v>
      </c>
      <c r="B18" s="130">
        <v>1249591.48</v>
      </c>
      <c r="C18" s="130">
        <v>0</v>
      </c>
      <c r="D18" s="377">
        <v>0</v>
      </c>
      <c r="E18" s="377">
        <v>0</v>
      </c>
      <c r="F18" s="130">
        <v>0</v>
      </c>
      <c r="G18" s="130">
        <v>0</v>
      </c>
      <c r="H18" s="130">
        <v>0</v>
      </c>
      <c r="I18" s="130">
        <v>0</v>
      </c>
      <c r="J18" s="322">
        <v>0</v>
      </c>
      <c r="K18" s="322">
        <v>0</v>
      </c>
      <c r="L18" s="81"/>
    </row>
    <row r="19" spans="1:12">
      <c r="A19" s="3" t="s">
        <v>7</v>
      </c>
      <c r="B19" s="130">
        <v>2281442.9500000002</v>
      </c>
      <c r="C19" s="130">
        <v>123153.99</v>
      </c>
      <c r="D19" s="377">
        <v>0</v>
      </c>
      <c r="E19" s="377">
        <v>0</v>
      </c>
      <c r="F19" s="130">
        <v>0</v>
      </c>
      <c r="G19" s="130">
        <v>0</v>
      </c>
      <c r="H19" s="130">
        <v>0</v>
      </c>
      <c r="I19" s="130">
        <v>0</v>
      </c>
      <c r="J19" s="322">
        <v>0</v>
      </c>
      <c r="K19" s="130">
        <v>0</v>
      </c>
      <c r="L19" s="81"/>
    </row>
    <row r="20" spans="1:12">
      <c r="A20" s="3" t="s">
        <v>8</v>
      </c>
      <c r="B20" s="130">
        <v>2703514.4</v>
      </c>
      <c r="C20" s="130">
        <v>24477.57</v>
      </c>
      <c r="D20" s="377">
        <v>0</v>
      </c>
      <c r="E20" s="377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9356.6299999999992</v>
      </c>
      <c r="K20" s="130">
        <v>0</v>
      </c>
      <c r="L20" s="81"/>
    </row>
    <row r="21" spans="1:12">
      <c r="A21" s="3" t="s">
        <v>9</v>
      </c>
      <c r="B21" s="130">
        <v>2364812.0699999998</v>
      </c>
      <c r="C21" s="130">
        <v>308396.71000000002</v>
      </c>
      <c r="D21" s="377">
        <v>0</v>
      </c>
      <c r="E21" s="377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81"/>
    </row>
    <row r="22" spans="1:12">
      <c r="A22" s="3" t="s">
        <v>10</v>
      </c>
      <c r="B22" s="130">
        <v>1534877.81</v>
      </c>
      <c r="C22" s="377">
        <v>152107.44</v>
      </c>
      <c r="D22" s="377">
        <v>0</v>
      </c>
      <c r="E22" s="322">
        <v>54497.19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  <c r="L22" s="81"/>
    </row>
    <row r="23" spans="1:12">
      <c r="A23" s="3"/>
      <c r="B23" s="340"/>
      <c r="C23" s="346"/>
      <c r="D23" s="346"/>
      <c r="E23" s="340"/>
      <c r="F23" s="340"/>
      <c r="G23" s="340"/>
      <c r="H23" s="340"/>
      <c r="I23" s="340"/>
      <c r="J23" s="340"/>
      <c r="K23" s="340"/>
      <c r="L23" s="81"/>
    </row>
    <row r="24" spans="1:12">
      <c r="A24" s="3" t="s">
        <v>11</v>
      </c>
      <c r="B24" s="130">
        <v>3650137.83</v>
      </c>
      <c r="C24" s="377">
        <v>43363.48</v>
      </c>
      <c r="D24" s="377">
        <v>0</v>
      </c>
      <c r="E24" s="377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81"/>
    </row>
    <row r="25" spans="1:12">
      <c r="A25" s="3" t="s">
        <v>12</v>
      </c>
      <c r="B25" s="130">
        <v>1167034.29</v>
      </c>
      <c r="C25" s="377">
        <v>0</v>
      </c>
      <c r="D25" s="377">
        <v>0</v>
      </c>
      <c r="E25" s="377"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81"/>
    </row>
    <row r="26" spans="1:12">
      <c r="A26" s="3" t="s">
        <v>13</v>
      </c>
      <c r="B26" s="322">
        <v>4379476.47</v>
      </c>
      <c r="C26" s="377">
        <v>117516.01</v>
      </c>
      <c r="D26" s="377">
        <v>0</v>
      </c>
      <c r="E26" s="377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81"/>
    </row>
    <row r="27" spans="1:12">
      <c r="A27" s="3" t="s">
        <v>14</v>
      </c>
      <c r="B27" s="130">
        <v>2856357.21</v>
      </c>
      <c r="C27" s="377">
        <v>73078.7</v>
      </c>
      <c r="D27" s="377">
        <v>0</v>
      </c>
      <c r="E27" s="377">
        <v>0</v>
      </c>
      <c r="F27" s="130">
        <v>67014.14</v>
      </c>
      <c r="G27" s="130">
        <v>0</v>
      </c>
      <c r="H27" s="130">
        <v>0</v>
      </c>
      <c r="I27" s="130">
        <v>0</v>
      </c>
      <c r="J27" s="130">
        <v>0</v>
      </c>
      <c r="K27" s="130">
        <v>0</v>
      </c>
      <c r="L27" s="81"/>
    </row>
    <row r="28" spans="1:12">
      <c r="A28" s="3" t="s">
        <v>15</v>
      </c>
      <c r="B28" s="130">
        <v>562661.9</v>
      </c>
      <c r="C28" s="377">
        <v>101342.71</v>
      </c>
      <c r="D28" s="377">
        <v>0</v>
      </c>
      <c r="E28" s="377"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81"/>
    </row>
    <row r="29" spans="1:12">
      <c r="A29" s="3"/>
      <c r="B29" s="340"/>
      <c r="C29" s="346"/>
      <c r="D29" s="346"/>
      <c r="E29" s="340"/>
      <c r="F29" s="351"/>
      <c r="G29" s="340"/>
      <c r="H29" s="340"/>
      <c r="I29" s="340"/>
      <c r="J29" s="340"/>
      <c r="K29" s="340"/>
      <c r="L29" s="81"/>
    </row>
    <row r="30" spans="1:12">
      <c r="A30" s="3" t="s">
        <v>16</v>
      </c>
      <c r="B30" s="130">
        <f>1603634.12+19326283.68</f>
        <v>20929917.800000001</v>
      </c>
      <c r="C30" s="322">
        <v>563674.35</v>
      </c>
      <c r="D30" s="322">
        <v>0</v>
      </c>
      <c r="E30" s="377">
        <v>0</v>
      </c>
      <c r="F30" s="130">
        <v>0</v>
      </c>
      <c r="G30" s="130">
        <v>130969.87</v>
      </c>
      <c r="H30" s="130">
        <v>0</v>
      </c>
      <c r="I30" s="130">
        <v>0</v>
      </c>
      <c r="J30" s="130">
        <v>290696.88</v>
      </c>
      <c r="K30" s="130">
        <v>0</v>
      </c>
      <c r="L30" s="81"/>
    </row>
    <row r="31" spans="1:12">
      <c r="A31" s="3" t="s">
        <v>17</v>
      </c>
      <c r="B31" s="130">
        <f>781894.54+21952996.86</f>
        <v>22734891.399999999</v>
      </c>
      <c r="C31" s="377">
        <v>2231530.66</v>
      </c>
      <c r="D31" s="377">
        <v>0</v>
      </c>
      <c r="E31" s="377">
        <v>0</v>
      </c>
      <c r="F31" s="130">
        <v>0</v>
      </c>
      <c r="G31" s="322">
        <v>0</v>
      </c>
      <c r="H31" s="130">
        <v>3876706.61</v>
      </c>
      <c r="I31" s="130">
        <v>8321089.3099999996</v>
      </c>
      <c r="J31" s="130">
        <v>90673.59</v>
      </c>
      <c r="K31" s="130">
        <f>20546.05+30431</f>
        <v>50977.05</v>
      </c>
      <c r="L31" s="81"/>
    </row>
    <row r="32" spans="1:12" s="55" customFormat="1">
      <c r="A32" s="54" t="s">
        <v>18</v>
      </c>
      <c r="B32" s="322">
        <f>223104.51+480904.06</f>
        <v>704008.57000000007</v>
      </c>
      <c r="C32" s="377">
        <v>0</v>
      </c>
      <c r="D32" s="377">
        <v>0</v>
      </c>
      <c r="E32" s="130">
        <f>226036.53+61675.45</f>
        <v>287711.98</v>
      </c>
      <c r="F32" s="322">
        <v>0</v>
      </c>
      <c r="G32" s="322">
        <v>0</v>
      </c>
      <c r="H32" s="130">
        <v>0</v>
      </c>
      <c r="I32" s="130">
        <v>0</v>
      </c>
      <c r="J32" s="130">
        <v>0</v>
      </c>
      <c r="K32" s="130">
        <v>0</v>
      </c>
      <c r="L32" s="318"/>
    </row>
    <row r="33" spans="1:12">
      <c r="A33" s="3" t="s">
        <v>19</v>
      </c>
      <c r="B33" s="130">
        <f>255833+1965144.59</f>
        <v>2220977.59</v>
      </c>
      <c r="C33" s="377">
        <v>88335.17</v>
      </c>
      <c r="D33" s="377">
        <v>0</v>
      </c>
      <c r="E33" s="377"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0">
        <v>0</v>
      </c>
      <c r="L33" s="81"/>
    </row>
    <row r="34" spans="1:12">
      <c r="A34" s="3" t="s">
        <v>20</v>
      </c>
      <c r="B34" s="130">
        <f>29411.31+1301418.42</f>
        <v>1330829.73</v>
      </c>
      <c r="C34" s="377">
        <v>0</v>
      </c>
      <c r="D34" s="377">
        <v>0</v>
      </c>
      <c r="E34" s="130">
        <f>154408.58+97515.9</f>
        <v>251924.47999999998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81"/>
    </row>
    <row r="35" spans="1:12">
      <c r="A35" s="3"/>
      <c r="B35" s="340"/>
      <c r="C35" s="346"/>
      <c r="D35" s="346"/>
      <c r="E35" s="340"/>
      <c r="F35" s="340"/>
      <c r="G35" s="340"/>
      <c r="H35" s="340"/>
      <c r="I35" s="340"/>
      <c r="J35" s="340"/>
      <c r="K35" s="340"/>
      <c r="L35" s="81"/>
    </row>
    <row r="36" spans="1:12">
      <c r="A36" s="3" t="s">
        <v>21</v>
      </c>
      <c r="B36" s="130">
        <f>51621.4+570929.22</f>
        <v>622550.62</v>
      </c>
      <c r="C36" s="377">
        <v>268323.56</v>
      </c>
      <c r="D36" s="377">
        <v>0</v>
      </c>
      <c r="E36" s="377"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0">
        <v>0</v>
      </c>
      <c r="L36" s="81"/>
    </row>
    <row r="37" spans="1:12">
      <c r="A37" s="3" t="s">
        <v>22</v>
      </c>
      <c r="B37" s="130">
        <f>911779.19+3101173.97</f>
        <v>4012953.16</v>
      </c>
      <c r="C37" s="130">
        <v>77692.100000000006</v>
      </c>
      <c r="D37" s="377">
        <v>0</v>
      </c>
      <c r="E37" s="130">
        <v>0</v>
      </c>
      <c r="F37" s="130">
        <v>0</v>
      </c>
      <c r="G37" s="130">
        <f>36918.22+151134.29</f>
        <v>188052.51</v>
      </c>
      <c r="H37" s="130">
        <v>0</v>
      </c>
      <c r="I37" s="130">
        <v>0</v>
      </c>
      <c r="J37" s="130">
        <v>0</v>
      </c>
      <c r="K37" s="130">
        <v>0</v>
      </c>
      <c r="L37" s="81"/>
    </row>
    <row r="38" spans="1:12">
      <c r="A38" s="3" t="s">
        <v>23</v>
      </c>
      <c r="B38" s="130">
        <f>1062261.05+3579162.47</f>
        <v>4641423.5200000005</v>
      </c>
      <c r="C38" s="130">
        <v>205150.63</v>
      </c>
      <c r="D38" s="377">
        <v>0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81"/>
    </row>
    <row r="39" spans="1:12">
      <c r="A39" s="12" t="s">
        <v>24</v>
      </c>
      <c r="B39" s="131">
        <v>1334499.8700000001</v>
      </c>
      <c r="C39" s="131">
        <v>0</v>
      </c>
      <c r="D39" s="397">
        <v>0</v>
      </c>
      <c r="E39" s="131">
        <v>0</v>
      </c>
      <c r="F39" s="131">
        <v>0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74"/>
    </row>
    <row r="40" spans="1:12">
      <c r="A40" s="3"/>
      <c r="B40" s="32"/>
      <c r="C40" s="32"/>
      <c r="D40" s="32"/>
      <c r="E40" s="32"/>
      <c r="F40" s="32"/>
      <c r="G40" s="32"/>
      <c r="H40" s="32"/>
      <c r="I40" s="32"/>
      <c r="J40" s="50"/>
      <c r="K40" s="50"/>
      <c r="L40" s="15"/>
    </row>
    <row r="41" spans="1:12">
      <c r="A41" s="3"/>
      <c r="B41" s="3"/>
      <c r="C41" s="3"/>
      <c r="D41" s="3"/>
      <c r="E41" s="3"/>
      <c r="F41" s="3"/>
      <c r="G41" s="3"/>
      <c r="H41" s="199"/>
      <c r="I41" s="199"/>
      <c r="J41" s="201"/>
      <c r="K41" s="201"/>
      <c r="L41" s="15"/>
    </row>
    <row r="42" spans="1:12">
      <c r="A42" s="3"/>
      <c r="B42" s="3"/>
      <c r="C42" s="3"/>
      <c r="D42" s="3"/>
      <c r="E42" s="3"/>
      <c r="F42" s="3"/>
      <c r="G42" s="3"/>
      <c r="H42" s="199"/>
      <c r="I42" s="199"/>
      <c r="J42" s="201"/>
      <c r="K42" s="201"/>
      <c r="L42" s="15"/>
    </row>
    <row r="43" spans="1:12">
      <c r="A43" s="3"/>
      <c r="B43" s="3"/>
      <c r="C43" s="3"/>
      <c r="D43" s="3"/>
      <c r="E43" s="3"/>
      <c r="F43" s="3"/>
      <c r="G43" s="3"/>
      <c r="H43" s="199"/>
      <c r="I43" s="199"/>
      <c r="J43" s="201"/>
      <c r="K43" s="201"/>
      <c r="L43" s="15"/>
    </row>
    <row r="44" spans="1:12">
      <c r="A44" s="3"/>
      <c r="B44" s="3"/>
      <c r="C44" s="3"/>
      <c r="D44" s="3"/>
      <c r="E44" s="3"/>
      <c r="F44" s="3"/>
      <c r="G44" s="3"/>
      <c r="H44" s="199"/>
      <c r="I44" s="199"/>
      <c r="J44" s="201"/>
      <c r="K44" s="201"/>
      <c r="L44" s="15"/>
    </row>
    <row r="45" spans="1:12">
      <c r="A45" s="3"/>
      <c r="B45" s="3"/>
      <c r="C45" s="3"/>
      <c r="D45" s="3"/>
      <c r="E45" s="3"/>
      <c r="F45" s="3"/>
      <c r="G45" s="3"/>
      <c r="H45" s="199"/>
      <c r="I45" s="199"/>
      <c r="J45" s="201"/>
      <c r="K45" s="201"/>
      <c r="L45" s="15"/>
    </row>
    <row r="46" spans="1:12">
      <c r="A46" s="3"/>
      <c r="B46" s="3"/>
      <c r="C46" s="3"/>
      <c r="D46" s="3"/>
      <c r="E46" s="3"/>
      <c r="F46" s="3"/>
      <c r="G46" s="3"/>
      <c r="H46" s="199"/>
      <c r="I46" s="199"/>
      <c r="J46" s="201"/>
      <c r="K46" s="201"/>
      <c r="L46" s="15"/>
    </row>
    <row r="47" spans="1:12">
      <c r="A47" s="3"/>
      <c r="B47" s="3"/>
      <c r="C47" s="3"/>
      <c r="D47" s="3"/>
      <c r="E47" s="3"/>
      <c r="F47" s="3"/>
      <c r="G47" s="3"/>
      <c r="H47" s="199"/>
      <c r="I47" s="199"/>
      <c r="J47" s="201"/>
      <c r="K47" s="201"/>
      <c r="L47" s="15"/>
    </row>
    <row r="48" spans="1:12">
      <c r="A48" s="3"/>
      <c r="B48" s="3"/>
      <c r="C48" s="3"/>
      <c r="D48" s="3"/>
      <c r="E48" s="3"/>
      <c r="F48" s="3"/>
      <c r="G48" s="3"/>
      <c r="H48" s="199"/>
      <c r="I48" s="199"/>
      <c r="J48" s="201"/>
      <c r="K48" s="201"/>
      <c r="L48" s="15"/>
    </row>
    <row r="49" spans="1:12">
      <c r="A49" s="3"/>
      <c r="B49" s="3"/>
      <c r="C49" s="3"/>
      <c r="D49" s="3"/>
      <c r="E49" s="3"/>
      <c r="F49" s="3"/>
      <c r="G49" s="3"/>
      <c r="H49" s="199"/>
      <c r="I49" s="199"/>
      <c r="J49" s="201"/>
      <c r="K49" s="201"/>
      <c r="L49" s="15"/>
    </row>
    <row r="50" spans="1:12">
      <c r="A50" s="3"/>
      <c r="B50" s="3"/>
      <c r="C50" s="3"/>
      <c r="D50" s="3"/>
      <c r="E50" s="3"/>
      <c r="F50" s="3"/>
      <c r="G50" s="3"/>
      <c r="H50" s="199"/>
      <c r="I50" s="199"/>
      <c r="J50" s="201"/>
      <c r="K50" s="201"/>
      <c r="L50" s="15"/>
    </row>
    <row r="51" spans="1:12">
      <c r="A51" s="3"/>
      <c r="B51" s="3"/>
      <c r="C51" s="3"/>
      <c r="D51" s="3"/>
      <c r="E51" s="3"/>
      <c r="F51" s="3"/>
      <c r="G51" s="3"/>
      <c r="H51" s="199"/>
      <c r="I51" s="199"/>
      <c r="J51" s="201"/>
      <c r="K51" s="201"/>
      <c r="L51" s="15"/>
    </row>
    <row r="52" spans="1:12">
      <c r="A52" s="3"/>
      <c r="B52" s="3"/>
      <c r="C52" s="3"/>
      <c r="D52" s="3"/>
      <c r="E52" s="3"/>
      <c r="F52" s="3"/>
      <c r="G52" s="3"/>
      <c r="H52" s="199"/>
      <c r="I52" s="199"/>
      <c r="J52" s="201"/>
      <c r="K52" s="201"/>
      <c r="L52" s="15"/>
    </row>
    <row r="53" spans="1:12">
      <c r="A53" s="3"/>
      <c r="B53" s="3"/>
      <c r="C53" s="3"/>
      <c r="D53" s="3"/>
      <c r="E53" s="3"/>
      <c r="F53" s="3"/>
      <c r="G53" s="3"/>
      <c r="H53" s="199"/>
      <c r="I53" s="199"/>
      <c r="J53" s="201"/>
      <c r="K53" s="201"/>
      <c r="L53" s="15"/>
    </row>
    <row r="54" spans="1:12">
      <c r="A54" s="3"/>
      <c r="B54" s="3"/>
      <c r="C54" s="3"/>
      <c r="D54" s="3"/>
      <c r="E54" s="3"/>
      <c r="F54" s="3"/>
      <c r="G54" s="3"/>
      <c r="H54" s="199"/>
      <c r="I54" s="199"/>
      <c r="J54" s="201"/>
      <c r="K54" s="201"/>
      <c r="L54" s="15"/>
    </row>
    <row r="55" spans="1:12">
      <c r="A55" s="3"/>
      <c r="B55" s="3"/>
      <c r="C55" s="3"/>
      <c r="D55" s="3"/>
      <c r="E55" s="3"/>
      <c r="F55" s="3"/>
      <c r="G55" s="3"/>
      <c r="H55" s="199"/>
      <c r="I55" s="199"/>
      <c r="J55" s="201"/>
      <c r="K55" s="201"/>
      <c r="L55" s="15"/>
    </row>
    <row r="56" spans="1:12">
      <c r="A56" s="3"/>
      <c r="B56" s="3"/>
      <c r="C56" s="3"/>
      <c r="D56" s="3"/>
      <c r="E56" s="3"/>
      <c r="F56" s="3"/>
      <c r="G56" s="3"/>
      <c r="H56" s="199"/>
      <c r="I56" s="199"/>
      <c r="J56" s="201"/>
      <c r="K56" s="201"/>
      <c r="L56" s="15"/>
    </row>
    <row r="57" spans="1:12">
      <c r="A57" s="3"/>
      <c r="B57" s="3"/>
      <c r="C57" s="3"/>
      <c r="D57" s="3"/>
      <c r="E57" s="3"/>
      <c r="F57" s="3"/>
      <c r="G57" s="3"/>
      <c r="H57" s="199"/>
      <c r="I57" s="199"/>
      <c r="J57" s="201"/>
      <c r="K57" s="201"/>
      <c r="L57" s="15"/>
    </row>
    <row r="58" spans="1:12">
      <c r="A58" s="3"/>
      <c r="B58" s="3"/>
      <c r="C58" s="3"/>
      <c r="D58" s="3"/>
      <c r="E58" s="3"/>
      <c r="F58" s="3"/>
      <c r="G58" s="3"/>
      <c r="H58" s="199"/>
      <c r="I58" s="199"/>
      <c r="J58" s="201"/>
      <c r="K58" s="201"/>
      <c r="L58" s="15"/>
    </row>
    <row r="59" spans="1:12">
      <c r="A59" s="3"/>
      <c r="B59" s="3"/>
      <c r="C59" s="3"/>
      <c r="D59" s="3"/>
      <c r="E59" s="3"/>
      <c r="F59" s="3"/>
      <c r="G59" s="3"/>
      <c r="H59" s="199"/>
      <c r="I59" s="199"/>
      <c r="J59" s="201"/>
      <c r="K59" s="201"/>
      <c r="L59" s="15"/>
    </row>
    <row r="60" spans="1:12">
      <c r="A60" s="3"/>
      <c r="B60" s="3"/>
      <c r="C60" s="3"/>
      <c r="D60" s="3"/>
      <c r="E60" s="3"/>
      <c r="F60" s="3"/>
      <c r="G60" s="3"/>
      <c r="H60" s="199"/>
      <c r="I60" s="199"/>
      <c r="J60" s="201"/>
      <c r="K60" s="201"/>
    </row>
    <row r="61" spans="1:12">
      <c r="A61" s="3"/>
      <c r="B61" s="3"/>
      <c r="C61" s="3"/>
      <c r="D61" s="3"/>
      <c r="E61" s="3"/>
      <c r="F61" s="3"/>
      <c r="G61" s="3"/>
      <c r="H61" s="199"/>
      <c r="I61" s="199"/>
    </row>
    <row r="62" spans="1:12">
      <c r="A62" s="3"/>
      <c r="B62" s="3"/>
      <c r="C62" s="3"/>
      <c r="D62" s="3"/>
      <c r="E62" s="3"/>
      <c r="F62" s="3"/>
      <c r="G62" s="3"/>
      <c r="H62" s="199"/>
      <c r="I62" s="199"/>
    </row>
    <row r="63" spans="1:12">
      <c r="A63" s="3"/>
      <c r="B63" s="3"/>
      <c r="C63" s="3"/>
      <c r="D63" s="3"/>
      <c r="E63" s="3"/>
      <c r="F63" s="3"/>
      <c r="G63" s="3"/>
      <c r="H63" s="199"/>
      <c r="I63" s="199"/>
    </row>
    <row r="64" spans="1:12">
      <c r="A64" s="3"/>
      <c r="B64" s="3"/>
      <c r="C64" s="3"/>
      <c r="D64" s="3"/>
      <c r="E64" s="3"/>
      <c r="F64" s="3"/>
      <c r="G64" s="3"/>
      <c r="H64" s="199"/>
      <c r="I64" s="199"/>
    </row>
    <row r="65" spans="1:9">
      <c r="A65" s="3"/>
      <c r="B65" s="3"/>
      <c r="C65" s="3"/>
      <c r="D65" s="3"/>
      <c r="E65" s="3"/>
      <c r="F65" s="3"/>
      <c r="G65" s="3"/>
      <c r="H65" s="199"/>
      <c r="I65" s="199"/>
    </row>
    <row r="66" spans="1:9">
      <c r="A66" s="3"/>
      <c r="B66" s="3"/>
      <c r="C66" s="3"/>
      <c r="D66" s="3"/>
      <c r="E66" s="3"/>
      <c r="F66" s="3"/>
      <c r="G66" s="3"/>
      <c r="H66" s="199"/>
      <c r="I66" s="199"/>
    </row>
    <row r="67" spans="1:9">
      <c r="A67" s="3"/>
      <c r="B67" s="3"/>
      <c r="C67" s="3"/>
      <c r="D67" s="3"/>
      <c r="E67" s="3"/>
      <c r="F67" s="3"/>
      <c r="G67" s="3"/>
      <c r="H67" s="199"/>
      <c r="I67" s="199"/>
    </row>
    <row r="68" spans="1:9">
      <c r="A68" s="3"/>
      <c r="B68" s="3"/>
      <c r="C68" s="3"/>
      <c r="D68" s="3"/>
      <c r="E68" s="3"/>
      <c r="F68" s="3"/>
      <c r="G68" s="3"/>
      <c r="H68" s="199"/>
      <c r="I68" s="199"/>
    </row>
    <row r="69" spans="1:9">
      <c r="A69" s="3"/>
      <c r="B69" s="3"/>
      <c r="C69" s="3"/>
      <c r="D69" s="3"/>
      <c r="E69" s="3"/>
      <c r="F69" s="3"/>
      <c r="G69" s="3"/>
      <c r="H69" s="199"/>
      <c r="I69" s="199"/>
    </row>
    <row r="70" spans="1:9">
      <c r="A70" s="3"/>
      <c r="B70" s="3"/>
      <c r="C70" s="3"/>
      <c r="D70" s="3"/>
      <c r="E70" s="3"/>
      <c r="F70" s="3"/>
      <c r="G70" s="3"/>
      <c r="H70" s="199"/>
      <c r="I70" s="199"/>
    </row>
    <row r="71" spans="1:9">
      <c r="A71" s="3"/>
      <c r="B71" s="3"/>
      <c r="C71" s="3"/>
      <c r="D71" s="3"/>
      <c r="E71" s="3"/>
      <c r="F71" s="3"/>
      <c r="G71" s="3"/>
      <c r="H71" s="199"/>
      <c r="I71" s="199"/>
    </row>
    <row r="72" spans="1:9">
      <c r="A72" s="3"/>
      <c r="B72" s="3"/>
      <c r="C72" s="3"/>
      <c r="D72" s="3"/>
      <c r="E72" s="3"/>
      <c r="F72" s="3"/>
      <c r="G72" s="3"/>
      <c r="H72" s="199"/>
      <c r="I72" s="199"/>
    </row>
    <row r="73" spans="1:9">
      <c r="A73" s="3"/>
      <c r="B73" s="3"/>
      <c r="C73" s="3"/>
      <c r="D73" s="3"/>
      <c r="E73" s="3"/>
      <c r="F73" s="3"/>
      <c r="G73" s="3"/>
      <c r="H73" s="199"/>
      <c r="I73" s="199"/>
    </row>
    <row r="74" spans="1:9">
      <c r="A74" s="3"/>
      <c r="B74" s="3"/>
      <c r="C74" s="3"/>
      <c r="D74" s="3"/>
      <c r="E74" s="3"/>
      <c r="F74" s="3"/>
      <c r="G74" s="3"/>
      <c r="H74" s="199"/>
      <c r="I74" s="199"/>
    </row>
    <row r="75" spans="1:9">
      <c r="A75" s="3"/>
      <c r="B75" s="3"/>
      <c r="C75" s="3"/>
      <c r="D75" s="3"/>
      <c r="E75" s="3"/>
      <c r="F75" s="3"/>
      <c r="G75" s="3"/>
      <c r="H75" s="199"/>
      <c r="I75" s="199"/>
    </row>
    <row r="76" spans="1:9">
      <c r="A76" s="3"/>
      <c r="B76" s="3"/>
      <c r="C76" s="3"/>
      <c r="D76" s="3"/>
      <c r="E76" s="3"/>
      <c r="F76" s="3"/>
      <c r="G76" s="3"/>
      <c r="H76" s="199"/>
      <c r="I76" s="199"/>
    </row>
    <row r="77" spans="1:9">
      <c r="A77" s="3"/>
      <c r="B77" s="3"/>
      <c r="C77" s="3"/>
      <c r="D77" s="3"/>
      <c r="E77" s="3"/>
      <c r="F77" s="3"/>
      <c r="G77" s="3"/>
      <c r="H77" s="199"/>
      <c r="I77" s="199"/>
    </row>
    <row r="78" spans="1:9">
      <c r="A78" s="3"/>
      <c r="B78" s="3"/>
      <c r="C78" s="3"/>
      <c r="D78" s="3"/>
      <c r="E78" s="3"/>
      <c r="F78" s="3"/>
      <c r="G78" s="3"/>
      <c r="H78" s="199"/>
      <c r="I78" s="199"/>
    </row>
    <row r="79" spans="1:9">
      <c r="A79" s="3"/>
      <c r="B79" s="3"/>
      <c r="C79" s="3"/>
      <c r="D79" s="3"/>
      <c r="E79" s="3"/>
      <c r="F79" s="3"/>
      <c r="G79" s="3"/>
      <c r="H79" s="199"/>
      <c r="I79" s="199"/>
    </row>
  </sheetData>
  <sheetProtection password="CAF5" sheet="1" objects="1" scenarios="1"/>
  <mergeCells count="7">
    <mergeCell ref="I8:I9"/>
    <mergeCell ref="A1:L1"/>
    <mergeCell ref="A3:L3"/>
    <mergeCell ref="H7:H9"/>
    <mergeCell ref="C7:C9"/>
    <mergeCell ref="D7:D9"/>
    <mergeCell ref="B6:I6"/>
  </mergeCells>
  <phoneticPr fontId="0" type="noConversion"/>
  <printOptions horizontalCentered="1"/>
  <pageMargins left="0.87" right="0.32" top="0.83" bottom="1" header="0.67" footer="0.5"/>
  <pageSetup scale="73" orientation="landscape" r:id="rId1"/>
  <headerFooter alignWithMargins="0">
    <oddHeader xml:space="preserve">&amp;R
</oddHeader>
    <oddFooter>&amp;L&amp;"Arial,Italic"&amp;9MSDE - LFRO  12/ 2013&amp;C- 13 -&amp;R&amp;"Arial,Italic"&amp;9Selected Financial Data-Part 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Normal="100" workbookViewId="0">
      <selection sqref="A1:J1"/>
    </sheetView>
  </sheetViews>
  <sheetFormatPr defaultRowHeight="12.75"/>
  <cols>
    <col min="1" max="3" width="14.42578125" customWidth="1"/>
    <col min="4" max="5" width="17" style="224" customWidth="1"/>
    <col min="6" max="6" width="14.85546875" style="224" bestFit="1" customWidth="1"/>
    <col min="7" max="7" width="13.85546875" style="224" bestFit="1" customWidth="1"/>
    <col min="8" max="9" width="13.85546875" style="224" customWidth="1"/>
    <col min="10" max="10" width="15" style="224" bestFit="1" customWidth="1"/>
    <col min="11" max="11" width="16.28515625" customWidth="1"/>
  </cols>
  <sheetData>
    <row r="1" spans="1:11">
      <c r="A1" s="500" t="s">
        <v>119</v>
      </c>
      <c r="B1" s="500"/>
      <c r="C1" s="500"/>
      <c r="D1" s="500"/>
      <c r="E1" s="500"/>
      <c r="F1" s="500"/>
      <c r="G1" s="500"/>
      <c r="H1" s="500"/>
      <c r="I1" s="500"/>
      <c r="J1" s="500"/>
    </row>
    <row r="2" spans="1:11">
      <c r="A2" s="3"/>
      <c r="B2" s="3"/>
      <c r="C2" s="3"/>
      <c r="D2" s="199"/>
      <c r="E2" s="199"/>
    </row>
    <row r="3" spans="1:11">
      <c r="A3" s="506" t="s">
        <v>289</v>
      </c>
      <c r="B3" s="507"/>
      <c r="C3" s="507"/>
      <c r="D3" s="500"/>
      <c r="E3" s="500"/>
      <c r="F3" s="500"/>
      <c r="G3" s="500"/>
      <c r="H3" s="500"/>
      <c r="I3" s="500"/>
      <c r="J3" s="500"/>
    </row>
    <row r="4" spans="1:11" ht="13.5" thickBot="1">
      <c r="A4" s="3"/>
      <c r="B4" s="11"/>
      <c r="C4" s="11"/>
      <c r="D4" s="219"/>
      <c r="E4" s="219"/>
      <c r="F4" s="219"/>
      <c r="G4" s="219"/>
      <c r="H4" s="219"/>
      <c r="I4" s="219"/>
      <c r="J4" s="219"/>
    </row>
    <row r="5" spans="1:11" ht="15" customHeight="1" thickTop="1">
      <c r="A5" s="6"/>
      <c r="B5" s="526" t="s">
        <v>56</v>
      </c>
      <c r="C5" s="526"/>
      <c r="D5" s="526"/>
      <c r="E5" s="526"/>
      <c r="F5" s="529" t="s">
        <v>74</v>
      </c>
      <c r="G5" s="525"/>
      <c r="H5" s="530"/>
      <c r="I5" s="531" t="s">
        <v>249</v>
      </c>
      <c r="J5" s="527" t="s">
        <v>176</v>
      </c>
    </row>
    <row r="6" spans="1:11" ht="12.75" customHeight="1">
      <c r="A6" s="3"/>
      <c r="B6" s="296" t="s">
        <v>178</v>
      </c>
      <c r="C6" s="297"/>
      <c r="D6" s="298"/>
      <c r="E6" s="523" t="s">
        <v>189</v>
      </c>
      <c r="F6" s="295" t="s">
        <v>71</v>
      </c>
      <c r="G6" s="523" t="s">
        <v>239</v>
      </c>
      <c r="H6" s="301"/>
      <c r="I6" s="532"/>
      <c r="J6" s="510"/>
    </row>
    <row r="7" spans="1:11" ht="12.75" customHeight="1">
      <c r="A7" s="3" t="s">
        <v>77</v>
      </c>
      <c r="B7" s="518" t="s">
        <v>179</v>
      </c>
      <c r="C7" s="216" t="s">
        <v>137</v>
      </c>
      <c r="D7" s="216" t="s">
        <v>180</v>
      </c>
      <c r="E7" s="518"/>
      <c r="F7" s="299" t="s">
        <v>34</v>
      </c>
      <c r="G7" s="484"/>
      <c r="H7" s="302" t="s">
        <v>72</v>
      </c>
      <c r="I7" s="532"/>
      <c r="J7" s="510"/>
    </row>
    <row r="8" spans="1:11" ht="12.75" customHeight="1">
      <c r="A8" s="3" t="s">
        <v>33</v>
      </c>
      <c r="B8" s="518"/>
      <c r="C8" s="216" t="s">
        <v>135</v>
      </c>
      <c r="D8" s="216" t="s">
        <v>181</v>
      </c>
      <c r="E8" s="518"/>
      <c r="F8" s="299" t="s">
        <v>76</v>
      </c>
      <c r="G8" s="484"/>
      <c r="H8" s="302" t="s">
        <v>143</v>
      </c>
      <c r="I8" s="532"/>
      <c r="J8" s="510"/>
    </row>
    <row r="9" spans="1:11" ht="13.5" thickBot="1">
      <c r="A9" s="7" t="s">
        <v>132</v>
      </c>
      <c r="B9" s="525"/>
      <c r="C9" s="292" t="s">
        <v>33</v>
      </c>
      <c r="D9" s="292"/>
      <c r="E9" s="525"/>
      <c r="F9" s="300" t="s">
        <v>70</v>
      </c>
      <c r="G9" s="524"/>
      <c r="H9" s="303" t="s">
        <v>73</v>
      </c>
      <c r="I9" s="533"/>
      <c r="J9" s="528"/>
    </row>
    <row r="10" spans="1:11" s="305" customFormat="1">
      <c r="A10" s="289" t="s">
        <v>0</v>
      </c>
      <c r="B10" s="227">
        <f t="shared" ref="B10:J10" si="0">SUM(B12:B39)</f>
        <v>826859.70000000007</v>
      </c>
      <c r="C10" s="227">
        <f t="shared" si="0"/>
        <v>30110.400000000001</v>
      </c>
      <c r="D10" s="227">
        <f t="shared" si="0"/>
        <v>0</v>
      </c>
      <c r="E10" s="227">
        <f t="shared" si="0"/>
        <v>0</v>
      </c>
      <c r="F10" s="227">
        <f t="shared" si="0"/>
        <v>200005571.34</v>
      </c>
      <c r="G10" s="227">
        <f t="shared" si="0"/>
        <v>0</v>
      </c>
      <c r="H10" s="227">
        <f t="shared" si="0"/>
        <v>19158651.850000001</v>
      </c>
      <c r="I10" s="227">
        <f t="shared" si="0"/>
        <v>738495.22</v>
      </c>
      <c r="J10" s="304">
        <f t="shared" si="0"/>
        <v>33854420.380000003</v>
      </c>
    </row>
    <row r="11" spans="1:11" ht="15">
      <c r="A11" s="3"/>
      <c r="B11" s="198"/>
      <c r="C11" s="222"/>
      <c r="D11" s="222"/>
      <c r="E11" s="222"/>
      <c r="F11" s="228"/>
      <c r="G11" s="434"/>
      <c r="H11" s="228"/>
      <c r="I11" s="222"/>
      <c r="J11" s="228"/>
    </row>
    <row r="12" spans="1:11">
      <c r="A12" s="3" t="s">
        <v>1</v>
      </c>
      <c r="B12" s="130">
        <v>305229.44</v>
      </c>
      <c r="C12" s="130">
        <v>0</v>
      </c>
      <c r="D12" s="130">
        <v>0</v>
      </c>
      <c r="E12" s="322">
        <v>0</v>
      </c>
      <c r="F12" s="321">
        <v>2731724.67</v>
      </c>
      <c r="G12" s="130">
        <v>0</v>
      </c>
      <c r="H12" s="321">
        <v>274887.92</v>
      </c>
      <c r="I12" s="393">
        <v>9816.57</v>
      </c>
      <c r="J12" s="130">
        <v>662276.17000000004</v>
      </c>
      <c r="K12" s="34"/>
    </row>
    <row r="13" spans="1:11">
      <c r="A13" s="3" t="s">
        <v>2</v>
      </c>
      <c r="B13" s="130">
        <v>32768.67</v>
      </c>
      <c r="C13" s="130">
        <v>0</v>
      </c>
      <c r="D13" s="130">
        <v>0</v>
      </c>
      <c r="E13" s="322">
        <v>0</v>
      </c>
      <c r="F13" s="321">
        <v>12350154</v>
      </c>
      <c r="G13" s="130">
        <v>0</v>
      </c>
      <c r="H13" s="130">
        <v>991198</v>
      </c>
      <c r="I13" s="393">
        <v>0</v>
      </c>
      <c r="J13" s="129">
        <v>2082746.17</v>
      </c>
      <c r="K13" s="34"/>
    </row>
    <row r="14" spans="1:11" s="23" customFormat="1">
      <c r="A14" s="32" t="s">
        <v>3</v>
      </c>
      <c r="B14" s="130">
        <v>63530.15</v>
      </c>
      <c r="C14" s="129">
        <v>0</v>
      </c>
      <c r="D14" s="129">
        <v>0</v>
      </c>
      <c r="E14" s="130">
        <v>0</v>
      </c>
      <c r="F14" s="321">
        <v>37902383.619999997</v>
      </c>
      <c r="G14" s="130">
        <v>0</v>
      </c>
      <c r="H14" s="130">
        <v>0</v>
      </c>
      <c r="I14" s="393">
        <v>0</v>
      </c>
      <c r="J14" s="129">
        <v>8087794.6500000004</v>
      </c>
    </row>
    <row r="15" spans="1:11">
      <c r="A15" s="3" t="s">
        <v>4</v>
      </c>
      <c r="B15" s="130">
        <v>0</v>
      </c>
      <c r="C15" s="130">
        <v>0</v>
      </c>
      <c r="D15" s="130">
        <v>0</v>
      </c>
      <c r="E15" s="130">
        <v>0</v>
      </c>
      <c r="F15" s="321">
        <v>25953741</v>
      </c>
      <c r="G15" s="130">
        <v>0</v>
      </c>
      <c r="H15" s="321">
        <v>2239074</v>
      </c>
      <c r="I15" s="393">
        <v>0</v>
      </c>
      <c r="J15" s="130">
        <v>3777715.42</v>
      </c>
      <c r="K15" s="34"/>
    </row>
    <row r="16" spans="1:11">
      <c r="A16" s="3" t="s">
        <v>5</v>
      </c>
      <c r="B16" s="130">
        <v>0</v>
      </c>
      <c r="C16" s="130">
        <v>0</v>
      </c>
      <c r="D16" s="130">
        <v>0</v>
      </c>
      <c r="E16" s="130">
        <v>0</v>
      </c>
      <c r="F16" s="321">
        <v>1537298</v>
      </c>
      <c r="G16" s="130">
        <v>0</v>
      </c>
      <c r="H16" s="321">
        <v>215766</v>
      </c>
      <c r="I16" s="393">
        <v>0</v>
      </c>
      <c r="J16" s="130">
        <v>409301.25</v>
      </c>
      <c r="K16" s="34"/>
    </row>
    <row r="17" spans="1:11">
      <c r="A17" s="3"/>
      <c r="B17" s="340"/>
      <c r="C17" s="340"/>
      <c r="D17" s="340"/>
      <c r="E17" s="340"/>
      <c r="F17" s="335"/>
      <c r="G17" s="335"/>
      <c r="H17" s="335"/>
      <c r="I17" s="352"/>
      <c r="J17" s="340"/>
      <c r="K17" s="34"/>
    </row>
    <row r="18" spans="1:11">
      <c r="A18" s="3" t="s">
        <v>6</v>
      </c>
      <c r="B18" s="130">
        <v>0</v>
      </c>
      <c r="C18" s="130">
        <v>0</v>
      </c>
      <c r="D18" s="130">
        <v>0</v>
      </c>
      <c r="E18" s="130">
        <v>0</v>
      </c>
      <c r="F18" s="321">
        <v>1909928.65</v>
      </c>
      <c r="G18" s="130">
        <v>0</v>
      </c>
      <c r="H18" s="130">
        <v>0</v>
      </c>
      <c r="I18" s="393">
        <v>93140.47</v>
      </c>
      <c r="J18" s="130">
        <v>228187.24</v>
      </c>
      <c r="K18" s="34"/>
    </row>
    <row r="19" spans="1:11">
      <c r="A19" s="3" t="s">
        <v>7</v>
      </c>
      <c r="B19" s="130">
        <v>0</v>
      </c>
      <c r="C19" s="130">
        <v>0</v>
      </c>
      <c r="D19" s="130">
        <v>0</v>
      </c>
      <c r="E19" s="130">
        <v>0</v>
      </c>
      <c r="F19" s="321">
        <v>2457404.5499999998</v>
      </c>
      <c r="G19" s="130">
        <v>0</v>
      </c>
      <c r="H19" s="321">
        <v>407462.95</v>
      </c>
      <c r="I19" s="393">
        <v>0</v>
      </c>
      <c r="J19" s="130">
        <v>566862.13</v>
      </c>
      <c r="K19" s="34"/>
    </row>
    <row r="20" spans="1:11">
      <c r="A20" s="3" t="s">
        <v>8</v>
      </c>
      <c r="B20" s="130">
        <v>60581.29</v>
      </c>
      <c r="C20" s="130">
        <v>0</v>
      </c>
      <c r="D20" s="130">
        <v>0</v>
      </c>
      <c r="E20" s="130">
        <v>0</v>
      </c>
      <c r="F20" s="321">
        <f>3476237.72+6002.94</f>
        <v>3482240.66</v>
      </c>
      <c r="G20" s="130">
        <v>0</v>
      </c>
      <c r="H20" s="321">
        <v>289901.96999999997</v>
      </c>
      <c r="I20" s="393">
        <v>0</v>
      </c>
      <c r="J20" s="130">
        <v>605824.85</v>
      </c>
      <c r="K20" s="34"/>
    </row>
    <row r="21" spans="1:11">
      <c r="A21" s="3" t="s">
        <v>9</v>
      </c>
      <c r="B21" s="130">
        <v>67833.820000000007</v>
      </c>
      <c r="C21" s="129">
        <v>5885.4</v>
      </c>
      <c r="D21" s="129">
        <v>0</v>
      </c>
      <c r="E21" s="130">
        <v>0</v>
      </c>
      <c r="F21" s="321">
        <v>5204229.46</v>
      </c>
      <c r="G21" s="130">
        <v>0</v>
      </c>
      <c r="H21" s="321">
        <v>576153.19999999995</v>
      </c>
      <c r="I21" s="393">
        <v>0</v>
      </c>
      <c r="J21" s="130">
        <v>798235.65</v>
      </c>
      <c r="K21" s="34"/>
    </row>
    <row r="22" spans="1:11">
      <c r="A22" s="3" t="s">
        <v>10</v>
      </c>
      <c r="B22" s="130">
        <v>0</v>
      </c>
      <c r="C22" s="130">
        <v>0</v>
      </c>
      <c r="D22" s="130">
        <v>0</v>
      </c>
      <c r="E22" s="130">
        <v>0</v>
      </c>
      <c r="F22" s="321">
        <v>1819163</v>
      </c>
      <c r="G22" s="130">
        <v>0</v>
      </c>
      <c r="H22" s="321">
        <v>119427</v>
      </c>
      <c r="I22" s="393">
        <v>0</v>
      </c>
      <c r="J22" s="130">
        <v>325410.59000000003</v>
      </c>
      <c r="K22" s="34"/>
    </row>
    <row r="23" spans="1:11">
      <c r="A23" s="3"/>
      <c r="B23" s="340"/>
      <c r="C23" s="340"/>
      <c r="D23" s="340"/>
      <c r="E23" s="340"/>
      <c r="F23" s="335"/>
      <c r="G23" s="335"/>
      <c r="H23" s="335"/>
      <c r="I23" s="352"/>
      <c r="J23" s="340"/>
      <c r="K23" s="34"/>
    </row>
    <row r="24" spans="1:11">
      <c r="A24" s="3" t="s">
        <v>11</v>
      </c>
      <c r="B24" s="130">
        <v>0</v>
      </c>
      <c r="C24" s="130">
        <v>0</v>
      </c>
      <c r="D24" s="130">
        <v>0</v>
      </c>
      <c r="E24" s="130">
        <v>0</v>
      </c>
      <c r="F24" s="321">
        <v>0</v>
      </c>
      <c r="G24" s="130">
        <v>0</v>
      </c>
      <c r="H24" s="321">
        <v>5444010</v>
      </c>
      <c r="I24" s="393">
        <v>0</v>
      </c>
      <c r="J24" s="130">
        <v>813118.74</v>
      </c>
      <c r="K24" s="34"/>
    </row>
    <row r="25" spans="1:11">
      <c r="A25" s="3" t="s">
        <v>12</v>
      </c>
      <c r="B25" s="130">
        <v>0</v>
      </c>
      <c r="C25" s="130">
        <v>0</v>
      </c>
      <c r="D25" s="130">
        <v>0</v>
      </c>
      <c r="E25" s="130">
        <v>0</v>
      </c>
      <c r="F25" s="321">
        <v>1256671</v>
      </c>
      <c r="G25" s="130">
        <v>0</v>
      </c>
      <c r="H25" s="321">
        <v>99531</v>
      </c>
      <c r="I25" s="393">
        <v>0</v>
      </c>
      <c r="J25" s="130">
        <v>303301.07</v>
      </c>
      <c r="K25" s="34"/>
    </row>
    <row r="26" spans="1:11">
      <c r="A26" s="3" t="s">
        <v>13</v>
      </c>
      <c r="B26" s="130">
        <v>0</v>
      </c>
      <c r="C26" s="130">
        <v>0</v>
      </c>
      <c r="D26" s="130">
        <v>0</v>
      </c>
      <c r="E26" s="130">
        <v>0</v>
      </c>
      <c r="F26" s="321">
        <v>6790184</v>
      </c>
      <c r="G26" s="130">
        <v>0</v>
      </c>
      <c r="H26" s="321">
        <v>883174</v>
      </c>
      <c r="I26" s="393">
        <v>0</v>
      </c>
      <c r="J26" s="130">
        <v>1073568.46</v>
      </c>
      <c r="K26" s="34"/>
    </row>
    <row r="27" spans="1:11">
      <c r="A27" s="3" t="s">
        <v>14</v>
      </c>
      <c r="B27" s="322">
        <v>12175.68</v>
      </c>
      <c r="C27" s="130">
        <v>0</v>
      </c>
      <c r="D27" s="130">
        <v>0</v>
      </c>
      <c r="E27" s="130">
        <v>0</v>
      </c>
      <c r="F27" s="321">
        <v>4841916</v>
      </c>
      <c r="G27" s="130">
        <v>0</v>
      </c>
      <c r="H27" s="321">
        <v>735552</v>
      </c>
      <c r="I27" s="393">
        <v>119723.31</v>
      </c>
      <c r="J27" s="130">
        <v>1333490.6399999999</v>
      </c>
      <c r="K27" s="34"/>
    </row>
    <row r="28" spans="1:11">
      <c r="A28" s="3" t="s">
        <v>15</v>
      </c>
      <c r="B28" s="130">
        <v>0</v>
      </c>
      <c r="C28" s="130">
        <v>0</v>
      </c>
      <c r="D28" s="130">
        <v>0</v>
      </c>
      <c r="E28" s="130">
        <v>0</v>
      </c>
      <c r="F28" s="321">
        <v>799688</v>
      </c>
      <c r="G28" s="130">
        <v>0</v>
      </c>
      <c r="H28" s="321">
        <v>60886</v>
      </c>
      <c r="I28" s="393">
        <v>107174.08</v>
      </c>
      <c r="J28" s="130">
        <v>133397.76000000001</v>
      </c>
      <c r="K28" s="34"/>
    </row>
    <row r="29" spans="1:11">
      <c r="A29" s="3"/>
      <c r="B29" s="340"/>
      <c r="C29" s="340"/>
      <c r="D29" s="340"/>
      <c r="E29" s="340"/>
      <c r="F29" s="335"/>
      <c r="G29" s="335"/>
      <c r="H29" s="335"/>
      <c r="I29" s="352"/>
      <c r="J29" s="340"/>
      <c r="K29" s="34"/>
    </row>
    <row r="30" spans="1:11">
      <c r="A30" s="3" t="s">
        <v>16</v>
      </c>
      <c r="B30" s="130">
        <v>0</v>
      </c>
      <c r="C30" s="129">
        <v>24225</v>
      </c>
      <c r="D30" s="129">
        <v>0</v>
      </c>
      <c r="E30" s="130">
        <v>0</v>
      </c>
      <c r="F30" s="321">
        <v>29210879</v>
      </c>
      <c r="G30" s="130">
        <v>0</v>
      </c>
      <c r="H30" s="321">
        <v>2536630</v>
      </c>
      <c r="I30" s="393">
        <v>0</v>
      </c>
      <c r="J30" s="130">
        <v>3928900.4</v>
      </c>
      <c r="K30" s="34"/>
    </row>
    <row r="31" spans="1:11">
      <c r="A31" s="3" t="s">
        <v>17</v>
      </c>
      <c r="B31" s="130">
        <v>0</v>
      </c>
      <c r="C31" s="129">
        <v>0</v>
      </c>
      <c r="D31" s="129">
        <v>0</v>
      </c>
      <c r="E31" s="130">
        <v>0</v>
      </c>
      <c r="F31" s="321">
        <v>42789086</v>
      </c>
      <c r="G31" s="130">
        <v>0</v>
      </c>
      <c r="H31" s="321">
        <v>2799338</v>
      </c>
      <c r="I31" s="393">
        <v>0</v>
      </c>
      <c r="J31" s="130">
        <v>4208229.04</v>
      </c>
      <c r="K31" s="34"/>
    </row>
    <row r="32" spans="1:11" s="55" customFormat="1">
      <c r="A32" s="54" t="s">
        <v>18</v>
      </c>
      <c r="B32" s="130">
        <v>10389.06</v>
      </c>
      <c r="C32" s="130">
        <v>0</v>
      </c>
      <c r="D32" s="130">
        <v>0</v>
      </c>
      <c r="E32" s="130">
        <v>0</v>
      </c>
      <c r="F32" s="321">
        <v>952133.35</v>
      </c>
      <c r="G32" s="130">
        <v>0</v>
      </c>
      <c r="H32" s="130">
        <v>0</v>
      </c>
      <c r="I32" s="393">
        <v>132258.91</v>
      </c>
      <c r="J32" s="130">
        <v>244985.55</v>
      </c>
      <c r="K32" s="318"/>
    </row>
    <row r="33" spans="1:11">
      <c r="A33" s="3" t="s">
        <v>19</v>
      </c>
      <c r="B33" s="130">
        <v>0</v>
      </c>
      <c r="C33" s="130">
        <v>0</v>
      </c>
      <c r="D33" s="130">
        <v>0</v>
      </c>
      <c r="E33" s="130">
        <v>0</v>
      </c>
      <c r="F33" s="321">
        <v>3120700.94</v>
      </c>
      <c r="G33" s="130">
        <v>0</v>
      </c>
      <c r="H33" s="321">
        <v>390801.52</v>
      </c>
      <c r="I33" s="393">
        <v>0</v>
      </c>
      <c r="J33" s="130">
        <v>514604.41</v>
      </c>
      <c r="K33" s="34"/>
    </row>
    <row r="34" spans="1:11">
      <c r="A34" s="3" t="s">
        <v>20</v>
      </c>
      <c r="B34" s="130">
        <v>5176.68</v>
      </c>
      <c r="C34" s="130">
        <v>0</v>
      </c>
      <c r="D34" s="130">
        <v>0</v>
      </c>
      <c r="E34" s="130">
        <v>0</v>
      </c>
      <c r="F34" s="321">
        <v>1190191</v>
      </c>
      <c r="G34" s="130">
        <v>0</v>
      </c>
      <c r="H34" s="130">
        <v>67826</v>
      </c>
      <c r="I34" s="393">
        <v>0</v>
      </c>
      <c r="J34" s="130">
        <f>227682+1998</f>
        <v>229680</v>
      </c>
      <c r="K34" s="34"/>
    </row>
    <row r="35" spans="1:11">
      <c r="A35" s="3"/>
      <c r="B35" s="340"/>
      <c r="C35" s="340"/>
      <c r="D35" s="340"/>
      <c r="E35" s="340"/>
      <c r="F35" s="335"/>
      <c r="G35" s="335"/>
      <c r="H35" s="335"/>
      <c r="I35" s="352"/>
      <c r="J35" s="340"/>
      <c r="K35" s="34"/>
    </row>
    <row r="36" spans="1:11">
      <c r="A36" s="3" t="s">
        <v>21</v>
      </c>
      <c r="B36" s="130">
        <v>0</v>
      </c>
      <c r="C36" s="130">
        <v>0</v>
      </c>
      <c r="D36" s="130">
        <v>0</v>
      </c>
      <c r="E36" s="130">
        <v>0</v>
      </c>
      <c r="F36" s="321">
        <v>956322.36</v>
      </c>
      <c r="G36" s="130">
        <v>0</v>
      </c>
      <c r="H36" s="130">
        <v>101049.60000000001</v>
      </c>
      <c r="I36" s="393">
        <v>0</v>
      </c>
      <c r="J36" s="130">
        <v>228842.84</v>
      </c>
      <c r="K36" s="34"/>
    </row>
    <row r="37" spans="1:11">
      <c r="A37" s="3" t="s">
        <v>22</v>
      </c>
      <c r="B37" s="130">
        <v>43501.63</v>
      </c>
      <c r="C37" s="130">
        <v>0</v>
      </c>
      <c r="D37" s="130">
        <v>0</v>
      </c>
      <c r="E37" s="130">
        <v>0</v>
      </c>
      <c r="F37" s="321">
        <v>6354614.4699999997</v>
      </c>
      <c r="G37" s="130">
        <v>0</v>
      </c>
      <c r="H37" s="321">
        <v>531286.17000000004</v>
      </c>
      <c r="I37" s="393">
        <v>0</v>
      </c>
      <c r="J37" s="130">
        <v>2402117.41</v>
      </c>
      <c r="K37" s="34"/>
    </row>
    <row r="38" spans="1:11">
      <c r="A38" s="3" t="s">
        <v>23</v>
      </c>
      <c r="B38" s="130">
        <v>45122.7</v>
      </c>
      <c r="C38" s="130">
        <v>0</v>
      </c>
      <c r="D38" s="130">
        <v>0</v>
      </c>
      <c r="E38" s="130">
        <v>0</v>
      </c>
      <c r="F38" s="321">
        <v>4749583.5</v>
      </c>
      <c r="G38" s="130">
        <v>0</v>
      </c>
      <c r="H38" s="130">
        <v>324848.75</v>
      </c>
      <c r="I38" s="393">
        <v>35080.14</v>
      </c>
      <c r="J38" s="130">
        <v>269882.57</v>
      </c>
      <c r="K38" s="34"/>
    </row>
    <row r="39" spans="1:11">
      <c r="A39" s="12" t="s">
        <v>24</v>
      </c>
      <c r="B39" s="131">
        <v>180550.58</v>
      </c>
      <c r="C39" s="131">
        <v>0</v>
      </c>
      <c r="D39" s="398">
        <v>0</v>
      </c>
      <c r="E39" s="131">
        <v>0</v>
      </c>
      <c r="F39" s="323">
        <v>1645334.11</v>
      </c>
      <c r="G39" s="131">
        <v>0</v>
      </c>
      <c r="H39" s="131">
        <v>69847.77</v>
      </c>
      <c r="I39" s="399">
        <v>241301.74</v>
      </c>
      <c r="J39" s="131">
        <v>625947.37</v>
      </c>
      <c r="K39" s="34"/>
    </row>
    <row r="40" spans="1:11">
      <c r="A40" s="3"/>
      <c r="B40" s="3"/>
      <c r="C40" s="3"/>
      <c r="D40" s="230"/>
      <c r="E40" s="230"/>
      <c r="F40" s="196"/>
      <c r="G40" s="196"/>
      <c r="H40" s="196"/>
      <c r="I40" s="196"/>
      <c r="J40" s="229"/>
      <c r="K40" s="34"/>
    </row>
    <row r="41" spans="1:11">
      <c r="A41" s="3"/>
      <c r="B41" s="3"/>
      <c r="C41" s="3"/>
      <c r="D41" s="230"/>
      <c r="E41" s="230"/>
      <c r="F41" s="196"/>
      <c r="G41" s="196"/>
      <c r="H41" s="196"/>
      <c r="I41" s="196"/>
      <c r="J41" s="229"/>
    </row>
    <row r="42" spans="1:11">
      <c r="A42" s="3"/>
      <c r="B42" s="3"/>
      <c r="C42" s="3"/>
      <c r="D42" s="230"/>
      <c r="E42" s="230"/>
      <c r="F42" s="196"/>
      <c r="G42" s="196"/>
      <c r="H42" s="229"/>
      <c r="I42" s="229"/>
      <c r="J42" s="34"/>
    </row>
    <row r="43" spans="1:11">
      <c r="A43" s="3"/>
      <c r="B43" s="3"/>
      <c r="C43" s="3"/>
      <c r="D43" s="230"/>
      <c r="E43" s="230"/>
      <c r="F43" s="196"/>
      <c r="G43" s="196"/>
      <c r="H43" s="229"/>
      <c r="I43" s="229"/>
      <c r="J43" s="34"/>
    </row>
    <row r="44" spans="1:11">
      <c r="A44" s="3"/>
      <c r="B44" s="3"/>
      <c r="C44" s="3"/>
      <c r="D44" s="230"/>
      <c r="E44" s="230"/>
      <c r="F44" s="196"/>
      <c r="G44" s="196"/>
      <c r="H44" s="229"/>
      <c r="I44" s="229"/>
      <c r="J44" s="34"/>
    </row>
    <row r="45" spans="1:11">
      <c r="A45" s="3"/>
      <c r="B45" s="3"/>
      <c r="C45" s="3"/>
      <c r="D45" s="230"/>
      <c r="E45" s="230"/>
      <c r="F45" s="196"/>
      <c r="G45" s="196"/>
      <c r="H45" s="229"/>
      <c r="I45" s="229"/>
      <c r="J45" s="34"/>
    </row>
    <row r="46" spans="1:11">
      <c r="A46" s="3"/>
      <c r="B46" s="3"/>
      <c r="C46" s="3"/>
      <c r="D46" s="230"/>
      <c r="E46" s="230"/>
      <c r="F46" s="196"/>
      <c r="G46" s="196"/>
      <c r="H46" s="229"/>
      <c r="I46" s="229"/>
      <c r="J46" s="34"/>
    </row>
    <row r="47" spans="1:11">
      <c r="A47" s="3"/>
      <c r="B47" s="3"/>
      <c r="C47" s="3"/>
      <c r="D47" s="199"/>
      <c r="E47" s="199"/>
      <c r="F47" s="201"/>
      <c r="G47" s="201"/>
      <c r="J47" s="34"/>
    </row>
    <row r="48" spans="1:11">
      <c r="A48" s="3"/>
      <c r="B48" s="3"/>
      <c r="C48" s="3"/>
      <c r="D48" s="199"/>
      <c r="E48" s="199"/>
      <c r="F48" s="201"/>
      <c r="G48" s="201"/>
      <c r="J48"/>
    </row>
    <row r="49" spans="1:10">
      <c r="A49" s="3"/>
      <c r="B49" s="3"/>
      <c r="C49" s="3"/>
      <c r="D49" s="199"/>
      <c r="E49" s="199"/>
      <c r="F49" s="201"/>
      <c r="G49" s="201"/>
      <c r="J49"/>
    </row>
    <row r="50" spans="1:10">
      <c r="A50" s="3"/>
      <c r="B50" s="3"/>
      <c r="C50" s="3"/>
      <c r="D50" s="199"/>
      <c r="E50" s="199"/>
      <c r="F50" s="201"/>
      <c r="G50" s="201"/>
      <c r="J50"/>
    </row>
    <row r="51" spans="1:10">
      <c r="A51" s="3"/>
      <c r="B51" s="3"/>
      <c r="C51" s="3"/>
      <c r="D51" s="199"/>
      <c r="E51" s="199"/>
      <c r="F51" s="201"/>
      <c r="G51" s="201"/>
      <c r="J51"/>
    </row>
    <row r="52" spans="1:10">
      <c r="J52"/>
    </row>
    <row r="53" spans="1:10">
      <c r="A53" s="3"/>
      <c r="B53" s="3"/>
      <c r="C53" s="3"/>
      <c r="D53" s="199"/>
      <c r="E53" s="199"/>
      <c r="F53" s="201"/>
      <c r="G53" s="201"/>
      <c r="J53"/>
    </row>
    <row r="54" spans="1:10">
      <c r="A54" s="3"/>
      <c r="B54" s="3"/>
      <c r="C54" s="3"/>
      <c r="D54" s="199"/>
      <c r="E54" s="199"/>
      <c r="F54" s="201"/>
      <c r="G54" s="201"/>
      <c r="J54"/>
    </row>
    <row r="55" spans="1:10">
      <c r="A55" s="3"/>
      <c r="B55" s="3"/>
      <c r="C55" s="3"/>
      <c r="D55" s="199"/>
      <c r="E55" s="199"/>
      <c r="J55"/>
    </row>
    <row r="56" spans="1:10">
      <c r="A56" s="3"/>
      <c r="B56" s="3"/>
      <c r="C56" s="3"/>
      <c r="D56" s="199"/>
      <c r="E56" s="199"/>
      <c r="J56"/>
    </row>
    <row r="57" spans="1:10">
      <c r="A57" s="3"/>
      <c r="B57" s="3"/>
      <c r="C57" s="3"/>
      <c r="D57" s="199"/>
      <c r="E57" s="199"/>
      <c r="J57"/>
    </row>
    <row r="58" spans="1:10">
      <c r="A58" s="3"/>
      <c r="B58" s="3"/>
      <c r="C58" s="3"/>
      <c r="D58" s="199"/>
      <c r="E58" s="199"/>
      <c r="J58"/>
    </row>
    <row r="59" spans="1:10">
      <c r="A59" s="3"/>
      <c r="B59" s="3"/>
      <c r="C59" s="3"/>
      <c r="D59" s="199"/>
      <c r="E59" s="199"/>
      <c r="J59"/>
    </row>
    <row r="60" spans="1:10">
      <c r="A60" s="3"/>
      <c r="B60" s="3"/>
      <c r="C60" s="3"/>
      <c r="D60" s="199"/>
      <c r="E60" s="199"/>
      <c r="J60"/>
    </row>
    <row r="61" spans="1:10">
      <c r="A61" s="3"/>
      <c r="B61" s="3"/>
      <c r="C61" s="3"/>
      <c r="D61" s="199"/>
      <c r="E61" s="199"/>
      <c r="J61"/>
    </row>
    <row r="62" spans="1:10">
      <c r="A62" s="3"/>
      <c r="B62" s="3"/>
      <c r="C62" s="3"/>
      <c r="D62" s="199"/>
      <c r="E62" s="199"/>
      <c r="J62"/>
    </row>
    <row r="63" spans="1:10">
      <c r="A63" s="3"/>
      <c r="B63" s="3"/>
      <c r="C63" s="3"/>
      <c r="D63" s="199"/>
      <c r="E63" s="199"/>
      <c r="J63"/>
    </row>
    <row r="64" spans="1:10">
      <c r="A64" s="3"/>
      <c r="B64" s="3"/>
      <c r="C64" s="3"/>
      <c r="D64" s="199"/>
      <c r="E64" s="199"/>
      <c r="J64"/>
    </row>
    <row r="65" spans="1:10">
      <c r="A65" s="3"/>
      <c r="B65" s="3"/>
      <c r="C65" s="3"/>
      <c r="D65" s="199"/>
      <c r="E65" s="199"/>
      <c r="J65"/>
    </row>
    <row r="66" spans="1:10">
      <c r="A66" s="3"/>
      <c r="B66" s="3"/>
      <c r="C66" s="3"/>
      <c r="D66" s="199"/>
      <c r="E66" s="199"/>
      <c r="F66" s="196"/>
    </row>
    <row r="67" spans="1:10">
      <c r="A67" s="3"/>
      <c r="B67" s="3"/>
      <c r="C67" s="3"/>
      <c r="D67" s="199"/>
      <c r="E67" s="199"/>
      <c r="F67" s="196"/>
    </row>
    <row r="68" spans="1:10">
      <c r="A68" s="3"/>
      <c r="B68" s="3"/>
      <c r="C68" s="3"/>
      <c r="D68" s="199"/>
      <c r="E68" s="199"/>
      <c r="F68" s="196"/>
    </row>
    <row r="69" spans="1:10">
      <c r="A69" s="3"/>
      <c r="B69" s="3"/>
      <c r="C69" s="3"/>
      <c r="D69" s="199"/>
      <c r="E69" s="199"/>
      <c r="F69" s="196"/>
    </row>
    <row r="70" spans="1:10">
      <c r="A70" s="3"/>
      <c r="B70" s="3"/>
      <c r="C70" s="3"/>
      <c r="D70" s="199"/>
      <c r="E70" s="199"/>
      <c r="F70" s="284"/>
    </row>
    <row r="71" spans="1:10">
      <c r="A71" s="3"/>
      <c r="B71" s="3"/>
      <c r="C71" s="3"/>
      <c r="D71" s="199"/>
      <c r="E71" s="199"/>
    </row>
    <row r="72" spans="1:10">
      <c r="A72" s="3"/>
      <c r="B72" s="3"/>
      <c r="C72" s="3"/>
      <c r="D72" s="199"/>
      <c r="E72" s="199"/>
    </row>
    <row r="73" spans="1:10">
      <c r="A73" s="3"/>
      <c r="B73" s="3"/>
      <c r="C73" s="3"/>
      <c r="D73" s="199"/>
      <c r="E73" s="199"/>
    </row>
    <row r="74" spans="1:10">
      <c r="A74" s="3"/>
      <c r="B74" s="3"/>
      <c r="C74" s="3"/>
      <c r="D74" s="199"/>
      <c r="E74" s="199"/>
    </row>
    <row r="75" spans="1:10">
      <c r="A75" s="3"/>
      <c r="B75" s="3"/>
      <c r="C75" s="3"/>
      <c r="D75" s="199"/>
      <c r="E75" s="199"/>
    </row>
    <row r="76" spans="1:10">
      <c r="A76" s="3"/>
      <c r="B76" s="3"/>
      <c r="C76" s="3"/>
      <c r="D76" s="199"/>
      <c r="E76" s="199"/>
    </row>
    <row r="77" spans="1:10">
      <c r="A77" s="3"/>
      <c r="B77" s="3"/>
      <c r="C77" s="3"/>
      <c r="D77" s="199"/>
      <c r="E77" s="199"/>
    </row>
    <row r="78" spans="1:10">
      <c r="A78" s="3"/>
      <c r="B78" s="3"/>
      <c r="C78" s="3"/>
      <c r="D78" s="199"/>
      <c r="E78" s="199"/>
    </row>
    <row r="79" spans="1:10">
      <c r="A79" s="3"/>
      <c r="B79" s="3"/>
      <c r="C79" s="3"/>
      <c r="D79" s="199"/>
      <c r="E79" s="199"/>
    </row>
    <row r="80" spans="1:10">
      <c r="A80" s="3"/>
      <c r="B80" s="3"/>
      <c r="C80" s="3"/>
      <c r="D80" s="199"/>
      <c r="E80" s="199"/>
    </row>
    <row r="81" spans="1:5">
      <c r="A81" s="3"/>
      <c r="B81" s="3"/>
      <c r="C81" s="3"/>
      <c r="D81" s="199"/>
      <c r="E81" s="199"/>
    </row>
    <row r="82" spans="1:5">
      <c r="A82" s="3"/>
      <c r="B82" s="3"/>
      <c r="C82" s="3"/>
      <c r="D82" s="199"/>
      <c r="E82" s="199"/>
    </row>
    <row r="83" spans="1:5">
      <c r="A83" s="3"/>
      <c r="B83" s="3"/>
      <c r="C83" s="3"/>
      <c r="D83" s="199"/>
      <c r="E83" s="199"/>
    </row>
    <row r="84" spans="1:5">
      <c r="A84" s="3"/>
      <c r="B84" s="3"/>
      <c r="C84" s="3"/>
      <c r="D84" s="199"/>
      <c r="E84" s="199"/>
    </row>
  </sheetData>
  <sheetProtection password="CAF5" sheet="1" objects="1" scenarios="1"/>
  <mergeCells count="9">
    <mergeCell ref="G6:G9"/>
    <mergeCell ref="B7:B9"/>
    <mergeCell ref="B5:E5"/>
    <mergeCell ref="A1:J1"/>
    <mergeCell ref="A3:J3"/>
    <mergeCell ref="J5:J9"/>
    <mergeCell ref="F5:H5"/>
    <mergeCell ref="E6:E9"/>
    <mergeCell ref="I5:I9"/>
  </mergeCells>
  <phoneticPr fontId="0" type="noConversion"/>
  <printOptions horizontalCentered="1"/>
  <pageMargins left="0.45" right="0.52" top="0.83" bottom="1" header="0.67" footer="0.5"/>
  <pageSetup scale="87" orientation="landscape" r:id="rId1"/>
  <headerFooter alignWithMargins="0">
    <oddFooter xml:space="preserve">&amp;L&amp;"Arial,Italic"&amp;9MSDE - LFRO  12 / 2013&amp;C- 14 -&amp;R&amp;"Arial,Italic"&amp;9Selected Financial Data-Part 1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Normal="100" workbookViewId="0">
      <selection sqref="A1:L1"/>
    </sheetView>
  </sheetViews>
  <sheetFormatPr defaultRowHeight="12.75"/>
  <cols>
    <col min="1" max="8" width="17.5703125" customWidth="1"/>
    <col min="9" max="9" width="14.28515625" style="224" customWidth="1"/>
    <col min="10" max="10" width="12.85546875" style="224" customWidth="1"/>
    <col min="11" max="11" width="13" style="224" customWidth="1"/>
    <col min="12" max="12" width="12.7109375" style="224" customWidth="1"/>
    <col min="13" max="13" width="13.140625" customWidth="1"/>
  </cols>
  <sheetData>
    <row r="1" spans="1:17">
      <c r="A1" s="500" t="s">
        <v>119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</row>
    <row r="2" spans="1:17">
      <c r="A2" s="3"/>
      <c r="B2" s="3"/>
      <c r="C2" s="3"/>
      <c r="D2" s="3"/>
      <c r="E2" s="3"/>
      <c r="F2" s="3"/>
      <c r="G2" s="3"/>
      <c r="H2" s="3"/>
      <c r="I2" s="199"/>
      <c r="J2" s="199"/>
      <c r="K2" s="199"/>
    </row>
    <row r="3" spans="1:17">
      <c r="A3" s="506" t="s">
        <v>289</v>
      </c>
      <c r="B3" s="507"/>
      <c r="C3" s="507"/>
      <c r="D3" s="507"/>
      <c r="E3" s="507"/>
      <c r="F3" s="507"/>
      <c r="G3" s="507"/>
      <c r="H3" s="507"/>
      <c r="I3" s="500"/>
      <c r="J3" s="500"/>
      <c r="K3" s="500"/>
      <c r="L3" s="500"/>
    </row>
    <row r="4" spans="1:17" ht="15" customHeight="1" thickBot="1">
      <c r="A4" s="3"/>
      <c r="B4" s="3"/>
      <c r="C4" s="3"/>
      <c r="D4" s="3"/>
      <c r="E4" s="3"/>
      <c r="F4" s="3"/>
      <c r="G4" s="3"/>
      <c r="H4" s="3"/>
      <c r="I4" s="199"/>
      <c r="J4" s="199"/>
      <c r="K4" s="199"/>
      <c r="L4" s="199"/>
      <c r="Q4" s="3"/>
    </row>
    <row r="5" spans="1:17" ht="17.25" customHeight="1" thickTop="1">
      <c r="A5" s="6"/>
      <c r="B5" s="534" t="s">
        <v>66</v>
      </c>
      <c r="C5" s="535"/>
      <c r="D5" s="535"/>
      <c r="E5" s="535"/>
      <c r="F5" s="535"/>
      <c r="G5" s="536"/>
      <c r="H5" s="537"/>
      <c r="I5" s="200"/>
      <c r="J5" s="220"/>
      <c r="K5" s="220"/>
      <c r="L5" s="220"/>
      <c r="P5" s="3"/>
    </row>
    <row r="6" spans="1:17" ht="12.75" customHeight="1">
      <c r="A6" s="3"/>
      <c r="B6" s="314"/>
      <c r="C6" s="224"/>
      <c r="D6" s="224"/>
      <c r="E6" s="215" t="s">
        <v>139</v>
      </c>
      <c r="F6" s="215" t="s">
        <v>229</v>
      </c>
      <c r="G6" s="215" t="s">
        <v>229</v>
      </c>
      <c r="H6" s="313" t="s">
        <v>229</v>
      </c>
      <c r="I6" s="199"/>
      <c r="J6" s="216" t="s">
        <v>140</v>
      </c>
      <c r="K6" s="503" t="s">
        <v>177</v>
      </c>
      <c r="L6" s="518" t="s">
        <v>252</v>
      </c>
      <c r="P6" s="3"/>
    </row>
    <row r="7" spans="1:17">
      <c r="A7" s="3" t="s">
        <v>77</v>
      </c>
      <c r="B7" s="315"/>
      <c r="C7" s="216"/>
      <c r="D7" s="518" t="s">
        <v>253</v>
      </c>
      <c r="E7" s="216" t="s">
        <v>120</v>
      </c>
      <c r="F7" s="518" t="s">
        <v>244</v>
      </c>
      <c r="G7" s="518" t="s">
        <v>240</v>
      </c>
      <c r="H7" s="538" t="s">
        <v>245</v>
      </c>
      <c r="I7" s="199"/>
      <c r="J7" s="216" t="s">
        <v>35</v>
      </c>
      <c r="K7" s="519"/>
      <c r="L7" s="485"/>
      <c r="P7" s="3"/>
    </row>
    <row r="8" spans="1:17">
      <c r="A8" s="3" t="s">
        <v>33</v>
      </c>
      <c r="B8" s="316" t="s">
        <v>138</v>
      </c>
      <c r="C8" s="216" t="s">
        <v>138</v>
      </c>
      <c r="D8" s="485"/>
      <c r="E8" s="216" t="s">
        <v>31</v>
      </c>
      <c r="F8" s="485"/>
      <c r="G8" s="485"/>
      <c r="H8" s="539"/>
      <c r="I8" s="216" t="s">
        <v>184</v>
      </c>
      <c r="J8" s="216" t="s">
        <v>65</v>
      </c>
      <c r="K8" s="519"/>
      <c r="L8" s="485"/>
      <c r="P8" s="3"/>
    </row>
    <row r="9" spans="1:17" ht="16.5" customHeight="1" thickBot="1">
      <c r="A9" s="7" t="s">
        <v>132</v>
      </c>
      <c r="B9" s="317" t="s">
        <v>144</v>
      </c>
      <c r="C9" s="218" t="s">
        <v>54</v>
      </c>
      <c r="D9" s="486"/>
      <c r="E9" s="218" t="s">
        <v>121</v>
      </c>
      <c r="F9" s="486"/>
      <c r="G9" s="486"/>
      <c r="H9" s="540"/>
      <c r="I9" s="218" t="s">
        <v>34</v>
      </c>
      <c r="J9" s="218" t="s">
        <v>55</v>
      </c>
      <c r="K9" s="498"/>
      <c r="L9" s="486"/>
      <c r="P9" s="3"/>
    </row>
    <row r="10" spans="1:17" s="44" customFormat="1">
      <c r="A10" s="48" t="s">
        <v>0</v>
      </c>
      <c r="B10" s="304">
        <f t="shared" ref="B10:H10" si="0">SUM(B12:B39)</f>
        <v>185773672.59999996</v>
      </c>
      <c r="C10" s="227">
        <f t="shared" si="0"/>
        <v>5691420.1900000004</v>
      </c>
      <c r="D10" s="227">
        <f t="shared" si="0"/>
        <v>29152.86</v>
      </c>
      <c r="E10" s="227">
        <f t="shared" si="0"/>
        <v>480207.73</v>
      </c>
      <c r="F10" s="227">
        <f t="shared" si="0"/>
        <v>279297.36</v>
      </c>
      <c r="G10" s="227">
        <f t="shared" si="0"/>
        <v>0</v>
      </c>
      <c r="H10" s="227">
        <f t="shared" si="0"/>
        <v>2786576.5799999991</v>
      </c>
      <c r="I10" s="304">
        <f>SUM(I12:I39)</f>
        <v>0</v>
      </c>
      <c r="J10" s="304">
        <f>SUM(J12:J39)</f>
        <v>0</v>
      </c>
      <c r="K10" s="227">
        <f>SUM(K12:K39)</f>
        <v>5677179.379999999</v>
      </c>
      <c r="L10" s="227">
        <f>SUM(L12:L39)</f>
        <v>0</v>
      </c>
      <c r="P10" s="16"/>
    </row>
    <row r="11" spans="1:17">
      <c r="A11" s="3"/>
      <c r="B11" s="3"/>
      <c r="C11" s="3"/>
      <c r="D11" s="3"/>
      <c r="E11" s="3"/>
      <c r="F11" s="3"/>
      <c r="G11" s="3"/>
      <c r="H11" s="3"/>
      <c r="I11" s="199"/>
      <c r="J11" s="222"/>
      <c r="K11" s="222"/>
      <c r="L11" s="222"/>
      <c r="P11" s="3"/>
    </row>
    <row r="12" spans="1:17">
      <c r="A12" s="3" t="s">
        <v>1</v>
      </c>
      <c r="B12" s="130">
        <v>2506215.9500000002</v>
      </c>
      <c r="C12" s="130">
        <v>112208.43</v>
      </c>
      <c r="D12" s="130">
        <v>0</v>
      </c>
      <c r="E12" s="130">
        <v>0</v>
      </c>
      <c r="F12" s="130">
        <v>0</v>
      </c>
      <c r="G12" s="130">
        <v>0</v>
      </c>
      <c r="H12" s="130">
        <v>76667</v>
      </c>
      <c r="I12" s="130">
        <v>0</v>
      </c>
      <c r="J12" s="322">
        <v>0</v>
      </c>
      <c r="K12" s="130">
        <v>667379.47</v>
      </c>
      <c r="L12" s="130">
        <v>0</v>
      </c>
      <c r="P12" s="15"/>
    </row>
    <row r="13" spans="1:17">
      <c r="A13" s="3" t="s">
        <v>2</v>
      </c>
      <c r="B13" s="130">
        <v>16282893.41</v>
      </c>
      <c r="C13" s="130">
        <v>518941.69</v>
      </c>
      <c r="D13" s="130">
        <v>0</v>
      </c>
      <c r="E13" s="130">
        <v>65688.98</v>
      </c>
      <c r="F13" s="130">
        <v>0</v>
      </c>
      <c r="G13" s="130">
        <v>0</v>
      </c>
      <c r="H13" s="130">
        <v>632791.36</v>
      </c>
      <c r="I13" s="130">
        <v>0</v>
      </c>
      <c r="J13" s="394">
        <v>0</v>
      </c>
      <c r="K13" s="130">
        <v>49746.76</v>
      </c>
      <c r="L13" s="395">
        <v>0</v>
      </c>
      <c r="P13" s="15"/>
    </row>
    <row r="14" spans="1:17" s="23" customFormat="1">
      <c r="A14" s="32" t="s">
        <v>3</v>
      </c>
      <c r="B14" s="130">
        <v>26107209.789999999</v>
      </c>
      <c r="C14" s="130">
        <v>789863.21</v>
      </c>
      <c r="D14" s="130">
        <v>0</v>
      </c>
      <c r="E14" s="322">
        <v>0</v>
      </c>
      <c r="F14" s="322">
        <v>0</v>
      </c>
      <c r="G14" s="130">
        <v>0</v>
      </c>
      <c r="H14" s="130">
        <v>0</v>
      </c>
      <c r="I14" s="130">
        <v>0</v>
      </c>
      <c r="J14" s="322">
        <v>0</v>
      </c>
      <c r="K14" s="130">
        <v>512733.86</v>
      </c>
      <c r="L14" s="130">
        <v>0</v>
      </c>
      <c r="P14" s="50"/>
    </row>
    <row r="15" spans="1:17">
      <c r="A15" s="3" t="s">
        <v>4</v>
      </c>
      <c r="B15" s="130">
        <v>22442916.940000001</v>
      </c>
      <c r="C15" s="130">
        <v>789364.85</v>
      </c>
      <c r="D15" s="130">
        <v>0</v>
      </c>
      <c r="E15" s="130">
        <v>92296.11</v>
      </c>
      <c r="F15" s="130">
        <v>0</v>
      </c>
      <c r="G15" s="130">
        <v>0</v>
      </c>
      <c r="H15" s="130">
        <v>760214.03</v>
      </c>
      <c r="I15" s="130">
        <v>0</v>
      </c>
      <c r="J15" s="130">
        <v>0</v>
      </c>
      <c r="K15" s="130">
        <v>218469.77</v>
      </c>
      <c r="L15" s="130">
        <v>0</v>
      </c>
      <c r="P15" s="15"/>
    </row>
    <row r="16" spans="1:17">
      <c r="A16" s="3" t="s">
        <v>5</v>
      </c>
      <c r="B16" s="130">
        <v>3463651.76</v>
      </c>
      <c r="C16" s="130">
        <v>89274.68</v>
      </c>
      <c r="D16" s="130">
        <v>0</v>
      </c>
      <c r="E16" s="130">
        <v>10877.05</v>
      </c>
      <c r="F16" s="130">
        <v>0</v>
      </c>
      <c r="G16" s="322">
        <v>0</v>
      </c>
      <c r="H16" s="322">
        <v>67185.509999999995</v>
      </c>
      <c r="I16" s="130">
        <v>0</v>
      </c>
      <c r="J16" s="130">
        <v>0</v>
      </c>
      <c r="K16" s="130">
        <v>0</v>
      </c>
      <c r="L16" s="130">
        <v>0</v>
      </c>
      <c r="P16" s="15"/>
    </row>
    <row r="17" spans="1:16">
      <c r="A17" s="3"/>
      <c r="B17" s="340"/>
      <c r="C17" s="340"/>
      <c r="D17" s="340"/>
      <c r="E17" s="340"/>
      <c r="F17" s="340"/>
      <c r="G17" s="340"/>
      <c r="H17" s="340"/>
      <c r="I17" s="351"/>
      <c r="J17" s="340"/>
      <c r="K17" s="340"/>
      <c r="L17" s="340"/>
      <c r="P17" s="15"/>
    </row>
    <row r="18" spans="1:16">
      <c r="A18" s="3" t="s">
        <v>6</v>
      </c>
      <c r="B18" s="130">
        <v>1282966.24</v>
      </c>
      <c r="C18" s="130">
        <v>51097.06</v>
      </c>
      <c r="D18" s="130">
        <v>0</v>
      </c>
      <c r="E18" s="130">
        <v>11471.36</v>
      </c>
      <c r="F18" s="130">
        <v>0</v>
      </c>
      <c r="G18" s="130">
        <v>0</v>
      </c>
      <c r="H18" s="130">
        <v>20555.900000000001</v>
      </c>
      <c r="I18" s="130">
        <v>0</v>
      </c>
      <c r="J18" s="130">
        <v>0</v>
      </c>
      <c r="K18" s="130">
        <v>326867.98</v>
      </c>
      <c r="L18" s="130">
        <v>0</v>
      </c>
      <c r="P18" s="15"/>
    </row>
    <row r="19" spans="1:16">
      <c r="A19" s="3" t="s">
        <v>7</v>
      </c>
      <c r="B19" s="322">
        <v>6377665.2999999998</v>
      </c>
      <c r="C19" s="130">
        <v>238757.81</v>
      </c>
      <c r="D19" s="130">
        <v>0</v>
      </c>
      <c r="E19" s="130">
        <v>26985.54</v>
      </c>
      <c r="F19" s="130">
        <v>0</v>
      </c>
      <c r="G19" s="130">
        <v>0</v>
      </c>
      <c r="H19" s="130">
        <v>124893</v>
      </c>
      <c r="I19" s="130">
        <v>0</v>
      </c>
      <c r="J19" s="130">
        <v>0</v>
      </c>
      <c r="K19" s="130">
        <v>0</v>
      </c>
      <c r="L19" s="130">
        <v>0</v>
      </c>
      <c r="P19" s="15"/>
    </row>
    <row r="20" spans="1:16">
      <c r="A20" s="3" t="s">
        <v>8</v>
      </c>
      <c r="B20" s="130">
        <v>3583379.45</v>
      </c>
      <c r="C20" s="130">
        <v>114654.68</v>
      </c>
      <c r="D20" s="130">
        <v>0</v>
      </c>
      <c r="E20" s="130">
        <v>0</v>
      </c>
      <c r="F20" s="130">
        <v>0</v>
      </c>
      <c r="G20" s="130">
        <v>0</v>
      </c>
      <c r="H20" s="130">
        <v>102223</v>
      </c>
      <c r="I20" s="130">
        <v>0</v>
      </c>
      <c r="J20" s="130">
        <v>0</v>
      </c>
      <c r="K20" s="130">
        <v>0</v>
      </c>
      <c r="L20" s="130">
        <v>0</v>
      </c>
      <c r="P20" s="15"/>
    </row>
    <row r="21" spans="1:16">
      <c r="A21" s="3" t="s">
        <v>9</v>
      </c>
      <c r="B21" s="130">
        <v>5444483.4400000004</v>
      </c>
      <c r="C21" s="130">
        <v>133049.39000000001</v>
      </c>
      <c r="D21" s="130">
        <v>29152.86</v>
      </c>
      <c r="E21" s="130">
        <v>0</v>
      </c>
      <c r="F21" s="130">
        <v>0</v>
      </c>
      <c r="G21" s="130">
        <v>0</v>
      </c>
      <c r="H21" s="130">
        <v>129015</v>
      </c>
      <c r="I21" s="130">
        <v>0</v>
      </c>
      <c r="J21" s="130">
        <v>0</v>
      </c>
      <c r="K21" s="130">
        <v>0</v>
      </c>
      <c r="L21" s="130">
        <v>0</v>
      </c>
      <c r="P21" s="15"/>
    </row>
    <row r="22" spans="1:16">
      <c r="A22" s="3" t="s">
        <v>10</v>
      </c>
      <c r="B22" s="130">
        <v>1049058.8500000001</v>
      </c>
      <c r="C22" s="130">
        <v>36511</v>
      </c>
      <c r="D22" s="130">
        <v>0</v>
      </c>
      <c r="E22" s="130">
        <v>3642.67</v>
      </c>
      <c r="F22" s="130">
        <v>0</v>
      </c>
      <c r="G22" s="130">
        <v>0</v>
      </c>
      <c r="H22" s="130">
        <v>25327.67</v>
      </c>
      <c r="I22" s="130">
        <v>0</v>
      </c>
      <c r="J22" s="130">
        <v>0</v>
      </c>
      <c r="K22" s="130">
        <v>0</v>
      </c>
      <c r="L22" s="130">
        <v>0</v>
      </c>
      <c r="P22" s="15"/>
    </row>
    <row r="23" spans="1:16">
      <c r="A23" s="3"/>
      <c r="B23" s="340"/>
      <c r="C23" s="340"/>
      <c r="D23" s="340"/>
      <c r="E23" s="340"/>
      <c r="F23" s="340"/>
      <c r="G23" s="340"/>
      <c r="H23" s="340"/>
      <c r="I23" s="351"/>
      <c r="J23" s="340"/>
      <c r="K23" s="340"/>
      <c r="L23" s="340"/>
      <c r="P23" s="15"/>
    </row>
    <row r="24" spans="1:16">
      <c r="A24" s="3" t="s">
        <v>11</v>
      </c>
      <c r="B24" s="130">
        <v>7695611.0099999998</v>
      </c>
      <c r="C24" s="130">
        <v>243708.03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385697.37</v>
      </c>
      <c r="L24" s="130">
        <v>0</v>
      </c>
      <c r="P24" s="15"/>
    </row>
    <row r="25" spans="1:16">
      <c r="A25" s="3" t="s">
        <v>12</v>
      </c>
      <c r="B25" s="130">
        <v>999190.07</v>
      </c>
      <c r="C25" s="130">
        <v>58440.97</v>
      </c>
      <c r="D25" s="130">
        <v>0</v>
      </c>
      <c r="E25" s="130">
        <v>105.19</v>
      </c>
      <c r="F25" s="130">
        <v>0</v>
      </c>
      <c r="G25" s="130">
        <v>0</v>
      </c>
      <c r="H25" s="130">
        <v>13598.04</v>
      </c>
      <c r="I25" s="130">
        <v>0</v>
      </c>
      <c r="J25" s="130">
        <v>0</v>
      </c>
      <c r="K25" s="130">
        <v>0</v>
      </c>
      <c r="L25" s="130">
        <v>0</v>
      </c>
      <c r="P25" s="15"/>
    </row>
    <row r="26" spans="1:16">
      <c r="A26" s="3" t="s">
        <v>13</v>
      </c>
      <c r="B26" s="130">
        <v>8288772.7999999998</v>
      </c>
      <c r="C26" s="130">
        <v>208808.01</v>
      </c>
      <c r="D26" s="130">
        <v>0</v>
      </c>
      <c r="E26" s="130">
        <v>62453</v>
      </c>
      <c r="F26" s="130">
        <v>0</v>
      </c>
      <c r="G26" s="130">
        <v>0</v>
      </c>
      <c r="H26" s="130">
        <v>286471</v>
      </c>
      <c r="I26" s="130">
        <v>0</v>
      </c>
      <c r="J26" s="130">
        <v>0</v>
      </c>
      <c r="K26" s="130">
        <v>0</v>
      </c>
      <c r="L26" s="130">
        <v>0</v>
      </c>
      <c r="P26" s="15"/>
    </row>
    <row r="27" spans="1:16">
      <c r="A27" s="3" t="s">
        <v>14</v>
      </c>
      <c r="B27" s="130">
        <f>8976455.51+408384.21</f>
        <v>9384839.7200000007</v>
      </c>
      <c r="C27" s="130">
        <v>273178.56</v>
      </c>
      <c r="D27" s="130">
        <v>0</v>
      </c>
      <c r="E27" s="130">
        <v>102892.63</v>
      </c>
      <c r="F27" s="130">
        <v>0</v>
      </c>
      <c r="G27" s="130">
        <v>0</v>
      </c>
      <c r="H27" s="130">
        <v>138749.54999999999</v>
      </c>
      <c r="I27" s="130">
        <v>0</v>
      </c>
      <c r="J27" s="130">
        <v>0</v>
      </c>
      <c r="K27" s="130">
        <v>1297975.1399999999</v>
      </c>
      <c r="L27" s="130">
        <v>0</v>
      </c>
      <c r="P27" s="15"/>
    </row>
    <row r="28" spans="1:16">
      <c r="A28" s="3" t="s">
        <v>15</v>
      </c>
      <c r="B28" s="130">
        <f>516344.57+61228.93</f>
        <v>577573.5</v>
      </c>
      <c r="C28" s="130">
        <v>33432.76</v>
      </c>
      <c r="D28" s="130">
        <v>0</v>
      </c>
      <c r="E28" s="130">
        <v>15186.11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228463.03</v>
      </c>
      <c r="L28" s="130">
        <v>0</v>
      </c>
      <c r="P28" s="15"/>
    </row>
    <row r="29" spans="1:16">
      <c r="A29" s="3"/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P29" s="15"/>
    </row>
    <row r="30" spans="1:16">
      <c r="A30" s="3" t="s">
        <v>16</v>
      </c>
      <c r="B30" s="130">
        <v>29175274.899999999</v>
      </c>
      <c r="C30" s="130">
        <v>905429.77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  <c r="P30" s="15"/>
    </row>
    <row r="31" spans="1:16">
      <c r="A31" s="3" t="s">
        <v>17</v>
      </c>
      <c r="B31" s="130">
        <v>25269695.559999999</v>
      </c>
      <c r="C31" s="130">
        <v>637756</v>
      </c>
      <c r="D31" s="130">
        <v>0</v>
      </c>
      <c r="E31" s="130">
        <v>0</v>
      </c>
      <c r="F31" s="130">
        <v>279297.36</v>
      </c>
      <c r="G31" s="130">
        <v>0</v>
      </c>
      <c r="H31" s="130">
        <v>26809</v>
      </c>
      <c r="I31" s="130">
        <v>0</v>
      </c>
      <c r="J31" s="130">
        <v>0</v>
      </c>
      <c r="K31" s="130">
        <v>0</v>
      </c>
      <c r="L31" s="130">
        <v>0</v>
      </c>
      <c r="P31" s="15"/>
    </row>
    <row r="32" spans="1:16" s="55" customFormat="1">
      <c r="A32" s="54" t="s">
        <v>18</v>
      </c>
      <c r="B32" s="130">
        <f>1631198.42+89969.83</f>
        <v>1721168.25</v>
      </c>
      <c r="C32" s="130">
        <v>47767.13</v>
      </c>
      <c r="D32" s="130">
        <v>0</v>
      </c>
      <c r="E32" s="130">
        <v>2398.85</v>
      </c>
      <c r="F32" s="130">
        <v>0</v>
      </c>
      <c r="G32" s="130">
        <v>0</v>
      </c>
      <c r="H32" s="130">
        <v>64539.38</v>
      </c>
      <c r="I32" s="130">
        <v>0</v>
      </c>
      <c r="J32" s="130">
        <v>0</v>
      </c>
      <c r="K32" s="130">
        <v>602633.61</v>
      </c>
      <c r="L32" s="130">
        <v>0</v>
      </c>
      <c r="M32" s="67"/>
      <c r="P32" s="319"/>
    </row>
    <row r="33" spans="1:17">
      <c r="A33" s="3" t="s">
        <v>19</v>
      </c>
      <c r="B33" s="130">
        <f>3246113.8+78696.4</f>
        <v>3324810.1999999997</v>
      </c>
      <c r="C33" s="130">
        <v>75262.12</v>
      </c>
      <c r="D33" s="130">
        <v>0</v>
      </c>
      <c r="E33" s="130">
        <v>0</v>
      </c>
      <c r="F33" s="130">
        <v>0</v>
      </c>
      <c r="G33" s="130">
        <v>0</v>
      </c>
      <c r="H33" s="130">
        <v>71383.61</v>
      </c>
      <c r="I33" s="130">
        <v>0</v>
      </c>
      <c r="J33" s="130">
        <v>0</v>
      </c>
      <c r="K33" s="130">
        <v>379310.01</v>
      </c>
      <c r="L33" s="130">
        <v>0</v>
      </c>
      <c r="P33" s="15"/>
    </row>
    <row r="34" spans="1:17">
      <c r="A34" s="3" t="s">
        <v>20</v>
      </c>
      <c r="B34" s="130">
        <f>670132.89+69137.5</f>
        <v>739270.39</v>
      </c>
      <c r="C34" s="130">
        <v>28152.9</v>
      </c>
      <c r="D34" s="130">
        <v>0</v>
      </c>
      <c r="E34" s="130">
        <v>8197.14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  <c r="P34" s="15"/>
    </row>
    <row r="35" spans="1:17">
      <c r="A35" s="3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P35" s="15"/>
    </row>
    <row r="36" spans="1:17">
      <c r="A36" s="3" t="s">
        <v>21</v>
      </c>
      <c r="B36" s="130">
        <f>960822.75+70570.28</f>
        <v>1031393.03</v>
      </c>
      <c r="C36" s="130">
        <v>28750.52</v>
      </c>
      <c r="D36" s="130">
        <v>0</v>
      </c>
      <c r="E36" s="130">
        <v>2208.39</v>
      </c>
      <c r="F36" s="130">
        <v>0</v>
      </c>
      <c r="G36" s="130">
        <v>0</v>
      </c>
      <c r="H36" s="130">
        <v>28441</v>
      </c>
      <c r="I36" s="130">
        <v>0</v>
      </c>
      <c r="J36" s="130">
        <v>0</v>
      </c>
      <c r="K36" s="130">
        <v>0</v>
      </c>
      <c r="L36" s="130">
        <v>0</v>
      </c>
      <c r="P36" s="15"/>
    </row>
    <row r="37" spans="1:17">
      <c r="A37" s="3" t="s">
        <v>22</v>
      </c>
      <c r="B37" s="130">
        <f>4418706.78+117347.88</f>
        <v>4536054.66</v>
      </c>
      <c r="C37" s="130">
        <v>160327.29999999999</v>
      </c>
      <c r="D37" s="130">
        <v>0</v>
      </c>
      <c r="E37" s="130">
        <v>49072.24</v>
      </c>
      <c r="F37" s="130">
        <v>0</v>
      </c>
      <c r="G37" s="130">
        <v>0</v>
      </c>
      <c r="H37" s="130">
        <v>93415.67</v>
      </c>
      <c r="I37" s="130">
        <v>0</v>
      </c>
      <c r="J37" s="130">
        <v>0</v>
      </c>
      <c r="K37" s="130">
        <v>0</v>
      </c>
      <c r="L37" s="130">
        <v>0</v>
      </c>
      <c r="P37" s="15"/>
    </row>
    <row r="38" spans="1:17">
      <c r="A38" s="3" t="s">
        <v>23</v>
      </c>
      <c r="B38" s="130">
        <f>2927781.79+175586.09</f>
        <v>3103367.88</v>
      </c>
      <c r="C38" s="130">
        <v>72571.28</v>
      </c>
      <c r="D38" s="130">
        <v>0</v>
      </c>
      <c r="E38" s="130">
        <v>0</v>
      </c>
      <c r="F38" s="130">
        <v>0</v>
      </c>
      <c r="G38" s="130">
        <v>0</v>
      </c>
      <c r="H38" s="130">
        <v>103047</v>
      </c>
      <c r="I38" s="130">
        <v>0</v>
      </c>
      <c r="J38" s="130">
        <v>0</v>
      </c>
      <c r="K38" s="130">
        <v>662144.48</v>
      </c>
      <c r="L38" s="130">
        <v>0</v>
      </c>
      <c r="P38" s="15"/>
    </row>
    <row r="39" spans="1:17">
      <c r="A39" s="12" t="s">
        <v>24</v>
      </c>
      <c r="B39" s="131">
        <f>1325410.38+60799.12</f>
        <v>1386209.5</v>
      </c>
      <c r="C39" s="397">
        <v>44112.04</v>
      </c>
      <c r="D39" s="131">
        <v>0</v>
      </c>
      <c r="E39" s="131">
        <v>26732.47</v>
      </c>
      <c r="F39" s="131">
        <v>0</v>
      </c>
      <c r="G39" s="131">
        <v>0</v>
      </c>
      <c r="H39" s="131">
        <v>21249.86</v>
      </c>
      <c r="I39" s="131">
        <v>0</v>
      </c>
      <c r="J39" s="131">
        <v>0</v>
      </c>
      <c r="K39" s="131">
        <v>345757.9</v>
      </c>
      <c r="L39" s="131">
        <v>0</v>
      </c>
      <c r="P39" s="15"/>
    </row>
    <row r="40" spans="1:17">
      <c r="A40" s="3"/>
      <c r="B40" s="32"/>
      <c r="C40" s="32"/>
      <c r="D40" s="32"/>
      <c r="E40" s="32"/>
      <c r="F40" s="32"/>
      <c r="G40" s="32"/>
      <c r="H40" s="32"/>
      <c r="I40" s="32"/>
      <c r="J40" s="50"/>
      <c r="K40" s="23"/>
      <c r="L40" s="50"/>
      <c r="P40" s="15"/>
    </row>
    <row r="41" spans="1:17">
      <c r="A41" s="3"/>
      <c r="B41" s="32"/>
      <c r="C41" s="32"/>
      <c r="D41" s="32"/>
      <c r="E41" s="32"/>
      <c r="F41" s="32"/>
      <c r="G41" s="32"/>
      <c r="H41" s="32"/>
      <c r="I41" s="32"/>
      <c r="J41" s="32"/>
      <c r="K41" s="23"/>
      <c r="L41" s="50"/>
      <c r="Q41" s="15"/>
    </row>
    <row r="42" spans="1:17">
      <c r="A42" s="3"/>
      <c r="B42" s="3"/>
      <c r="C42" s="3"/>
      <c r="D42" s="3"/>
      <c r="E42" s="3"/>
      <c r="F42" s="3"/>
      <c r="G42" s="3"/>
      <c r="H42" s="3"/>
      <c r="I42" s="199"/>
      <c r="J42" s="199"/>
      <c r="L42" s="201"/>
      <c r="Q42" s="15"/>
    </row>
    <row r="43" spans="1:17">
      <c r="A43" s="3"/>
      <c r="B43" s="3"/>
      <c r="C43" s="3"/>
      <c r="D43" s="3"/>
      <c r="E43" s="3"/>
      <c r="F43" s="3"/>
      <c r="G43" s="3"/>
      <c r="H43" s="3"/>
      <c r="I43" s="199"/>
      <c r="J43" s="199"/>
      <c r="L43" s="201"/>
      <c r="Q43" s="15"/>
    </row>
    <row r="44" spans="1:17">
      <c r="A44" s="3"/>
      <c r="B44" s="3"/>
      <c r="C44" s="3"/>
      <c r="D44" s="3"/>
      <c r="E44" s="3"/>
      <c r="F44" s="3"/>
      <c r="G44" s="3"/>
      <c r="H44" s="3"/>
      <c r="I44" s="199"/>
      <c r="J44" s="199"/>
      <c r="K44" s="284"/>
      <c r="L44" s="201"/>
      <c r="Q44" s="15"/>
    </row>
    <row r="45" spans="1:17">
      <c r="A45" s="3"/>
      <c r="B45" s="3"/>
      <c r="C45" s="3"/>
      <c r="D45" s="3"/>
      <c r="E45" s="3"/>
      <c r="F45" s="3"/>
      <c r="G45" s="3"/>
      <c r="H45" s="3"/>
      <c r="I45" s="199"/>
      <c r="J45" s="199"/>
      <c r="L45" s="201"/>
      <c r="Q45" s="15"/>
    </row>
    <row r="46" spans="1:17">
      <c r="A46" s="3"/>
      <c r="B46" s="3"/>
      <c r="C46" s="3"/>
      <c r="D46" s="3"/>
      <c r="E46" s="3"/>
      <c r="F46" s="3"/>
      <c r="G46" s="3"/>
      <c r="H46" s="3"/>
      <c r="I46" s="199"/>
      <c r="J46" s="199"/>
      <c r="L46" s="201"/>
      <c r="Q46" s="15"/>
    </row>
    <row r="47" spans="1:17">
      <c r="A47" s="3"/>
      <c r="B47" s="3"/>
      <c r="C47" s="3"/>
      <c r="D47" s="3"/>
      <c r="E47" s="3"/>
      <c r="F47" s="3"/>
      <c r="G47" s="3"/>
      <c r="H47" s="3"/>
      <c r="I47" s="199"/>
      <c r="J47" s="199"/>
      <c r="L47" s="201"/>
      <c r="Q47" s="15"/>
    </row>
    <row r="48" spans="1:17">
      <c r="A48" s="3"/>
      <c r="B48" s="3"/>
      <c r="C48" s="3"/>
      <c r="D48" s="3"/>
      <c r="E48" s="3"/>
      <c r="F48" s="3"/>
      <c r="G48" s="3"/>
      <c r="H48" s="3"/>
      <c r="I48" s="199"/>
      <c r="J48" s="199"/>
      <c r="L48" s="201"/>
      <c r="Q48" s="15"/>
    </row>
    <row r="49" spans="1:17">
      <c r="A49" s="3"/>
      <c r="B49" s="3"/>
      <c r="C49" s="3"/>
      <c r="D49" s="3"/>
      <c r="E49" s="3"/>
      <c r="F49" s="3"/>
      <c r="G49" s="3"/>
      <c r="H49" s="3"/>
      <c r="I49" s="199"/>
      <c r="J49" s="199"/>
      <c r="L49" s="201"/>
      <c r="Q49" s="15"/>
    </row>
    <row r="50" spans="1:17">
      <c r="A50" s="3"/>
      <c r="B50" s="3"/>
      <c r="C50" s="3"/>
      <c r="D50" s="3"/>
      <c r="E50" s="3"/>
      <c r="F50" s="3"/>
      <c r="G50" s="3"/>
      <c r="H50" s="3"/>
      <c r="I50" s="199"/>
      <c r="J50" s="199"/>
      <c r="K50" s="199"/>
      <c r="L50" s="201"/>
      <c r="Q50" s="15"/>
    </row>
    <row r="51" spans="1:17">
      <c r="A51" s="3"/>
      <c r="B51" s="3"/>
      <c r="C51" s="3"/>
      <c r="D51" s="3"/>
      <c r="E51" s="3"/>
      <c r="F51" s="3"/>
      <c r="G51" s="3"/>
      <c r="H51" s="3"/>
      <c r="I51" s="199"/>
      <c r="J51" s="199"/>
      <c r="K51" s="199"/>
      <c r="L51" s="201"/>
      <c r="Q51" s="15"/>
    </row>
    <row r="52" spans="1:17">
      <c r="A52" s="3"/>
      <c r="B52" s="3"/>
      <c r="C52" s="3"/>
      <c r="D52" s="3"/>
      <c r="E52" s="3"/>
      <c r="F52" s="3"/>
      <c r="G52" s="3"/>
      <c r="H52" s="3"/>
      <c r="I52" s="199"/>
      <c r="J52" s="199"/>
      <c r="K52" s="199"/>
    </row>
    <row r="53" spans="1:17">
      <c r="A53" s="3"/>
      <c r="B53" s="3"/>
      <c r="C53" s="3"/>
      <c r="D53" s="3"/>
      <c r="E53" s="3"/>
      <c r="F53" s="3"/>
      <c r="G53" s="3"/>
      <c r="H53" s="3"/>
      <c r="I53" s="199"/>
      <c r="J53" s="199"/>
      <c r="K53" s="199"/>
    </row>
    <row r="54" spans="1:17">
      <c r="A54" s="3"/>
      <c r="B54" s="3"/>
      <c r="C54" s="3"/>
      <c r="D54" s="3"/>
      <c r="E54" s="3"/>
      <c r="F54" s="3"/>
      <c r="G54" s="3"/>
      <c r="H54" s="3"/>
      <c r="I54" s="199"/>
      <c r="J54" s="199"/>
      <c r="K54" s="199"/>
    </row>
    <row r="55" spans="1:17">
      <c r="A55" s="3"/>
      <c r="B55" s="3"/>
      <c r="C55" s="3"/>
      <c r="D55" s="3"/>
      <c r="E55" s="3"/>
      <c r="F55" s="3"/>
      <c r="G55" s="3"/>
      <c r="H55" s="3"/>
      <c r="I55" s="199"/>
      <c r="J55" s="199"/>
      <c r="K55" s="199"/>
    </row>
    <row r="56" spans="1:17">
      <c r="A56" s="3"/>
      <c r="B56" s="3"/>
      <c r="C56" s="3"/>
      <c r="D56" s="3"/>
      <c r="E56" s="3"/>
      <c r="F56" s="3"/>
      <c r="G56" s="3"/>
      <c r="H56" s="3"/>
      <c r="I56" s="199"/>
      <c r="J56" s="199"/>
      <c r="K56" s="199"/>
    </row>
    <row r="57" spans="1:17">
      <c r="A57" s="3"/>
      <c r="B57" s="3"/>
      <c r="C57" s="3"/>
      <c r="D57" s="3"/>
      <c r="E57" s="3"/>
      <c r="F57" s="3"/>
      <c r="G57" s="3"/>
      <c r="H57" s="3"/>
      <c r="I57" s="199"/>
      <c r="J57" s="199"/>
      <c r="K57" s="199"/>
    </row>
    <row r="58" spans="1:17">
      <c r="A58" s="3"/>
      <c r="B58" s="3"/>
      <c r="C58" s="3"/>
      <c r="D58" s="3"/>
      <c r="E58" s="3"/>
      <c r="F58" s="3"/>
      <c r="G58" s="3"/>
      <c r="H58" s="3"/>
      <c r="I58" s="199"/>
      <c r="J58" s="199"/>
      <c r="K58" s="199"/>
    </row>
    <row r="59" spans="1:17">
      <c r="A59" s="3"/>
      <c r="B59" s="3"/>
      <c r="C59" s="3"/>
      <c r="D59" s="3"/>
      <c r="E59" s="3"/>
      <c r="F59" s="3"/>
      <c r="G59" s="3"/>
      <c r="H59" s="3"/>
      <c r="I59" s="199"/>
      <c r="J59" s="199"/>
      <c r="K59" s="199"/>
    </row>
    <row r="60" spans="1:17">
      <c r="A60" s="3"/>
      <c r="B60" s="3"/>
      <c r="C60" s="3"/>
      <c r="D60" s="3"/>
      <c r="E60" s="3"/>
      <c r="F60" s="3"/>
      <c r="G60" s="3"/>
      <c r="H60" s="3"/>
      <c r="I60" s="199"/>
      <c r="J60" s="199"/>
      <c r="K60" s="199"/>
    </row>
    <row r="61" spans="1:17">
      <c r="A61" s="3"/>
      <c r="B61" s="3"/>
      <c r="C61" s="3"/>
      <c r="D61" s="3"/>
      <c r="E61" s="3"/>
      <c r="F61" s="3"/>
      <c r="G61" s="3"/>
      <c r="H61" s="3"/>
      <c r="I61" s="199"/>
      <c r="J61" s="199"/>
      <c r="K61" s="199"/>
    </row>
    <row r="62" spans="1:17">
      <c r="A62" s="3"/>
      <c r="B62" s="3"/>
      <c r="C62" s="3"/>
      <c r="D62" s="3"/>
      <c r="E62" s="3"/>
      <c r="F62" s="3"/>
      <c r="G62" s="3"/>
      <c r="H62" s="3"/>
      <c r="I62" s="199"/>
      <c r="J62" s="199"/>
      <c r="K62" s="199"/>
    </row>
    <row r="63" spans="1:17">
      <c r="A63" s="3"/>
      <c r="B63" s="3"/>
      <c r="C63" s="3"/>
      <c r="D63" s="3"/>
      <c r="E63" s="3"/>
      <c r="F63" s="3"/>
      <c r="G63" s="3"/>
      <c r="H63" s="3"/>
      <c r="I63" s="199"/>
      <c r="J63" s="199"/>
      <c r="K63" s="199"/>
    </row>
    <row r="64" spans="1:17">
      <c r="A64" s="3"/>
      <c r="B64" s="3"/>
      <c r="C64" s="3"/>
      <c r="D64" s="3"/>
      <c r="E64" s="3"/>
      <c r="F64" s="3"/>
      <c r="G64" s="3"/>
      <c r="H64" s="3"/>
      <c r="I64" s="199"/>
      <c r="J64" s="199"/>
      <c r="K64" s="199"/>
    </row>
    <row r="65" spans="1:11">
      <c r="A65" s="3"/>
      <c r="B65" s="3"/>
      <c r="C65" s="3"/>
      <c r="D65" s="3"/>
      <c r="E65" s="3"/>
      <c r="F65" s="3"/>
      <c r="G65" s="3"/>
      <c r="H65" s="3"/>
      <c r="I65" s="199"/>
      <c r="J65" s="199"/>
      <c r="K65" s="199"/>
    </row>
    <row r="66" spans="1:11">
      <c r="A66" s="3"/>
      <c r="B66" s="3"/>
      <c r="C66" s="3"/>
      <c r="D66" s="3"/>
      <c r="E66" s="3"/>
      <c r="F66" s="3"/>
      <c r="G66" s="3"/>
      <c r="H66" s="3"/>
      <c r="I66" s="199"/>
      <c r="J66" s="199"/>
    </row>
    <row r="67" spans="1:11">
      <c r="A67" s="3"/>
      <c r="B67" s="3"/>
      <c r="C67" s="3"/>
      <c r="D67" s="3"/>
      <c r="E67" s="3"/>
      <c r="F67" s="3"/>
      <c r="G67" s="3"/>
      <c r="H67" s="3"/>
      <c r="I67" s="199"/>
      <c r="J67" s="199"/>
    </row>
    <row r="68" spans="1:11">
      <c r="A68" s="3"/>
      <c r="B68" s="3"/>
      <c r="C68" s="3"/>
      <c r="D68" s="3"/>
      <c r="E68" s="3"/>
      <c r="F68" s="3"/>
      <c r="G68" s="3"/>
      <c r="H68" s="3"/>
      <c r="I68" s="199"/>
      <c r="J68" s="199"/>
    </row>
    <row r="69" spans="1:11">
      <c r="A69" s="3"/>
      <c r="B69" s="3"/>
      <c r="C69" s="3"/>
      <c r="D69" s="3"/>
      <c r="E69" s="3"/>
      <c r="F69" s="3"/>
      <c r="G69" s="3"/>
      <c r="H69" s="3"/>
      <c r="I69" s="199"/>
      <c r="J69" s="199"/>
      <c r="K69" s="199"/>
    </row>
    <row r="70" spans="1:11">
      <c r="A70" s="3"/>
      <c r="B70" s="3"/>
      <c r="C70" s="3"/>
      <c r="D70" s="3"/>
      <c r="E70" s="3"/>
      <c r="F70" s="3"/>
      <c r="G70" s="3"/>
      <c r="H70" s="3"/>
      <c r="I70" s="199"/>
      <c r="J70" s="199"/>
      <c r="K70" s="199"/>
    </row>
    <row r="71" spans="1:11">
      <c r="A71" s="3"/>
      <c r="B71" s="3"/>
      <c r="C71" s="3"/>
      <c r="D71" s="3"/>
      <c r="E71" s="3"/>
      <c r="F71" s="3"/>
      <c r="G71" s="3"/>
      <c r="H71" s="3"/>
      <c r="I71" s="199"/>
      <c r="J71" s="199"/>
      <c r="K71" s="199"/>
    </row>
    <row r="72" spans="1:11">
      <c r="A72" s="3"/>
      <c r="B72" s="3"/>
      <c r="C72" s="3"/>
      <c r="D72" s="3"/>
      <c r="E72" s="3"/>
      <c r="F72" s="3"/>
      <c r="G72" s="3"/>
      <c r="H72" s="3"/>
      <c r="I72" s="199"/>
      <c r="J72" s="199"/>
      <c r="K72" s="199"/>
    </row>
    <row r="73" spans="1:11">
      <c r="A73" s="3"/>
      <c r="B73" s="3"/>
      <c r="C73" s="3"/>
      <c r="D73" s="3"/>
      <c r="E73" s="3"/>
      <c r="F73" s="3"/>
      <c r="G73" s="3"/>
      <c r="H73" s="3"/>
      <c r="I73" s="199"/>
      <c r="J73" s="199"/>
      <c r="K73" s="199"/>
    </row>
    <row r="74" spans="1:11">
      <c r="A74" s="3"/>
      <c r="B74" s="3"/>
      <c r="C74" s="3"/>
      <c r="D74" s="3"/>
      <c r="E74" s="3"/>
      <c r="F74" s="3"/>
      <c r="G74" s="3"/>
      <c r="H74" s="3"/>
      <c r="I74" s="199"/>
      <c r="J74" s="199"/>
      <c r="K74" s="199"/>
    </row>
    <row r="75" spans="1:11">
      <c r="A75" s="3"/>
      <c r="B75" s="3"/>
      <c r="C75" s="3"/>
      <c r="D75" s="3"/>
      <c r="E75" s="3"/>
      <c r="F75" s="3"/>
      <c r="G75" s="3"/>
      <c r="H75" s="3"/>
      <c r="I75" s="199"/>
      <c r="J75" s="199"/>
      <c r="K75" s="199"/>
    </row>
    <row r="76" spans="1:11">
      <c r="A76" s="3"/>
      <c r="B76" s="3"/>
      <c r="C76" s="3"/>
      <c r="D76" s="3"/>
      <c r="E76" s="3"/>
      <c r="F76" s="3"/>
      <c r="G76" s="3"/>
      <c r="H76" s="3"/>
      <c r="I76" s="199"/>
      <c r="J76" s="199"/>
      <c r="K76" s="199"/>
    </row>
    <row r="77" spans="1:11">
      <c r="A77" s="3"/>
      <c r="B77" s="3"/>
      <c r="C77" s="3"/>
      <c r="D77" s="3"/>
      <c r="E77" s="3"/>
      <c r="F77" s="3"/>
      <c r="G77" s="3"/>
      <c r="H77" s="3"/>
      <c r="I77" s="199"/>
      <c r="J77" s="199"/>
      <c r="K77" s="199"/>
    </row>
    <row r="78" spans="1:11">
      <c r="A78" s="3"/>
      <c r="B78" s="3"/>
      <c r="C78" s="3"/>
      <c r="D78" s="3"/>
      <c r="E78" s="3"/>
      <c r="F78" s="3"/>
      <c r="G78" s="3"/>
      <c r="H78" s="3"/>
      <c r="I78" s="199"/>
      <c r="J78" s="199"/>
      <c r="K78" s="199"/>
    </row>
    <row r="79" spans="1:11">
      <c r="A79" s="3"/>
      <c r="B79" s="3"/>
      <c r="C79" s="3"/>
      <c r="D79" s="3"/>
      <c r="E79" s="3"/>
      <c r="F79" s="3"/>
      <c r="G79" s="3"/>
      <c r="H79" s="3"/>
      <c r="I79" s="199"/>
      <c r="J79" s="199"/>
      <c r="K79" s="199"/>
    </row>
  </sheetData>
  <sheetProtection password="CAF5" sheet="1" objects="1" scenarios="1"/>
  <mergeCells count="9">
    <mergeCell ref="A1:L1"/>
    <mergeCell ref="A3:L3"/>
    <mergeCell ref="K6:K9"/>
    <mergeCell ref="B5:H5"/>
    <mergeCell ref="G7:G9"/>
    <mergeCell ref="H7:H9"/>
    <mergeCell ref="F7:F9"/>
    <mergeCell ref="L6:L9"/>
    <mergeCell ref="D7:D9"/>
  </mergeCells>
  <phoneticPr fontId="0" type="noConversion"/>
  <printOptions horizontalCentered="1"/>
  <pageMargins left="0.56000000000000005" right="0.49" top="0.83" bottom="1.07" header="0.67" footer="0.5"/>
  <pageSetup scale="67" orientation="landscape" r:id="rId1"/>
  <headerFooter alignWithMargins="0">
    <oddHeader xml:space="preserve">&amp;R
</oddHeader>
    <oddFooter>&amp;L&amp;"Arial,Italic"&amp;9MSDE - LFRO  12 / 2013
&amp;C- 15 -&amp;R&amp;"Arial,Italic"&amp;9Selected Financial Data-Part 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="90" zoomScaleNormal="90" workbookViewId="0">
      <selection sqref="A1:M1"/>
    </sheetView>
  </sheetViews>
  <sheetFormatPr defaultRowHeight="12.75"/>
  <cols>
    <col min="1" max="1" width="17.28515625" customWidth="1"/>
    <col min="2" max="2" width="15" customWidth="1"/>
    <col min="3" max="3" width="17.28515625" customWidth="1"/>
    <col min="4" max="4" width="12.85546875" style="224" customWidth="1"/>
    <col min="5" max="5" width="14.85546875" style="224" customWidth="1"/>
    <col min="6" max="6" width="12.28515625" style="224" customWidth="1"/>
    <col min="7" max="7" width="14.85546875" style="224" customWidth="1"/>
    <col min="8" max="8" width="14.5703125" style="224" customWidth="1"/>
    <col min="9" max="9" width="15.28515625" style="224" customWidth="1"/>
    <col min="10" max="11" width="16.42578125" style="224" customWidth="1"/>
    <col min="12" max="12" width="13.7109375" style="224" customWidth="1"/>
    <col min="13" max="13" width="14.5703125" style="224" customWidth="1"/>
    <col min="14" max="14" width="14" customWidth="1"/>
    <col min="16" max="16" width="16.140625" bestFit="1" customWidth="1"/>
    <col min="17" max="17" width="24" customWidth="1"/>
    <col min="18" max="18" width="16.42578125" customWidth="1"/>
  </cols>
  <sheetData>
    <row r="1" spans="1:13">
      <c r="A1" s="500" t="s">
        <v>119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</row>
    <row r="2" spans="1:13">
      <c r="A2" s="3"/>
      <c r="B2" s="3"/>
      <c r="C2" s="3"/>
    </row>
    <row r="3" spans="1:13">
      <c r="A3" s="506" t="s">
        <v>289</v>
      </c>
      <c r="B3" s="507"/>
      <c r="C3" s="507"/>
      <c r="D3" s="500"/>
      <c r="E3" s="500"/>
      <c r="F3" s="500"/>
      <c r="G3" s="500"/>
      <c r="H3" s="500"/>
      <c r="I3" s="500"/>
      <c r="J3" s="500"/>
      <c r="K3" s="500"/>
      <c r="L3" s="500"/>
      <c r="M3" s="500"/>
    </row>
    <row r="4" spans="1:13" ht="13.5" thickBot="1">
      <c r="A4" s="11"/>
      <c r="B4" s="11"/>
      <c r="C4" s="11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13" ht="13.5" thickTop="1">
      <c r="A5" s="3"/>
      <c r="B5" s="541" t="s">
        <v>152</v>
      </c>
      <c r="C5" s="518" t="s">
        <v>185</v>
      </c>
      <c r="D5" s="199"/>
      <c r="E5" s="199"/>
      <c r="F5" s="199"/>
      <c r="G5" s="200"/>
      <c r="H5" s="544" t="s">
        <v>229</v>
      </c>
      <c r="I5" s="524"/>
      <c r="J5" s="524"/>
      <c r="K5" s="524"/>
      <c r="L5" s="545"/>
      <c r="M5" s="199"/>
    </row>
    <row r="6" spans="1:13" ht="15" customHeight="1">
      <c r="A6" s="3"/>
      <c r="B6" s="542"/>
      <c r="C6" s="484"/>
      <c r="D6" s="510" t="s">
        <v>188</v>
      </c>
      <c r="E6" s="510" t="s">
        <v>186</v>
      </c>
      <c r="F6" s="510" t="s">
        <v>187</v>
      </c>
      <c r="G6" s="199"/>
      <c r="H6" s="518" t="s">
        <v>250</v>
      </c>
      <c r="I6" s="518" t="s">
        <v>251</v>
      </c>
      <c r="J6" s="518" t="s">
        <v>242</v>
      </c>
      <c r="K6" s="518" t="s">
        <v>243</v>
      </c>
      <c r="L6" s="518" t="s">
        <v>246</v>
      </c>
      <c r="M6" s="216" t="s">
        <v>36</v>
      </c>
    </row>
    <row r="7" spans="1:13">
      <c r="A7" s="3" t="s">
        <v>77</v>
      </c>
      <c r="B7" s="542"/>
      <c r="C7" s="485"/>
      <c r="D7" s="470"/>
      <c r="E7" s="470"/>
      <c r="F7" s="470"/>
      <c r="G7" s="518" t="s">
        <v>183</v>
      </c>
      <c r="H7" s="485"/>
      <c r="I7" s="485"/>
      <c r="J7" s="485"/>
      <c r="K7" s="485"/>
      <c r="L7" s="485"/>
      <c r="M7" s="216" t="s">
        <v>52</v>
      </c>
    </row>
    <row r="8" spans="1:13">
      <c r="A8" s="3" t="s">
        <v>33</v>
      </c>
      <c r="B8" s="542"/>
      <c r="C8" s="485"/>
      <c r="D8" s="470"/>
      <c r="E8" s="470"/>
      <c r="F8" s="470"/>
      <c r="G8" s="519"/>
      <c r="H8" s="485"/>
      <c r="I8" s="485"/>
      <c r="J8" s="485"/>
      <c r="K8" s="485"/>
      <c r="L8" s="485"/>
      <c r="M8" s="216" t="s">
        <v>51</v>
      </c>
    </row>
    <row r="9" spans="1:13" ht="13.5" thickBot="1">
      <c r="A9" s="7" t="s">
        <v>132</v>
      </c>
      <c r="B9" s="543"/>
      <c r="C9" s="486"/>
      <c r="D9" s="471"/>
      <c r="E9" s="471"/>
      <c r="F9" s="471"/>
      <c r="G9" s="498"/>
      <c r="H9" s="486"/>
      <c r="I9" s="486"/>
      <c r="J9" s="486"/>
      <c r="K9" s="486"/>
      <c r="L9" s="486"/>
      <c r="M9" s="226" t="s">
        <v>63</v>
      </c>
    </row>
    <row r="10" spans="1:13" s="305" customFormat="1">
      <c r="A10" s="289" t="s">
        <v>0</v>
      </c>
      <c r="B10" s="227">
        <f>SUM(B12:B39)</f>
        <v>105601.59999999999</v>
      </c>
      <c r="C10" s="227">
        <f>SUM(C12:C39)</f>
        <v>37823.61</v>
      </c>
      <c r="D10" s="227">
        <f t="shared" ref="D10:M10" si="0">SUM(D12:D39)</f>
        <v>174197.96000000002</v>
      </c>
      <c r="E10" s="304">
        <f t="shared" si="0"/>
        <v>26084124.460000001</v>
      </c>
      <c r="F10" s="227">
        <f t="shared" si="0"/>
        <v>664296.46</v>
      </c>
      <c r="G10" s="227">
        <f>SUM(G12:G39)</f>
        <v>22119367.430000007</v>
      </c>
      <c r="H10" s="227">
        <f>SUM(H12:H39)</f>
        <v>183425.85</v>
      </c>
      <c r="I10" s="227">
        <f>SUM(I12:I39)</f>
        <v>9291774.7199999988</v>
      </c>
      <c r="J10" s="227">
        <f t="shared" si="0"/>
        <v>41390613.310000002</v>
      </c>
      <c r="K10" s="227">
        <f t="shared" si="0"/>
        <v>105888.2</v>
      </c>
      <c r="L10" s="227">
        <f t="shared" si="0"/>
        <v>1812548.1600000001</v>
      </c>
      <c r="M10" s="227">
        <f t="shared" si="0"/>
        <v>48129759.760000005</v>
      </c>
    </row>
    <row r="11" spans="1:13">
      <c r="A11" s="3"/>
      <c r="B11" s="3"/>
      <c r="C11" s="3"/>
      <c r="D11" s="222"/>
      <c r="E11" s="222"/>
      <c r="F11" s="222"/>
      <c r="G11" s="228"/>
      <c r="H11" s="228"/>
      <c r="I11" s="228"/>
      <c r="J11" s="222"/>
      <c r="K11" s="222"/>
      <c r="L11" s="222"/>
      <c r="M11" s="222" t="s">
        <v>254</v>
      </c>
    </row>
    <row r="12" spans="1:13">
      <c r="A12" s="199" t="s">
        <v>1</v>
      </c>
      <c r="B12" s="130">
        <v>0</v>
      </c>
      <c r="C12" s="130">
        <v>7000</v>
      </c>
      <c r="D12" s="130">
        <v>0</v>
      </c>
      <c r="E12" s="130">
        <v>0</v>
      </c>
      <c r="F12" s="130">
        <v>0</v>
      </c>
      <c r="G12" s="130">
        <v>311292.93</v>
      </c>
      <c r="H12" s="130">
        <v>1750.91</v>
      </c>
      <c r="I12" s="130">
        <v>2618</v>
      </c>
      <c r="J12" s="130">
        <v>551405.9</v>
      </c>
      <c r="K12" s="130">
        <v>0</v>
      </c>
      <c r="L12" s="130">
        <v>0</v>
      </c>
      <c r="M12" s="130">
        <v>1627638.46</v>
      </c>
    </row>
    <row r="13" spans="1:13">
      <c r="A13" s="199" t="s">
        <v>2</v>
      </c>
      <c r="B13" s="130">
        <v>0</v>
      </c>
      <c r="C13" s="130">
        <v>0</v>
      </c>
      <c r="D13" s="130">
        <v>0</v>
      </c>
      <c r="E13" s="130">
        <v>0</v>
      </c>
      <c r="F13" s="130">
        <v>23808.92</v>
      </c>
      <c r="G13" s="130">
        <v>2578978.52</v>
      </c>
      <c r="H13" s="130">
        <v>0</v>
      </c>
      <c r="I13" s="130">
        <v>4746368</v>
      </c>
      <c r="J13" s="130">
        <v>1647897.97</v>
      </c>
      <c r="K13" s="130">
        <v>0</v>
      </c>
      <c r="L13" s="130">
        <v>0</v>
      </c>
      <c r="M13" s="130">
        <v>4117703.64</v>
      </c>
    </row>
    <row r="14" spans="1:13" s="23" customFormat="1">
      <c r="A14" s="32" t="s">
        <v>3</v>
      </c>
      <c r="B14" s="130">
        <v>85959.23</v>
      </c>
      <c r="C14" s="130">
        <v>0</v>
      </c>
      <c r="D14" s="129">
        <v>0</v>
      </c>
      <c r="E14" s="130">
        <v>8452503.8699999992</v>
      </c>
      <c r="F14" s="130">
        <v>91108.91</v>
      </c>
      <c r="G14" s="130">
        <v>13566501.9</v>
      </c>
      <c r="H14" s="130">
        <v>90203.42</v>
      </c>
      <c r="I14" s="130">
        <v>466857</v>
      </c>
      <c r="J14" s="130">
        <v>12728056.26</v>
      </c>
      <c r="K14" s="130">
        <v>105354.2</v>
      </c>
      <c r="L14" s="130">
        <v>0</v>
      </c>
      <c r="M14" s="130">
        <v>3547262.31</v>
      </c>
    </row>
    <row r="15" spans="1:13">
      <c r="A15" s="199" t="s">
        <v>4</v>
      </c>
      <c r="B15" s="130">
        <v>0</v>
      </c>
      <c r="C15" s="130">
        <v>11823.61</v>
      </c>
      <c r="D15" s="130">
        <v>174163.95</v>
      </c>
      <c r="E15" s="130">
        <v>7917074.0899999999</v>
      </c>
      <c r="F15" s="130">
        <v>85192.99</v>
      </c>
      <c r="G15" s="322">
        <v>24766</v>
      </c>
      <c r="H15" s="322">
        <v>0</v>
      </c>
      <c r="I15" s="322">
        <v>17226</v>
      </c>
      <c r="J15" s="130">
        <v>5864823.7300000004</v>
      </c>
      <c r="K15" s="130">
        <v>0</v>
      </c>
      <c r="L15" s="130">
        <v>214722.57</v>
      </c>
      <c r="M15" s="130">
        <v>999463.42</v>
      </c>
    </row>
    <row r="16" spans="1:13">
      <c r="A16" s="199" t="s">
        <v>5</v>
      </c>
      <c r="B16" s="130">
        <v>0</v>
      </c>
      <c r="C16" s="130">
        <v>0</v>
      </c>
      <c r="D16" s="129">
        <v>0</v>
      </c>
      <c r="E16" s="322">
        <v>377836.91</v>
      </c>
      <c r="F16" s="130">
        <v>14779.13</v>
      </c>
      <c r="G16" s="130">
        <v>367510.51</v>
      </c>
      <c r="H16" s="130">
        <v>0</v>
      </c>
      <c r="I16" s="130">
        <v>2946</v>
      </c>
      <c r="J16" s="130">
        <v>783965.89</v>
      </c>
      <c r="K16" s="130">
        <v>0</v>
      </c>
      <c r="L16" s="130">
        <v>3260</v>
      </c>
      <c r="M16" s="130">
        <v>281577.23</v>
      </c>
    </row>
    <row r="17" spans="1:14">
      <c r="A17" s="201"/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53"/>
    </row>
    <row r="18" spans="1:14">
      <c r="A18" s="199" t="s">
        <v>6</v>
      </c>
      <c r="B18" s="130">
        <v>509.78</v>
      </c>
      <c r="C18" s="130">
        <v>0</v>
      </c>
      <c r="D18" s="130">
        <v>0</v>
      </c>
      <c r="E18" s="130">
        <v>604500.06000000006</v>
      </c>
      <c r="F18" s="130">
        <v>0</v>
      </c>
      <c r="G18" s="130">
        <v>0</v>
      </c>
      <c r="H18" s="130">
        <v>0</v>
      </c>
      <c r="I18" s="130">
        <v>1352</v>
      </c>
      <c r="J18" s="130">
        <v>334847.82</v>
      </c>
      <c r="K18" s="130">
        <v>0</v>
      </c>
      <c r="L18" s="130">
        <v>0</v>
      </c>
      <c r="M18" s="130">
        <v>62517.440000000002</v>
      </c>
    </row>
    <row r="19" spans="1:14">
      <c r="A19" s="199" t="s">
        <v>7</v>
      </c>
      <c r="B19" s="130">
        <v>0</v>
      </c>
      <c r="C19" s="130">
        <v>0</v>
      </c>
      <c r="D19" s="130">
        <v>0</v>
      </c>
      <c r="E19" s="130">
        <v>0</v>
      </c>
      <c r="F19" s="130">
        <v>9320.2199999999993</v>
      </c>
      <c r="G19" s="130">
        <v>0</v>
      </c>
      <c r="H19" s="130">
        <v>0</v>
      </c>
      <c r="I19" s="130">
        <v>4670</v>
      </c>
      <c r="J19" s="130">
        <v>372053.14</v>
      </c>
      <c r="K19" s="130">
        <v>0</v>
      </c>
      <c r="L19" s="130">
        <v>0</v>
      </c>
      <c r="M19" s="130">
        <v>1636167.05</v>
      </c>
    </row>
    <row r="20" spans="1:14">
      <c r="A20" s="199" t="s">
        <v>8</v>
      </c>
      <c r="B20" s="130">
        <v>0</v>
      </c>
      <c r="C20" s="130">
        <v>0</v>
      </c>
      <c r="D20" s="130">
        <v>0</v>
      </c>
      <c r="E20" s="130">
        <v>1456627.47</v>
      </c>
      <c r="F20" s="130">
        <v>0</v>
      </c>
      <c r="G20" s="130">
        <v>0</v>
      </c>
      <c r="H20" s="130">
        <v>0</v>
      </c>
      <c r="I20" s="130">
        <v>3254</v>
      </c>
      <c r="J20" s="130">
        <v>1015011.38</v>
      </c>
      <c r="K20" s="130">
        <v>0</v>
      </c>
      <c r="L20" s="130">
        <v>0</v>
      </c>
      <c r="M20" s="130">
        <v>84045.25</v>
      </c>
    </row>
    <row r="21" spans="1:14">
      <c r="A21" s="199" t="s">
        <v>9</v>
      </c>
      <c r="B21" s="130">
        <v>0</v>
      </c>
      <c r="C21" s="130">
        <v>9000</v>
      </c>
      <c r="D21" s="130">
        <v>0</v>
      </c>
      <c r="E21" s="130">
        <v>0</v>
      </c>
      <c r="F21" s="130">
        <v>45244.17</v>
      </c>
      <c r="G21" s="322">
        <v>973107.03</v>
      </c>
      <c r="H21" s="322">
        <v>0</v>
      </c>
      <c r="I21" s="322">
        <v>107269.69</v>
      </c>
      <c r="J21" s="130">
        <v>973552.6</v>
      </c>
      <c r="K21" s="130">
        <v>0</v>
      </c>
      <c r="L21" s="130">
        <v>0</v>
      </c>
      <c r="M21" s="130">
        <v>1618025.91</v>
      </c>
    </row>
    <row r="22" spans="1:14">
      <c r="A22" s="199" t="s">
        <v>10</v>
      </c>
      <c r="B22" s="130">
        <v>0</v>
      </c>
      <c r="C22" s="130">
        <v>0</v>
      </c>
      <c r="D22" s="130">
        <v>0</v>
      </c>
      <c r="E22" s="130">
        <v>0</v>
      </c>
      <c r="F22" s="130">
        <v>0</v>
      </c>
      <c r="G22" s="130">
        <v>0</v>
      </c>
      <c r="H22" s="130">
        <v>600</v>
      </c>
      <c r="I22" s="130">
        <v>1023</v>
      </c>
      <c r="J22" s="130">
        <v>568392.41</v>
      </c>
      <c r="K22" s="130">
        <v>0</v>
      </c>
      <c r="L22" s="130">
        <v>0</v>
      </c>
      <c r="M22" s="130">
        <v>1007837.45</v>
      </c>
    </row>
    <row r="23" spans="1:14">
      <c r="A23" s="199"/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53"/>
    </row>
    <row r="24" spans="1:14">
      <c r="A24" s="199" t="s">
        <v>11</v>
      </c>
      <c r="B24" s="130">
        <v>0</v>
      </c>
      <c r="C24" s="130">
        <v>0</v>
      </c>
      <c r="D24" s="130">
        <v>0</v>
      </c>
      <c r="E24" s="130">
        <v>0</v>
      </c>
      <c r="F24" s="130">
        <v>42499.49</v>
      </c>
      <c r="G24" s="130">
        <v>80376.679999999993</v>
      </c>
      <c r="H24" s="130">
        <v>0</v>
      </c>
      <c r="I24" s="130">
        <v>162135.1</v>
      </c>
      <c r="J24" s="130">
        <v>148025.9</v>
      </c>
      <c r="K24" s="130">
        <v>0</v>
      </c>
      <c r="L24" s="130">
        <v>0</v>
      </c>
      <c r="M24" s="130">
        <v>2631471.9900000002</v>
      </c>
    </row>
    <row r="25" spans="1:14">
      <c r="A25" s="199" t="s">
        <v>12</v>
      </c>
      <c r="B25" s="130">
        <v>3615.87</v>
      </c>
      <c r="C25" s="130">
        <v>10000</v>
      </c>
      <c r="D25" s="130">
        <v>0</v>
      </c>
      <c r="E25" s="130">
        <v>375752.85</v>
      </c>
      <c r="F25" s="130">
        <v>0</v>
      </c>
      <c r="G25" s="130">
        <v>0</v>
      </c>
      <c r="H25" s="130">
        <v>1160.3900000000001</v>
      </c>
      <c r="I25" s="130">
        <v>805</v>
      </c>
      <c r="J25" s="130">
        <v>937038.1</v>
      </c>
      <c r="K25" s="130">
        <v>0</v>
      </c>
      <c r="L25" s="130">
        <v>0</v>
      </c>
      <c r="M25" s="130">
        <v>169914.45</v>
      </c>
    </row>
    <row r="26" spans="1:14">
      <c r="A26" s="199" t="s">
        <v>13</v>
      </c>
      <c r="B26" s="130">
        <v>0</v>
      </c>
      <c r="C26" s="130">
        <v>0</v>
      </c>
      <c r="D26" s="130">
        <v>0</v>
      </c>
      <c r="E26" s="130">
        <v>0</v>
      </c>
      <c r="F26" s="130">
        <v>20241</v>
      </c>
      <c r="G26" s="130">
        <v>448890</v>
      </c>
      <c r="H26" s="130">
        <v>0</v>
      </c>
      <c r="I26" s="130">
        <v>120582</v>
      </c>
      <c r="J26" s="130">
        <v>1118838.54</v>
      </c>
      <c r="K26" s="130">
        <v>0</v>
      </c>
      <c r="L26" s="130">
        <v>0</v>
      </c>
      <c r="M26" s="130">
        <v>3963004.3</v>
      </c>
    </row>
    <row r="27" spans="1:14">
      <c r="A27" s="199" t="s">
        <v>14</v>
      </c>
      <c r="B27" s="130">
        <v>0</v>
      </c>
      <c r="C27" s="130">
        <v>0</v>
      </c>
      <c r="D27" s="130">
        <v>0</v>
      </c>
      <c r="E27" s="130">
        <v>0</v>
      </c>
      <c r="F27" s="130">
        <f>58916.93+24662.08</f>
        <v>83579.010000000009</v>
      </c>
      <c r="G27" s="130">
        <v>147875</v>
      </c>
      <c r="H27" s="130">
        <v>0</v>
      </c>
      <c r="I27" s="130">
        <v>7640</v>
      </c>
      <c r="J27" s="130">
        <v>704803.53</v>
      </c>
      <c r="K27" s="130">
        <v>0</v>
      </c>
      <c r="L27" s="130">
        <v>0</v>
      </c>
      <c r="M27" s="130">
        <v>738099.9</v>
      </c>
    </row>
    <row r="28" spans="1:14">
      <c r="A28" s="199" t="s">
        <v>15</v>
      </c>
      <c r="B28" s="130">
        <v>0</v>
      </c>
      <c r="C28" s="130">
        <v>0</v>
      </c>
      <c r="D28" s="130">
        <v>0</v>
      </c>
      <c r="E28" s="130">
        <v>205022.83</v>
      </c>
      <c r="F28" s="130">
        <v>0</v>
      </c>
      <c r="G28" s="130">
        <v>81166.42</v>
      </c>
      <c r="H28" s="130">
        <v>0</v>
      </c>
      <c r="I28" s="130">
        <v>5836</v>
      </c>
      <c r="J28" s="130">
        <v>225408.93</v>
      </c>
      <c r="K28" s="130">
        <v>0</v>
      </c>
      <c r="L28" s="130">
        <v>0</v>
      </c>
      <c r="M28" s="130">
        <v>8232.4599999999991</v>
      </c>
    </row>
    <row r="29" spans="1:14">
      <c r="A29" s="199"/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53"/>
    </row>
    <row r="30" spans="1:14">
      <c r="A30" s="199" t="s">
        <v>16</v>
      </c>
      <c r="B30" s="130">
        <v>0</v>
      </c>
      <c r="C30" s="130">
        <v>0</v>
      </c>
      <c r="D30" s="130">
        <v>0</v>
      </c>
      <c r="E30" s="130">
        <v>4348530.17</v>
      </c>
      <c r="F30" s="322">
        <v>67063.990000000005</v>
      </c>
      <c r="G30" s="130">
        <v>504490.35</v>
      </c>
      <c r="H30" s="130">
        <v>0</v>
      </c>
      <c r="I30" s="130">
        <v>343626</v>
      </c>
      <c r="J30" s="130">
        <v>255833.74</v>
      </c>
      <c r="K30" s="130">
        <v>0</v>
      </c>
      <c r="L30" s="130">
        <v>1491615.59</v>
      </c>
      <c r="M30" s="130">
        <v>5312628.91</v>
      </c>
    </row>
    <row r="31" spans="1:14">
      <c r="A31" s="199" t="s">
        <v>17</v>
      </c>
      <c r="B31" s="130">
        <v>0</v>
      </c>
      <c r="C31" s="130">
        <v>0</v>
      </c>
      <c r="D31" s="130">
        <v>0</v>
      </c>
      <c r="E31" s="130">
        <v>0</v>
      </c>
      <c r="F31" s="322">
        <f>78249.8+9977</f>
        <v>88226.8</v>
      </c>
      <c r="G31" s="130">
        <v>129366.2</v>
      </c>
      <c r="H31" s="130">
        <v>20682.78</v>
      </c>
      <c r="I31" s="130">
        <v>28364</v>
      </c>
      <c r="J31" s="130">
        <v>7663846.3399999999</v>
      </c>
      <c r="K31" s="130">
        <v>534</v>
      </c>
      <c r="L31" s="130">
        <v>0</v>
      </c>
      <c r="M31" s="130">
        <v>15894764.689999999</v>
      </c>
    </row>
    <row r="32" spans="1:14" s="55" customFormat="1">
      <c r="A32" s="230" t="s">
        <v>18</v>
      </c>
      <c r="B32" s="130">
        <v>0</v>
      </c>
      <c r="C32" s="130">
        <v>0</v>
      </c>
      <c r="D32" s="130">
        <v>0</v>
      </c>
      <c r="E32" s="130"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456318.63</v>
      </c>
      <c r="K32" s="130">
        <v>0</v>
      </c>
      <c r="L32" s="130">
        <v>0</v>
      </c>
      <c r="M32" s="130">
        <v>443176.38</v>
      </c>
      <c r="N32" s="320"/>
    </row>
    <row r="33" spans="1:13">
      <c r="A33" s="199" t="s">
        <v>19</v>
      </c>
      <c r="B33" s="130">
        <v>0</v>
      </c>
      <c r="C33" s="130">
        <v>0</v>
      </c>
      <c r="D33" s="130">
        <v>0</v>
      </c>
      <c r="E33" s="130">
        <v>0</v>
      </c>
      <c r="F33" s="130">
        <v>7000</v>
      </c>
      <c r="G33" s="130">
        <v>2868147.09</v>
      </c>
      <c r="H33" s="130">
        <v>0</v>
      </c>
      <c r="I33" s="130">
        <v>3112</v>
      </c>
      <c r="J33" s="130">
        <f>861233.95+1367.61</f>
        <v>862601.55999999994</v>
      </c>
      <c r="K33" s="130">
        <v>0</v>
      </c>
      <c r="L33" s="130">
        <v>0</v>
      </c>
      <c r="M33" s="130">
        <f>2257770.18+75447.09</f>
        <v>2333217.27</v>
      </c>
    </row>
    <row r="34" spans="1:13">
      <c r="A34" s="199" t="s">
        <v>20</v>
      </c>
      <c r="B34" s="130">
        <v>516.72</v>
      </c>
      <c r="C34" s="130">
        <v>0</v>
      </c>
      <c r="D34" s="130">
        <v>0</v>
      </c>
      <c r="E34" s="130">
        <v>701364.55</v>
      </c>
      <c r="F34" s="130">
        <f>9338.67+1162.33</f>
        <v>10501</v>
      </c>
      <c r="G34" s="130">
        <v>0</v>
      </c>
      <c r="H34" s="130">
        <v>0</v>
      </c>
      <c r="I34" s="130">
        <f>1575.02+75956.99</f>
        <v>77532.010000000009</v>
      </c>
      <c r="J34" s="130">
        <v>653415.44999999995</v>
      </c>
      <c r="K34" s="130">
        <v>0</v>
      </c>
      <c r="L34" s="130">
        <v>0</v>
      </c>
      <c r="M34" s="130">
        <f>20195+8580.62</f>
        <v>28775.620000000003</v>
      </c>
    </row>
    <row r="35" spans="1:13">
      <c r="A35" s="199"/>
      <c r="B35" s="340"/>
      <c r="C35" s="337"/>
      <c r="D35" s="340"/>
      <c r="E35" s="340"/>
      <c r="F35" s="340"/>
      <c r="G35" s="340"/>
      <c r="H35" s="340"/>
      <c r="I35" s="340"/>
      <c r="J35" s="340"/>
      <c r="K35" s="340"/>
      <c r="L35" s="340"/>
      <c r="M35" s="353"/>
    </row>
    <row r="36" spans="1:13">
      <c r="A36" s="199" t="s">
        <v>21</v>
      </c>
      <c r="B36" s="130">
        <v>0</v>
      </c>
      <c r="C36" s="130">
        <v>0</v>
      </c>
      <c r="D36" s="130">
        <v>0</v>
      </c>
      <c r="E36" s="130">
        <v>326624.68</v>
      </c>
      <c r="F36" s="130">
        <v>0</v>
      </c>
      <c r="G36" s="130">
        <v>0</v>
      </c>
      <c r="H36" s="130">
        <v>0</v>
      </c>
      <c r="I36" s="130">
        <v>415</v>
      </c>
      <c r="J36" s="130">
        <v>290756.3</v>
      </c>
      <c r="K36" s="130">
        <v>0</v>
      </c>
      <c r="L36" s="130">
        <v>0</v>
      </c>
      <c r="M36" s="130">
        <v>0</v>
      </c>
    </row>
    <row r="37" spans="1:13">
      <c r="A37" s="199" t="s">
        <v>22</v>
      </c>
      <c r="B37" s="130">
        <v>0</v>
      </c>
      <c r="C37" s="130">
        <v>0</v>
      </c>
      <c r="D37" s="130">
        <v>34.01</v>
      </c>
      <c r="E37" s="130">
        <v>987342.81</v>
      </c>
      <c r="F37" s="130">
        <v>0</v>
      </c>
      <c r="G37" s="384">
        <v>36898.800000000003</v>
      </c>
      <c r="H37" s="130">
        <v>0</v>
      </c>
      <c r="I37" s="384">
        <v>4626</v>
      </c>
      <c r="J37" s="130">
        <v>1257579.04</v>
      </c>
      <c r="K37" s="130">
        <v>0</v>
      </c>
      <c r="L37" s="130">
        <v>0</v>
      </c>
      <c r="M37" s="130">
        <f>1344.75+10173.37+10664.33+22113.82</f>
        <v>44296.270000000004</v>
      </c>
    </row>
    <row r="38" spans="1:13">
      <c r="A38" s="199" t="s">
        <v>23</v>
      </c>
      <c r="B38" s="130">
        <v>0</v>
      </c>
      <c r="C38" s="130">
        <v>0</v>
      </c>
      <c r="D38" s="130">
        <v>0</v>
      </c>
      <c r="E38" s="130">
        <v>0</v>
      </c>
      <c r="F38" s="130">
        <f>40189.05+35541.78</f>
        <v>75730.83</v>
      </c>
      <c r="G38" s="130">
        <v>0</v>
      </c>
      <c r="H38" s="130">
        <v>69028.350000000006</v>
      </c>
      <c r="I38" s="130">
        <v>3182783.92</v>
      </c>
      <c r="J38" s="130">
        <v>1237059.6599999999</v>
      </c>
      <c r="K38" s="130">
        <v>0</v>
      </c>
      <c r="L38" s="130">
        <v>0</v>
      </c>
      <c r="M38" s="130">
        <f>1374321.14+37849.1+22</f>
        <v>1412192.24</v>
      </c>
    </row>
    <row r="39" spans="1:13">
      <c r="A39" s="306" t="s">
        <v>24</v>
      </c>
      <c r="B39" s="131">
        <v>15000</v>
      </c>
      <c r="C39" s="131">
        <v>0</v>
      </c>
      <c r="D39" s="131">
        <v>0</v>
      </c>
      <c r="E39" s="131">
        <v>330944.17</v>
      </c>
      <c r="F39" s="131">
        <v>0</v>
      </c>
      <c r="G39" s="131">
        <v>0</v>
      </c>
      <c r="H39" s="131">
        <v>0</v>
      </c>
      <c r="I39" s="28">
        <v>734</v>
      </c>
      <c r="J39" s="131">
        <v>739080.49</v>
      </c>
      <c r="K39" s="131">
        <v>0</v>
      </c>
      <c r="L39" s="131">
        <v>102950</v>
      </c>
      <c r="M39" s="131">
        <f>66554.72+101192.4</f>
        <v>167747.12</v>
      </c>
    </row>
    <row r="40" spans="1:13">
      <c r="A40" s="3"/>
      <c r="B40" s="3"/>
      <c r="C40" s="3"/>
      <c r="D40" s="196"/>
      <c r="E40" s="196"/>
      <c r="F40" s="196"/>
      <c r="G40" s="196"/>
      <c r="H40" s="196"/>
      <c r="I40" s="196"/>
      <c r="J40" s="196"/>
      <c r="K40" s="196"/>
      <c r="L40" s="196"/>
      <c r="M40" s="196"/>
    </row>
    <row r="41" spans="1:13">
      <c r="A41" s="3"/>
      <c r="B41" s="3"/>
      <c r="C41" s="3"/>
      <c r="D41" s="201"/>
      <c r="E41" s="201"/>
      <c r="F41" s="201"/>
      <c r="G41" s="201"/>
      <c r="H41" s="201"/>
      <c r="I41" s="201"/>
      <c r="J41" s="201"/>
      <c r="K41" s="201"/>
      <c r="L41" s="201"/>
      <c r="M41" s="201"/>
    </row>
    <row r="42" spans="1:13">
      <c r="A42" s="3"/>
      <c r="B42" s="3"/>
      <c r="C42" s="3"/>
      <c r="D42" s="201"/>
      <c r="E42" s="201"/>
      <c r="F42" s="201"/>
      <c r="G42" s="201"/>
      <c r="H42" s="201"/>
      <c r="I42" s="201"/>
      <c r="J42" s="201"/>
      <c r="K42" s="201"/>
      <c r="L42" s="201"/>
      <c r="M42" s="201"/>
    </row>
    <row r="43" spans="1:13">
      <c r="A43" s="3"/>
      <c r="B43" s="3"/>
      <c r="C43" s="3"/>
      <c r="D43" s="201"/>
      <c r="E43" s="201"/>
      <c r="F43" s="201"/>
      <c r="G43" s="201"/>
      <c r="H43" s="201"/>
      <c r="I43" s="201"/>
      <c r="J43" s="201"/>
      <c r="K43" s="201"/>
      <c r="L43" s="201"/>
      <c r="M43" s="201"/>
    </row>
    <row r="44" spans="1:13">
      <c r="A44" s="3"/>
      <c r="B44" s="3"/>
      <c r="C44" s="3"/>
    </row>
    <row r="45" spans="1:13">
      <c r="A45" s="3"/>
      <c r="B45" s="3"/>
      <c r="C45" s="3"/>
    </row>
    <row r="46" spans="1:13">
      <c r="A46" s="3"/>
      <c r="B46" s="3"/>
      <c r="C46" s="3"/>
    </row>
    <row r="47" spans="1:13">
      <c r="A47" s="3"/>
      <c r="B47" s="3"/>
      <c r="C47" s="3"/>
    </row>
    <row r="48" spans="1:13">
      <c r="A48" s="3"/>
      <c r="B48" s="3"/>
      <c r="C48" s="3"/>
    </row>
    <row r="49" spans="1:3">
      <c r="A49" s="3"/>
      <c r="B49" s="3"/>
      <c r="C49" s="3"/>
    </row>
    <row r="50" spans="1:3">
      <c r="A50" s="3"/>
      <c r="B50" s="3"/>
      <c r="C50" s="3"/>
    </row>
    <row r="51" spans="1:3">
      <c r="A51" s="3"/>
      <c r="B51" s="3"/>
      <c r="C51" s="3"/>
    </row>
    <row r="52" spans="1:3">
      <c r="A52" s="3"/>
      <c r="B52" s="3"/>
      <c r="C52" s="3"/>
    </row>
    <row r="53" spans="1:3">
      <c r="A53" s="3"/>
      <c r="B53" s="3"/>
      <c r="C53" s="3"/>
    </row>
    <row r="54" spans="1:3">
      <c r="A54" s="3"/>
      <c r="B54" s="3"/>
      <c r="C54" s="3"/>
    </row>
    <row r="55" spans="1:3">
      <c r="A55" s="3"/>
      <c r="B55" s="3"/>
      <c r="C55" s="3"/>
    </row>
    <row r="56" spans="1:3">
      <c r="A56" s="3"/>
      <c r="B56" s="3"/>
      <c r="C56" s="3"/>
    </row>
    <row r="57" spans="1:3">
      <c r="A57" s="3"/>
      <c r="B57" s="3"/>
      <c r="C57" s="3"/>
    </row>
    <row r="58" spans="1:3">
      <c r="A58" s="3"/>
      <c r="B58" s="3"/>
      <c r="C58" s="3"/>
    </row>
    <row r="59" spans="1:3">
      <c r="A59" s="3"/>
      <c r="B59" s="3"/>
      <c r="C59" s="3"/>
    </row>
    <row r="60" spans="1:3">
      <c r="A60" s="3"/>
      <c r="B60" s="3"/>
      <c r="C60" s="3"/>
    </row>
    <row r="61" spans="1:3">
      <c r="A61" s="3"/>
      <c r="B61" s="3"/>
      <c r="C61" s="3"/>
    </row>
    <row r="62" spans="1:3">
      <c r="A62" s="3"/>
      <c r="B62" s="3"/>
      <c r="C62" s="3"/>
    </row>
    <row r="63" spans="1:3">
      <c r="A63" s="3"/>
      <c r="B63" s="3"/>
      <c r="C63" s="3"/>
    </row>
    <row r="64" spans="1:3">
      <c r="A64" s="3"/>
      <c r="B64" s="3"/>
      <c r="C64" s="3"/>
    </row>
    <row r="65" spans="1:3">
      <c r="A65" s="3"/>
      <c r="B65" s="3"/>
      <c r="C65" s="3"/>
    </row>
    <row r="66" spans="1:3">
      <c r="A66" s="3"/>
      <c r="B66" s="3"/>
      <c r="C66" s="3"/>
    </row>
    <row r="67" spans="1:3">
      <c r="A67" s="3"/>
      <c r="B67" s="3"/>
      <c r="C67" s="3"/>
    </row>
    <row r="68" spans="1:3">
      <c r="A68" s="3"/>
      <c r="B68" s="3"/>
      <c r="C68" s="3"/>
    </row>
    <row r="69" spans="1:3">
      <c r="A69" s="3"/>
      <c r="B69" s="3"/>
      <c r="C69" s="3"/>
    </row>
    <row r="70" spans="1:3">
      <c r="A70" s="3"/>
      <c r="B70" s="3"/>
      <c r="C70" s="3"/>
    </row>
    <row r="71" spans="1:3">
      <c r="A71" s="3"/>
      <c r="B71" s="3"/>
      <c r="C71" s="3"/>
    </row>
  </sheetData>
  <sheetProtection password="CAF5" sheet="1" objects="1" scenarios="1"/>
  <mergeCells count="14">
    <mergeCell ref="K6:K9"/>
    <mergeCell ref="L6:L9"/>
    <mergeCell ref="B5:B9"/>
    <mergeCell ref="C5:C9"/>
    <mergeCell ref="A1:M1"/>
    <mergeCell ref="A3:M3"/>
    <mergeCell ref="E6:E9"/>
    <mergeCell ref="F6:F9"/>
    <mergeCell ref="D6:D9"/>
    <mergeCell ref="G7:G9"/>
    <mergeCell ref="J6:J9"/>
    <mergeCell ref="H6:H9"/>
    <mergeCell ref="H5:L5"/>
    <mergeCell ref="I6:I9"/>
  </mergeCells>
  <phoneticPr fontId="0" type="noConversion"/>
  <printOptions horizontalCentered="1"/>
  <pageMargins left="0.69" right="0.65" top="0.83" bottom="1.2" header="0.67" footer="0.5"/>
  <pageSetup scale="64" orientation="landscape" r:id="rId1"/>
  <headerFooter alignWithMargins="0">
    <oddHeader xml:space="preserve">&amp;R
</oddHeader>
    <oddFooter>&amp;L&amp;"Arial,Italic"&amp;9MSDE - LFRO  12 / 2013
&amp;C- 16 -&amp;R&amp;"Arial,Italic"&amp;9Selected Financial Data-Part 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"/>
  <sheetViews>
    <sheetView zoomScaleNormal="100" workbookViewId="0"/>
  </sheetViews>
  <sheetFormatPr defaultColWidth="11.42578125" defaultRowHeight="12.75"/>
  <cols>
    <col min="1" max="1" width="17.85546875" style="24" customWidth="1"/>
    <col min="2" max="2" width="13.42578125" style="183" customWidth="1"/>
    <col min="3" max="3" width="17.7109375" style="183" customWidth="1"/>
    <col min="4" max="4" width="17.5703125" style="183" bestFit="1" customWidth="1"/>
    <col min="5" max="5" width="14.140625" style="183" customWidth="1"/>
    <col min="6" max="6" width="14" style="183" customWidth="1"/>
    <col min="7" max="7" width="15.5703125" style="183" customWidth="1"/>
    <col min="8" max="8" width="17.42578125" style="183" customWidth="1"/>
    <col min="9" max="11" width="14.7109375" style="183" customWidth="1"/>
    <col min="12" max="12" width="12.5703125" style="183" customWidth="1"/>
    <col min="13" max="16384" width="11.42578125" style="24"/>
  </cols>
  <sheetData>
    <row r="1" spans="1:12">
      <c r="A1" s="22" t="s">
        <v>93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>
      <c r="A2" s="22"/>
      <c r="B2" s="232"/>
      <c r="C2" s="232"/>
      <c r="D2" s="232"/>
      <c r="E2" s="232"/>
      <c r="F2" s="232"/>
      <c r="G2" s="232"/>
      <c r="H2" s="232"/>
      <c r="I2" s="232"/>
      <c r="J2" s="245"/>
      <c r="K2" s="245"/>
      <c r="L2" s="232"/>
    </row>
    <row r="3" spans="1:12">
      <c r="A3" s="334" t="s">
        <v>290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ht="13.5" thickBot="1">
      <c r="A4" s="47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1:12" ht="15" customHeight="1" thickTop="1">
      <c r="A5" s="546" t="s">
        <v>164</v>
      </c>
      <c r="B5" s="549" t="s">
        <v>271</v>
      </c>
      <c r="C5" s="553" t="s">
        <v>190</v>
      </c>
      <c r="D5" s="553" t="s">
        <v>166</v>
      </c>
      <c r="E5" s="549" t="s">
        <v>272</v>
      </c>
      <c r="F5" s="549" t="s">
        <v>273</v>
      </c>
      <c r="G5" s="547" t="s">
        <v>94</v>
      </c>
      <c r="H5" s="547"/>
      <c r="I5" s="547"/>
      <c r="J5" s="547"/>
      <c r="K5" s="547"/>
      <c r="L5" s="547"/>
    </row>
    <row r="6" spans="1:12" ht="12.75" customHeight="1">
      <c r="A6" s="485"/>
      <c r="B6" s="550"/>
      <c r="C6" s="477"/>
      <c r="D6" s="477"/>
      <c r="E6" s="550"/>
      <c r="F6" s="550"/>
      <c r="G6" s="548" t="s">
        <v>167</v>
      </c>
      <c r="H6" s="552" t="s">
        <v>215</v>
      </c>
      <c r="I6" s="548" t="s">
        <v>212</v>
      </c>
      <c r="J6" s="548" t="s">
        <v>191</v>
      </c>
      <c r="K6" s="548" t="s">
        <v>163</v>
      </c>
      <c r="L6" s="548" t="s">
        <v>165</v>
      </c>
    </row>
    <row r="7" spans="1:12">
      <c r="A7" s="485"/>
      <c r="B7" s="550"/>
      <c r="C7" s="477"/>
      <c r="D7" s="477"/>
      <c r="E7" s="550"/>
      <c r="F7" s="550"/>
      <c r="G7" s="477"/>
      <c r="H7" s="550"/>
      <c r="I7" s="468"/>
      <c r="J7" s="468"/>
      <c r="K7" s="477"/>
      <c r="L7" s="477"/>
    </row>
    <row r="8" spans="1:12">
      <c r="A8" s="485"/>
      <c r="B8" s="550"/>
      <c r="C8" s="477"/>
      <c r="D8" s="477"/>
      <c r="E8" s="550"/>
      <c r="F8" s="550"/>
      <c r="G8" s="477"/>
      <c r="H8" s="550"/>
      <c r="I8" s="468"/>
      <c r="J8" s="468"/>
      <c r="K8" s="477"/>
      <c r="L8" s="477"/>
    </row>
    <row r="9" spans="1:12" ht="13.5" thickBot="1">
      <c r="A9" s="486"/>
      <c r="B9" s="551"/>
      <c r="C9" s="469"/>
      <c r="D9" s="469"/>
      <c r="E9" s="551"/>
      <c r="F9" s="551"/>
      <c r="G9" s="469"/>
      <c r="H9" s="551"/>
      <c r="I9" s="469"/>
      <c r="J9" s="469"/>
      <c r="K9" s="469"/>
      <c r="L9" s="469"/>
    </row>
    <row r="10" spans="1:12">
      <c r="A10" s="32" t="s">
        <v>0</v>
      </c>
      <c r="B10" s="223">
        <f>SUM(B12:B39)</f>
        <v>823452</v>
      </c>
      <c r="C10" s="236">
        <f>SUM(C12:C39)</f>
        <v>399745186583</v>
      </c>
      <c r="D10" s="237">
        <f>+C10/B10</f>
        <v>485450.50176938059</v>
      </c>
      <c r="E10" s="236">
        <f>SUM(E12:E39)+1</f>
        <v>5567358973</v>
      </c>
      <c r="F10" s="236">
        <f>SUM(F12:F39)+1</f>
        <v>2783665582.2893786</v>
      </c>
      <c r="G10" s="236">
        <f>SUM(G12:G39)-2</f>
        <v>2783693390.7106214</v>
      </c>
      <c r="H10" s="236">
        <f>SUM(H12:H39)-1</f>
        <v>835103844.79999971</v>
      </c>
      <c r="I10" s="236">
        <f>SUM(I12:I39)-2</f>
        <v>2810405122.3696589</v>
      </c>
      <c r="J10" s="246">
        <f>SUM(J12:J39)</f>
        <v>128752660</v>
      </c>
      <c r="K10" s="236">
        <f>SUM(K12:K39)-2</f>
        <v>2939157782.3696589</v>
      </c>
      <c r="L10" s="236">
        <f>K10/B10</f>
        <v>3569.3128225684786</v>
      </c>
    </row>
    <row r="11" spans="1:12">
      <c r="A11" s="23"/>
      <c r="B11" s="213"/>
      <c r="C11" s="213"/>
      <c r="D11" s="238"/>
      <c r="E11" s="213"/>
      <c r="F11" s="241"/>
      <c r="G11" s="213"/>
      <c r="H11" s="213"/>
      <c r="I11" s="213"/>
      <c r="J11" s="247"/>
      <c r="K11" s="213"/>
      <c r="L11" s="277"/>
    </row>
    <row r="12" spans="1:12">
      <c r="A12" s="23" t="s">
        <v>1</v>
      </c>
      <c r="B12" s="363">
        <v>8414</v>
      </c>
      <c r="C12" s="179">
        <v>2468109811</v>
      </c>
      <c r="D12" s="238">
        <f>+C12/B12</f>
        <v>293333.70703589258</v>
      </c>
      <c r="E12" s="210">
        <f>(B12*6761)</f>
        <v>56887054</v>
      </c>
      <c r="F12" s="213">
        <f>C12*0.69636%</f>
        <v>17186929.479879599</v>
      </c>
      <c r="G12" s="213">
        <f>+E12-F12</f>
        <v>39700124.520120397</v>
      </c>
      <c r="H12" s="243">
        <f>E12*0.15</f>
        <v>8533058.0999999996</v>
      </c>
      <c r="I12" s="354">
        <f>IF(G12&gt;H12,G12,H12)</f>
        <v>39700124.520120397</v>
      </c>
      <c r="J12" s="364">
        <v>0</v>
      </c>
      <c r="K12" s="210">
        <f>I12+J12</f>
        <v>39700124.520120397</v>
      </c>
      <c r="L12" s="277">
        <f>K12/B12</f>
        <v>4718.3413976848578</v>
      </c>
    </row>
    <row r="13" spans="1:12">
      <c r="A13" s="23" t="s">
        <v>2</v>
      </c>
      <c r="B13" s="363">
        <v>74305.25</v>
      </c>
      <c r="C13" s="179">
        <v>44586734277</v>
      </c>
      <c r="D13" s="238">
        <f>+C13/B13</f>
        <v>600048.23719723709</v>
      </c>
      <c r="E13" s="210">
        <f t="shared" ref="E13:E16" si="0">(B13*6761)</f>
        <v>502377795.25</v>
      </c>
      <c r="F13" s="213">
        <f t="shared" ref="F13:F16" si="1">C13*0.69636%</f>
        <v>310484182.81131721</v>
      </c>
      <c r="G13" s="213">
        <f>+E13-F13</f>
        <v>191893612.43868279</v>
      </c>
      <c r="H13" s="243">
        <f>E13*0.15</f>
        <v>75356669.287499994</v>
      </c>
      <c r="I13" s="354">
        <f>IF(G13&gt;H13,G13,H13)</f>
        <v>191893612.43868279</v>
      </c>
      <c r="J13" s="365">
        <v>9042800</v>
      </c>
      <c r="K13" s="210">
        <f>I13+J13</f>
        <v>200936412.43868279</v>
      </c>
      <c r="L13" s="277">
        <f>K13/B13</f>
        <v>2704.202091220779</v>
      </c>
    </row>
    <row r="14" spans="1:12">
      <c r="A14" s="23" t="s">
        <v>3</v>
      </c>
      <c r="B14" s="363">
        <v>78871</v>
      </c>
      <c r="C14" s="179">
        <v>22413396594</v>
      </c>
      <c r="D14" s="238">
        <f>+C14/B14</f>
        <v>284177.91829696595</v>
      </c>
      <c r="E14" s="210">
        <f t="shared" si="0"/>
        <v>533246831</v>
      </c>
      <c r="F14" s="213">
        <f t="shared" si="1"/>
        <v>156077928.52197838</v>
      </c>
      <c r="G14" s="213">
        <f>+E14-F14</f>
        <v>377168902.47802162</v>
      </c>
      <c r="H14" s="243">
        <f>E14*0.15</f>
        <v>79987024.649999991</v>
      </c>
      <c r="I14" s="354">
        <f>IF(G14&gt;H14,G14,H14)</f>
        <v>377168902.47802162</v>
      </c>
      <c r="J14" s="365">
        <v>22396367</v>
      </c>
      <c r="K14" s="210">
        <f>I14+J14</f>
        <v>399565269.47802162</v>
      </c>
      <c r="L14" s="277">
        <f>K14/B14</f>
        <v>5066.060649389784</v>
      </c>
    </row>
    <row r="15" spans="1:12">
      <c r="A15" s="23" t="s">
        <v>4</v>
      </c>
      <c r="B15" s="364">
        <v>101281.75</v>
      </c>
      <c r="C15" s="179">
        <v>50067942111</v>
      </c>
      <c r="D15" s="238">
        <f>+C15/B15</f>
        <v>494343.17743324931</v>
      </c>
      <c r="E15" s="210">
        <f t="shared" si="0"/>
        <v>684765911.75</v>
      </c>
      <c r="F15" s="213">
        <f t="shared" si="1"/>
        <v>348653121.68415958</v>
      </c>
      <c r="G15" s="213">
        <f>+E15-F15</f>
        <v>336112790.06584042</v>
      </c>
      <c r="H15" s="243">
        <f>E15*0.15</f>
        <v>102714886.7625</v>
      </c>
      <c r="I15" s="354">
        <f>IF(G15&gt;H15,G15,H15)</f>
        <v>336112790.06584042</v>
      </c>
      <c r="J15" s="365">
        <v>5478127</v>
      </c>
      <c r="K15" s="210">
        <f>I15+J15</f>
        <v>341590917.06584042</v>
      </c>
      <c r="L15" s="277">
        <f>K15/B15</f>
        <v>3372.6798467230319</v>
      </c>
    </row>
    <row r="16" spans="1:12">
      <c r="A16" s="23" t="s">
        <v>5</v>
      </c>
      <c r="B16" s="363">
        <v>16136.25</v>
      </c>
      <c r="C16" s="179">
        <v>7412473081</v>
      </c>
      <c r="D16" s="238">
        <f>+C16/B16</f>
        <v>459367.76394763344</v>
      </c>
      <c r="E16" s="210">
        <f t="shared" si="0"/>
        <v>109097186.25</v>
      </c>
      <c r="F16" s="213">
        <f t="shared" si="1"/>
        <v>51617497.546851598</v>
      </c>
      <c r="G16" s="213">
        <f>+E16-F16</f>
        <v>57479688.703148402</v>
      </c>
      <c r="H16" s="243">
        <f>E16*0.15</f>
        <v>16364577.9375</v>
      </c>
      <c r="I16" s="354">
        <f>IF(G16&gt;H16,G16,H16)</f>
        <v>57479688.703148402</v>
      </c>
      <c r="J16" s="365">
        <v>2291041</v>
      </c>
      <c r="K16" s="210">
        <f>I16+J16</f>
        <v>59770729.703148402</v>
      </c>
      <c r="L16" s="277">
        <f>K16/B16</f>
        <v>3704.1276444742989</v>
      </c>
    </row>
    <row r="17" spans="1:12">
      <c r="A17" s="23"/>
      <c r="C17" s="179"/>
      <c r="D17" s="239"/>
      <c r="E17" s="240"/>
      <c r="F17" s="213"/>
      <c r="G17" s="213"/>
      <c r="H17" s="243"/>
      <c r="J17" s="365"/>
      <c r="K17" s="213"/>
      <c r="L17" s="277"/>
    </row>
    <row r="18" spans="1:12">
      <c r="A18" s="23" t="s">
        <v>6</v>
      </c>
      <c r="B18" s="363">
        <v>5221</v>
      </c>
      <c r="C18" s="179">
        <v>1593510148</v>
      </c>
      <c r="D18" s="238">
        <f>+C18/B18</f>
        <v>305211.6736257422</v>
      </c>
      <c r="E18" s="210">
        <f>(B18*6761)</f>
        <v>35299181</v>
      </c>
      <c r="F18" s="213">
        <f>C18*0.69636%</f>
        <v>11096567.2666128</v>
      </c>
      <c r="G18" s="213">
        <f>+E18-F18</f>
        <v>24202613.733387202</v>
      </c>
      <c r="H18" s="243">
        <f>E18*0.15</f>
        <v>5294877.1499999994</v>
      </c>
      <c r="I18" s="354">
        <f>IF(G18&gt;H18,G18,H18)</f>
        <v>24202613.733387202</v>
      </c>
      <c r="J18" s="364">
        <v>0</v>
      </c>
      <c r="K18" s="210">
        <f>I18+J18</f>
        <v>24202613.733387202</v>
      </c>
      <c r="L18" s="277">
        <f>K18/B18</f>
        <v>4635.627989539782</v>
      </c>
    </row>
    <row r="19" spans="1:12">
      <c r="A19" s="23" t="s">
        <v>7</v>
      </c>
      <c r="B19" s="363">
        <v>26785.75</v>
      </c>
      <c r="C19" s="179">
        <v>11503932394</v>
      </c>
      <c r="D19" s="238">
        <f>+C19/B19</f>
        <v>429479.57006990659</v>
      </c>
      <c r="E19" s="210">
        <f t="shared" ref="E19:E22" si="2">(B19*6761)</f>
        <v>181098455.75</v>
      </c>
      <c r="F19" s="213">
        <f t="shared" ref="F19:F22" si="3">C19*0.69636%</f>
        <v>80108783.618858397</v>
      </c>
      <c r="G19" s="213">
        <f>+E19-F19</f>
        <v>100989672.1311416</v>
      </c>
      <c r="H19" s="243">
        <f>E19*0.15</f>
        <v>27164768.362500001</v>
      </c>
      <c r="I19" s="354">
        <f>IF(G19&gt;H19,G19,H19)</f>
        <v>100989672.1311416</v>
      </c>
      <c r="J19" s="365">
        <v>2535378</v>
      </c>
      <c r="K19" s="210">
        <f>I19+J19</f>
        <v>103525050.1311416</v>
      </c>
      <c r="L19" s="277">
        <f>K19/B19</f>
        <v>3864.9300516558842</v>
      </c>
    </row>
    <row r="20" spans="1:12">
      <c r="A20" s="23" t="s">
        <v>8</v>
      </c>
      <c r="B20" s="363">
        <v>15236</v>
      </c>
      <c r="C20" s="179">
        <v>5857248513</v>
      </c>
      <c r="D20" s="238">
        <f>+C20/B20</f>
        <v>384434.79344972433</v>
      </c>
      <c r="E20" s="210">
        <f t="shared" si="2"/>
        <v>103010596</v>
      </c>
      <c r="F20" s="213">
        <f t="shared" si="3"/>
        <v>40787535.745126799</v>
      </c>
      <c r="G20" s="213">
        <f>+E20-F20</f>
        <v>62223060.254873201</v>
      </c>
      <c r="H20" s="243">
        <f>E20*0.15</f>
        <v>15451589.399999999</v>
      </c>
      <c r="I20" s="354">
        <f>IF(G20&gt;H20,G20,H20)</f>
        <v>62223060.254873201</v>
      </c>
      <c r="J20" s="364">
        <v>0</v>
      </c>
      <c r="K20" s="210">
        <f>I20+J20</f>
        <v>62223060.254873201</v>
      </c>
      <c r="L20" s="277">
        <f>K20/B20</f>
        <v>4083.9498723334996</v>
      </c>
    </row>
    <row r="21" spans="1:12">
      <c r="A21" s="23" t="s">
        <v>9</v>
      </c>
      <c r="B21" s="363">
        <v>25869.5</v>
      </c>
      <c r="C21" s="179">
        <v>9938349276</v>
      </c>
      <c r="D21" s="238">
        <f>+C21/B21</f>
        <v>384172.45312047005</v>
      </c>
      <c r="E21" s="210">
        <f t="shared" si="2"/>
        <v>174903689.5</v>
      </c>
      <c r="F21" s="213">
        <f t="shared" si="3"/>
        <v>69206689.018353596</v>
      </c>
      <c r="G21" s="213">
        <f>+E21-F21</f>
        <v>105697000.4816464</v>
      </c>
      <c r="H21" s="243">
        <f>E21*0.15</f>
        <v>26235553.425000001</v>
      </c>
      <c r="I21" s="354">
        <f>IF(G21&gt;H21,G21,H21)</f>
        <v>105697000.4816464</v>
      </c>
      <c r="J21" s="365">
        <v>3498074</v>
      </c>
      <c r="K21" s="210">
        <f>I21+J21</f>
        <v>109195074.4816464</v>
      </c>
      <c r="L21" s="277">
        <f>K21/B21</f>
        <v>4220.9967135679626</v>
      </c>
    </row>
    <row r="22" spans="1:12">
      <c r="A22" s="23" t="s">
        <v>10</v>
      </c>
      <c r="B22" s="363">
        <v>4391</v>
      </c>
      <c r="C22" s="179">
        <v>1690137860</v>
      </c>
      <c r="D22" s="238">
        <f>+C22/B22</f>
        <v>384909.55590981554</v>
      </c>
      <c r="E22" s="210">
        <f t="shared" si="2"/>
        <v>29687551</v>
      </c>
      <c r="F22" s="213">
        <f t="shared" si="3"/>
        <v>11769444.001896</v>
      </c>
      <c r="G22" s="213">
        <f>+E22-F22</f>
        <v>17918106.998103999</v>
      </c>
      <c r="H22" s="243">
        <f>E22*0.15</f>
        <v>4453132.6499999994</v>
      </c>
      <c r="I22" s="354">
        <f>IF(G22&gt;H22,G22,H22)</f>
        <v>17918106.998103999</v>
      </c>
      <c r="J22" s="364">
        <v>0</v>
      </c>
      <c r="K22" s="210">
        <f>I22+J22</f>
        <v>17918106.998103999</v>
      </c>
      <c r="L22" s="277">
        <f>K22/B22</f>
        <v>4080.6438164664082</v>
      </c>
    </row>
    <row r="23" spans="1:12">
      <c r="A23" s="23"/>
      <c r="B23" s="363"/>
      <c r="C23" s="179"/>
      <c r="D23" s="238"/>
      <c r="E23" s="240"/>
      <c r="F23" s="213"/>
      <c r="G23" s="213"/>
      <c r="H23" s="243"/>
      <c r="I23" s="179"/>
      <c r="J23" s="365"/>
      <c r="K23" s="213"/>
      <c r="L23" s="277"/>
    </row>
    <row r="24" spans="1:12">
      <c r="A24" s="23" t="s">
        <v>11</v>
      </c>
      <c r="B24" s="363">
        <v>39316.25</v>
      </c>
      <c r="C24" s="179">
        <v>15976323270</v>
      </c>
      <c r="D24" s="238">
        <f>+C24/B24</f>
        <v>406354.19883635902</v>
      </c>
      <c r="E24" s="210">
        <f>(B24*6761)</f>
        <v>265817166.25</v>
      </c>
      <c r="F24" s="213">
        <f>C24*0.69636%</f>
        <v>111252724.72297199</v>
      </c>
      <c r="G24" s="213">
        <f>+E24-F24+1</f>
        <v>154564442.52702802</v>
      </c>
      <c r="H24" s="243">
        <f>E24*0.15</f>
        <v>39872574.9375</v>
      </c>
      <c r="I24" s="354">
        <f>IF(G24&gt;H24,G24,H24)</f>
        <v>154564442.52702802</v>
      </c>
      <c r="J24" s="365">
        <v>6379612</v>
      </c>
      <c r="K24" s="210">
        <f>I24+J24</f>
        <v>160944054.52702802</v>
      </c>
      <c r="L24" s="277">
        <f>K24/B24</f>
        <v>4093.5759266722544</v>
      </c>
    </row>
    <row r="25" spans="1:12">
      <c r="A25" s="23" t="s">
        <v>12</v>
      </c>
      <c r="B25" s="363">
        <v>3942.75</v>
      </c>
      <c r="C25" s="179">
        <v>2395825627</v>
      </c>
      <c r="D25" s="238">
        <f>+C25/B25</f>
        <v>607653.4467059793</v>
      </c>
      <c r="E25" s="210">
        <f t="shared" ref="E25:E28" si="4">(B25*6761)</f>
        <v>26656932.75</v>
      </c>
      <c r="F25" s="213">
        <f t="shared" ref="F25:F28" si="5">C25*0.69636%</f>
        <v>16683571.336177198</v>
      </c>
      <c r="G25" s="213">
        <f>+E25-F25+1</f>
        <v>9973362.4138228018</v>
      </c>
      <c r="H25" s="243">
        <f>E25*0.15</f>
        <v>3998539.9124999996</v>
      </c>
      <c r="I25" s="354">
        <f>IF(G25&gt;H25,G25,H25)</f>
        <v>9973362.4138228018</v>
      </c>
      <c r="J25" s="364">
        <v>0</v>
      </c>
      <c r="K25" s="210">
        <f>I25+J25</f>
        <v>9973362.4138228018</v>
      </c>
      <c r="L25" s="277">
        <f>K25/B25</f>
        <v>2529.5447121483235</v>
      </c>
    </row>
    <row r="26" spans="1:12">
      <c r="A26" s="23" t="s">
        <v>13</v>
      </c>
      <c r="B26" s="363">
        <v>37426</v>
      </c>
      <c r="C26" s="179">
        <v>16121707766</v>
      </c>
      <c r="D26" s="238">
        <f>+C26/B26</f>
        <v>430762.24458932295</v>
      </c>
      <c r="E26" s="210">
        <f t="shared" si="4"/>
        <v>253037186</v>
      </c>
      <c r="F26" s="213">
        <f t="shared" si="5"/>
        <v>112265124.19931759</v>
      </c>
      <c r="G26" s="213">
        <f>(+E26-F26)</f>
        <v>140772061.80068243</v>
      </c>
      <c r="H26" s="243">
        <f>E26*0.15</f>
        <v>37955577.899999999</v>
      </c>
      <c r="I26" s="354">
        <f>IF(G26&gt;H26,G26,H26)</f>
        <v>140772061.80068243</v>
      </c>
      <c r="J26" s="364">
        <v>0</v>
      </c>
      <c r="K26" s="210">
        <f>I26+J26</f>
        <v>140772061.80068243</v>
      </c>
      <c r="L26" s="277">
        <f>K26/B26</f>
        <v>3761.3440335777914</v>
      </c>
    </row>
    <row r="27" spans="1:12">
      <c r="A27" s="23" t="s">
        <v>14</v>
      </c>
      <c r="B27" s="363">
        <v>50481.5</v>
      </c>
      <c r="C27" s="179">
        <v>26734576760</v>
      </c>
      <c r="D27" s="238">
        <f>+C27/B27</f>
        <v>529591.56839634327</v>
      </c>
      <c r="E27" s="210">
        <f t="shared" si="4"/>
        <v>341305421.5</v>
      </c>
      <c r="F27" s="213">
        <f t="shared" si="5"/>
        <v>186168898.725936</v>
      </c>
      <c r="G27" s="213">
        <f>+E27-F27</f>
        <v>155136522.774064</v>
      </c>
      <c r="H27" s="243">
        <f>E27*0.15</f>
        <v>51195813.225000001</v>
      </c>
      <c r="I27" s="354">
        <f>IF(G27&gt;H27,G27,H27)</f>
        <v>155136522.774064</v>
      </c>
      <c r="J27" s="365">
        <v>5119581</v>
      </c>
      <c r="K27" s="210">
        <f>I27+J27</f>
        <v>160256103.774064</v>
      </c>
      <c r="L27" s="277">
        <f>K27/B27</f>
        <v>3174.5511479267457</v>
      </c>
    </row>
    <row r="28" spans="1:12">
      <c r="A28" s="23" t="s">
        <v>15</v>
      </c>
      <c r="B28" s="363">
        <v>2041</v>
      </c>
      <c r="C28" s="179">
        <v>1560937336</v>
      </c>
      <c r="D28" s="238">
        <f>+C28/B28</f>
        <v>764790.46349828516</v>
      </c>
      <c r="E28" s="210">
        <f t="shared" si="4"/>
        <v>13799201</v>
      </c>
      <c r="F28" s="213">
        <f t="shared" si="5"/>
        <v>10869743.232969599</v>
      </c>
      <c r="G28" s="213">
        <f>+E28-F28</f>
        <v>2929457.7670304012</v>
      </c>
      <c r="H28" s="243">
        <f>E28*0.15</f>
        <v>2069880.15</v>
      </c>
      <c r="I28" s="354">
        <f>IF(G28&gt;H28,G28,H28)</f>
        <v>2929457.7670304012</v>
      </c>
      <c r="J28" s="365">
        <v>137992</v>
      </c>
      <c r="K28" s="210">
        <f>I28+J28</f>
        <v>3067449.7670304012</v>
      </c>
      <c r="L28" s="277">
        <f>K28/B28</f>
        <v>1502.915123483783</v>
      </c>
    </row>
    <row r="29" spans="1:12">
      <c r="A29" s="23"/>
      <c r="C29" s="179"/>
      <c r="D29" s="238"/>
      <c r="E29" s="240"/>
      <c r="F29" s="213"/>
      <c r="G29" s="213"/>
      <c r="H29" s="243"/>
      <c r="J29" s="365"/>
      <c r="K29" s="213"/>
      <c r="L29" s="277"/>
    </row>
    <row r="30" spans="1:12">
      <c r="A30" s="23" t="s">
        <v>16</v>
      </c>
      <c r="B30" s="363">
        <v>142670.75</v>
      </c>
      <c r="C30" s="179">
        <v>95121697658</v>
      </c>
      <c r="D30" s="238">
        <f>+C30/B30</f>
        <v>666721.78886001511</v>
      </c>
      <c r="E30" s="210">
        <f>(B30*6761)</f>
        <v>964596940.75</v>
      </c>
      <c r="F30" s="213">
        <f>C30*0.69636%</f>
        <v>662389453.81124878</v>
      </c>
      <c r="G30" s="213">
        <f>+E30-F30</f>
        <v>302207486.93875122</v>
      </c>
      <c r="H30" s="243">
        <f>E30*0.15</f>
        <v>144689541.11249998</v>
      </c>
      <c r="I30" s="354">
        <f>IF(G30&gt;H30,G30,H30)</f>
        <v>302207486.93875122</v>
      </c>
      <c r="J30" s="365">
        <v>32796296</v>
      </c>
      <c r="K30" s="210">
        <f>I30+J30</f>
        <v>335003782.93875122</v>
      </c>
      <c r="L30" s="277">
        <f>K30/B30</f>
        <v>2348.0901511960315</v>
      </c>
    </row>
    <row r="31" spans="1:12">
      <c r="A31" s="23" t="s">
        <v>17</v>
      </c>
      <c r="B31" s="363">
        <v>117995.25</v>
      </c>
      <c r="C31" s="179">
        <v>47728742975</v>
      </c>
      <c r="D31" s="238">
        <f>+C31/B31</f>
        <v>404497.15539396711</v>
      </c>
      <c r="E31" s="210">
        <f t="shared" ref="E31:E34" si="6">(B31*6761)</f>
        <v>797765885.25</v>
      </c>
      <c r="F31" s="213">
        <f t="shared" ref="F31:F34" si="7">C31*0.69636%</f>
        <v>332363874.58070999</v>
      </c>
      <c r="G31" s="213">
        <f>+E31-F31</f>
        <v>465402010.66929001</v>
      </c>
      <c r="H31" s="243">
        <f>E31*0.15</f>
        <v>119664882.78749999</v>
      </c>
      <c r="I31" s="354">
        <f>IF(G31&gt;H31,G31,H31)</f>
        <v>465402010.66929001</v>
      </c>
      <c r="J31" s="365">
        <v>38292762</v>
      </c>
      <c r="K31" s="210">
        <f>I31+J31</f>
        <v>503694772.66929001</v>
      </c>
      <c r="L31" s="277">
        <f>K31/B31</f>
        <v>4268.7716045289108</v>
      </c>
    </row>
    <row r="32" spans="1:12">
      <c r="A32" s="23" t="s">
        <v>18</v>
      </c>
      <c r="B32" s="363">
        <v>7508</v>
      </c>
      <c r="C32" s="179">
        <v>4403419697</v>
      </c>
      <c r="D32" s="435">
        <f>+C32/B32</f>
        <v>586497.02943526907</v>
      </c>
      <c r="E32" s="210">
        <f t="shared" si="6"/>
        <v>50761588</v>
      </c>
      <c r="F32" s="213">
        <f t="shared" si="7"/>
        <v>30663653.402029198</v>
      </c>
      <c r="G32" s="213">
        <f>+E32-F32</f>
        <v>20097934.597970802</v>
      </c>
      <c r="H32" s="243">
        <f>E32*0.15</f>
        <v>7614238.1999999993</v>
      </c>
      <c r="I32" s="354">
        <f>IF(G32&gt;H32,G32,H32)</f>
        <v>20097934.597970802</v>
      </c>
      <c r="J32" s="365">
        <v>558377</v>
      </c>
      <c r="K32" s="210">
        <f>I32+J32</f>
        <v>20656311.597970802</v>
      </c>
      <c r="L32" s="277">
        <f>K32/B32</f>
        <v>2751.2402234910501</v>
      </c>
    </row>
    <row r="33" spans="1:12">
      <c r="A33" s="23" t="s">
        <v>19</v>
      </c>
      <c r="B33" s="363">
        <v>16732.25</v>
      </c>
      <c r="C33" s="179">
        <v>7185754222</v>
      </c>
      <c r="D33" s="238">
        <f>+C33/B33</f>
        <v>429455.34653139894</v>
      </c>
      <c r="E33" s="210">
        <f t="shared" si="6"/>
        <v>113126742.25</v>
      </c>
      <c r="F33" s="213">
        <f t="shared" si="7"/>
        <v>50038718.100319199</v>
      </c>
      <c r="G33" s="213">
        <f>+E33-F33</f>
        <v>63088024.149680801</v>
      </c>
      <c r="H33" s="243">
        <f>E33*0.15</f>
        <v>16969011.337499999</v>
      </c>
      <c r="I33" s="354">
        <f>IF(G33&gt;H33,G33,H33)</f>
        <v>63088024.149680801</v>
      </c>
      <c r="J33" s="365">
        <v>226253</v>
      </c>
      <c r="K33" s="210">
        <f>I33+J33</f>
        <v>63314277.149680801</v>
      </c>
      <c r="L33" s="277">
        <f>K33/B33</f>
        <v>3783.9667199378923</v>
      </c>
    </row>
    <row r="34" spans="1:12">
      <c r="A34" s="23" t="s">
        <v>20</v>
      </c>
      <c r="B34" s="363">
        <v>2677</v>
      </c>
      <c r="C34" s="179">
        <v>876768388</v>
      </c>
      <c r="D34" s="238">
        <f>+C34/B34</f>
        <v>327519.00933881209</v>
      </c>
      <c r="E34" s="210">
        <f t="shared" si="6"/>
        <v>18099197</v>
      </c>
      <c r="F34" s="213">
        <f t="shared" si="7"/>
        <v>6105464.3466767995</v>
      </c>
      <c r="G34" s="213">
        <f>+E34-F34</f>
        <v>11993732.6533232</v>
      </c>
      <c r="H34" s="243">
        <f>E34*0.15</f>
        <v>2714879.55</v>
      </c>
      <c r="I34" s="354">
        <f>IF(G34&gt;H34,G34,H34)</f>
        <v>11993732.6533232</v>
      </c>
      <c r="J34" s="364">
        <v>0</v>
      </c>
      <c r="K34" s="210">
        <f>I34+J34</f>
        <v>11993732.6533232</v>
      </c>
      <c r="L34" s="277">
        <f>K34/B34</f>
        <v>4480.2886265682482</v>
      </c>
    </row>
    <row r="35" spans="1:12">
      <c r="A35" s="23"/>
      <c r="C35" s="179"/>
      <c r="D35" s="238"/>
      <c r="E35" s="240"/>
      <c r="F35" s="213"/>
      <c r="G35" s="213"/>
      <c r="H35" s="243"/>
      <c r="I35" s="179"/>
      <c r="J35" s="365"/>
      <c r="K35" s="213"/>
      <c r="L35" s="277"/>
    </row>
    <row r="36" spans="1:12">
      <c r="A36" s="23" t="s">
        <v>21</v>
      </c>
      <c r="B36" s="363">
        <v>4273.25</v>
      </c>
      <c r="C36" s="179">
        <v>4644800975</v>
      </c>
      <c r="D36" s="435">
        <f>+C36/B36</f>
        <v>1086948.101562043</v>
      </c>
      <c r="E36" s="210">
        <f>(B36*6761)</f>
        <v>28891443.25</v>
      </c>
      <c r="F36" s="213">
        <f>C36*0.69636%</f>
        <v>32344536.069509998</v>
      </c>
      <c r="G36" s="210">
        <f>+E36-F36</f>
        <v>-3453092.819509998</v>
      </c>
      <c r="H36" s="243">
        <f>E36*0.15</f>
        <v>4333716.4874999998</v>
      </c>
      <c r="I36" s="354">
        <f>IF(G36&gt;H36,G36,H36)</f>
        <v>4333716.4874999998</v>
      </c>
      <c r="J36" s="364">
        <v>0</v>
      </c>
      <c r="K36" s="210">
        <f>I36+J36</f>
        <v>4333716.4874999998</v>
      </c>
      <c r="L36" s="277">
        <f>K36/B36</f>
        <v>1014.15</v>
      </c>
    </row>
    <row r="37" spans="1:12">
      <c r="A37" s="23" t="s">
        <v>22</v>
      </c>
      <c r="B37" s="363">
        <v>21724.5</v>
      </c>
      <c r="C37" s="179">
        <v>7493507062</v>
      </c>
      <c r="D37" s="435">
        <f>+C37/B37</f>
        <v>344933.46507399483</v>
      </c>
      <c r="E37" s="210">
        <f t="shared" ref="E37:E39" si="8">(B37*6761)</f>
        <v>146879344.5</v>
      </c>
      <c r="F37" s="213">
        <f t="shared" ref="F37:F39" si="9">C37*0.69636%</f>
        <v>52181785.776943199</v>
      </c>
      <c r="G37" s="213">
        <f>+E37-F37</f>
        <v>94697558.723056793</v>
      </c>
      <c r="H37" s="243">
        <f>E37*0.15</f>
        <v>22031901.675000001</v>
      </c>
      <c r="I37" s="354">
        <f>IF(G37&gt;H37,G37,H37)</f>
        <v>94697558.723056793</v>
      </c>
      <c r="J37" s="364">
        <v>0</v>
      </c>
      <c r="K37" s="210">
        <f>I37+J37</f>
        <v>94697558.723056793</v>
      </c>
      <c r="L37" s="277">
        <f>K37/B37</f>
        <v>4359.0213226107298</v>
      </c>
    </row>
    <row r="38" spans="1:12">
      <c r="A38" s="23" t="s">
        <v>23</v>
      </c>
      <c r="B38" s="363">
        <v>13911</v>
      </c>
      <c r="C38" s="179">
        <v>4101088530</v>
      </c>
      <c r="D38" s="435">
        <f>+C38/B38</f>
        <v>294809.0381712314</v>
      </c>
      <c r="E38" s="210">
        <f t="shared" si="8"/>
        <v>94052271</v>
      </c>
      <c r="F38" s="213">
        <f t="shared" si="9"/>
        <v>28558340.087507997</v>
      </c>
      <c r="G38" s="213">
        <f>+E38-F38</f>
        <v>65493930.912492007</v>
      </c>
      <c r="H38" s="243">
        <f>E38*0.15</f>
        <v>14107840.65</v>
      </c>
      <c r="I38" s="354">
        <f>IF(G38&gt;H38,G38,H38)</f>
        <v>65493930.912492007</v>
      </c>
      <c r="J38" s="364">
        <v>0</v>
      </c>
      <c r="K38" s="210">
        <f>I38+J38</f>
        <v>65493930.912492007</v>
      </c>
      <c r="L38" s="277">
        <f>K38/B38</f>
        <v>4708.0677817908136</v>
      </c>
    </row>
    <row r="39" spans="1:12">
      <c r="A39" s="23" t="s">
        <v>24</v>
      </c>
      <c r="B39" s="363">
        <v>6241</v>
      </c>
      <c r="C39" s="179">
        <v>7868202252</v>
      </c>
      <c r="D39" s="435">
        <f>+C39/B39</f>
        <v>1260727.8083640442</v>
      </c>
      <c r="E39" s="210">
        <f t="shared" si="8"/>
        <v>42195401</v>
      </c>
      <c r="F39" s="213">
        <f t="shared" si="9"/>
        <v>54791013.202027194</v>
      </c>
      <c r="G39" s="197">
        <f>+E39-F39</f>
        <v>-12595612.202027194</v>
      </c>
      <c r="H39" s="214">
        <f>E39*0.15</f>
        <v>6329310.1499999994</v>
      </c>
      <c r="I39" s="180">
        <f>IF(G39&gt;H39,G39,H39)</f>
        <v>6329310.1499999994</v>
      </c>
      <c r="J39" s="364">
        <v>0</v>
      </c>
      <c r="K39" s="210">
        <f>I39+J39</f>
        <v>6329310.1499999994</v>
      </c>
      <c r="L39" s="277">
        <f>K39/B39</f>
        <v>1014.1499999999999</v>
      </c>
    </row>
    <row r="40" spans="1:12">
      <c r="A40" s="26" t="s">
        <v>255</v>
      </c>
      <c r="B40" s="235"/>
      <c r="C40" s="235"/>
      <c r="D40" s="235"/>
      <c r="E40" s="235"/>
      <c r="F40" s="235"/>
      <c r="G40" s="235"/>
      <c r="H40" s="243"/>
      <c r="J40" s="235"/>
      <c r="K40" s="235"/>
      <c r="L40" s="235"/>
    </row>
    <row r="41" spans="1:12">
      <c r="A41" s="23"/>
      <c r="B41" s="213"/>
      <c r="C41" s="229"/>
      <c r="D41" s="229"/>
      <c r="E41" s="229"/>
      <c r="F41" s="229"/>
      <c r="G41" s="229"/>
      <c r="H41" s="229"/>
      <c r="J41" s="229"/>
      <c r="K41" s="229"/>
      <c r="L41" s="229"/>
    </row>
    <row r="42" spans="1:12">
      <c r="A42" s="23" t="s">
        <v>209</v>
      </c>
      <c r="B42" s="213"/>
      <c r="C42" s="213"/>
      <c r="D42" s="213"/>
      <c r="E42" s="213"/>
      <c r="F42" s="213"/>
      <c r="G42" s="213"/>
      <c r="H42" s="213"/>
      <c r="I42" s="243"/>
      <c r="J42" s="213"/>
      <c r="K42" s="213"/>
      <c r="L42" s="213"/>
    </row>
    <row r="43" spans="1:12">
      <c r="A43" s="23"/>
      <c r="B43" s="213"/>
      <c r="C43" s="213"/>
      <c r="D43" s="213"/>
      <c r="E43" s="213"/>
      <c r="F43" s="213"/>
      <c r="G43" s="213"/>
      <c r="H43" s="213"/>
      <c r="I43" s="243"/>
      <c r="J43" s="213"/>
      <c r="K43" s="213"/>
      <c r="L43" s="213"/>
    </row>
    <row r="44" spans="1:12">
      <c r="A44" s="23" t="s">
        <v>274</v>
      </c>
      <c r="B44" s="213"/>
      <c r="C44" s="213"/>
      <c r="D44" s="213"/>
      <c r="E44" s="213"/>
      <c r="F44" s="213"/>
      <c r="G44" s="213"/>
      <c r="H44" s="213"/>
      <c r="I44" s="244"/>
      <c r="J44" s="213"/>
      <c r="K44" s="213"/>
      <c r="L44" s="213"/>
    </row>
    <row r="45" spans="1:12">
      <c r="A45" s="2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</row>
    <row r="46" spans="1:12">
      <c r="A46" s="23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</row>
    <row r="47" spans="1:12">
      <c r="A47" s="23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</row>
    <row r="48" spans="1:12">
      <c r="A48" s="23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</row>
    <row r="49" spans="1:12">
      <c r="A49" s="23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</row>
    <row r="50" spans="1:12">
      <c r="A50" s="23"/>
      <c r="B50" s="213"/>
      <c r="C50" s="213"/>
      <c r="D50" s="213"/>
      <c r="E50" s="213"/>
      <c r="F50" s="242"/>
      <c r="G50" s="213"/>
      <c r="H50" s="213"/>
      <c r="I50" s="213"/>
      <c r="J50" s="213"/>
      <c r="K50" s="213"/>
      <c r="L50" s="213"/>
    </row>
    <row r="51" spans="1:12">
      <c r="A51" s="23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</row>
    <row r="52" spans="1:12">
      <c r="A52" s="23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</row>
    <row r="53" spans="1:12">
      <c r="A53" s="23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</row>
    <row r="54" spans="1:12">
      <c r="A54" s="23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</row>
    <row r="55" spans="1:12">
      <c r="A55" s="23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</row>
    <row r="56" spans="1:12">
      <c r="A56" s="23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</row>
    <row r="57" spans="1:12">
      <c r="A57" s="2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</row>
    <row r="58" spans="1:12">
      <c r="A58" s="2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</row>
    <row r="59" spans="1:12">
      <c r="A59" s="2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</row>
    <row r="60" spans="1:12">
      <c r="A60" s="2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</row>
    <row r="61" spans="1:12">
      <c r="A61" s="23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</row>
    <row r="62" spans="1:12">
      <c r="A62" s="23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</row>
    <row r="63" spans="1:12">
      <c r="A63" s="23"/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</row>
    <row r="64" spans="1:12">
      <c r="A64" s="23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</row>
    <row r="65" spans="1:12">
      <c r="A65" s="23"/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</row>
    <row r="66" spans="1:12">
      <c r="A66" s="23"/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</row>
    <row r="67" spans="1:12">
      <c r="A67" s="2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</row>
    <row r="68" spans="1:12">
      <c r="A68" s="23"/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</row>
    <row r="69" spans="1:12">
      <c r="A69" s="23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</row>
    <row r="70" spans="1:12">
      <c r="A70" s="23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</row>
    <row r="71" spans="1:12">
      <c r="A71" s="23"/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</row>
    <row r="72" spans="1:12">
      <c r="A72" s="23"/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</row>
    <row r="73" spans="1:12">
      <c r="A73" s="23"/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</row>
    <row r="74" spans="1:12"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</row>
    <row r="75" spans="1:12"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</row>
    <row r="76" spans="1:12"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</row>
    <row r="77" spans="1:12"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</row>
    <row r="78" spans="1:12"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</row>
    <row r="79" spans="1:12"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</row>
    <row r="80" spans="1:12"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</row>
    <row r="81" spans="2:12"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</row>
    <row r="82" spans="2:12"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</row>
    <row r="83" spans="2:12"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</row>
    <row r="84" spans="2:12"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</row>
    <row r="85" spans="2:12"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</row>
    <row r="86" spans="2:12"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</row>
    <row r="87" spans="2:12"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</row>
    <row r="88" spans="2:12"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</row>
    <row r="89" spans="2:12"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</row>
    <row r="90" spans="2:12"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</row>
    <row r="91" spans="2:12"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</row>
    <row r="92" spans="2:12"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</row>
    <row r="93" spans="2:12"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</row>
    <row r="94" spans="2:12"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</row>
    <row r="95" spans="2:12"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</row>
    <row r="96" spans="2:12"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</row>
    <row r="97" spans="2:12"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</row>
    <row r="98" spans="2:12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</row>
    <row r="99" spans="2:12"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</row>
    <row r="100" spans="2:12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</row>
    <row r="101" spans="2:12"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</row>
    <row r="102" spans="2:12"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</row>
    <row r="103" spans="2:12"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</row>
    <row r="104" spans="2:12"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</row>
    <row r="105" spans="2:12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</row>
    <row r="106" spans="2:12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</row>
    <row r="107" spans="2:12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</row>
    <row r="108" spans="2:12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</row>
  </sheetData>
  <sheetProtection password="CAF5" sheet="1" objects="1" scenarios="1"/>
  <mergeCells count="13">
    <mergeCell ref="A5:A9"/>
    <mergeCell ref="G5:L5"/>
    <mergeCell ref="J6:J9"/>
    <mergeCell ref="E5:E9"/>
    <mergeCell ref="F5:F9"/>
    <mergeCell ref="G6:G9"/>
    <mergeCell ref="H6:H9"/>
    <mergeCell ref="I6:I9"/>
    <mergeCell ref="K6:K9"/>
    <mergeCell ref="L6:L9"/>
    <mergeCell ref="D5:D9"/>
    <mergeCell ref="C5:C9"/>
    <mergeCell ref="B5:B9"/>
  </mergeCells>
  <phoneticPr fontId="0" type="noConversion"/>
  <printOptions horizontalCentered="1"/>
  <pageMargins left="0.61" right="0.75" top="0.83" bottom="1" header="0.67" footer="0.5"/>
  <pageSetup scale="68" orientation="landscape" r:id="rId1"/>
  <headerFooter alignWithMargins="0">
    <oddHeader xml:space="preserve">&amp;R
</oddHeader>
    <oddFooter>&amp;L&amp;"Arial,Italic"&amp;9MSDE - LFRO  12 / 2013&amp;C- 17 -&amp;R&amp;"Arial,Italic"&amp;9Selected Financial Data-Part 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topLeftCell="A3" zoomScaleNormal="100" workbookViewId="0">
      <selection activeCell="A3" sqref="A3"/>
    </sheetView>
  </sheetViews>
  <sheetFormatPr defaultColWidth="11.42578125" defaultRowHeight="12.75"/>
  <cols>
    <col min="1" max="1" width="21.5703125" style="24" customWidth="1"/>
    <col min="2" max="3" width="14.7109375" style="24" customWidth="1"/>
    <col min="4" max="4" width="15.28515625" style="183" customWidth="1"/>
    <col min="5" max="5" width="17.42578125" style="24" customWidth="1"/>
    <col min="6" max="6" width="15.28515625" style="24" customWidth="1"/>
    <col min="7" max="7" width="16.7109375" style="24" customWidth="1"/>
    <col min="8" max="8" width="15.42578125" style="24" customWidth="1"/>
    <col min="9" max="9" width="17.85546875" style="24" customWidth="1"/>
    <col min="10" max="11" width="11.42578125" style="24" customWidth="1"/>
    <col min="12" max="12" width="14.5703125" style="24" customWidth="1"/>
    <col min="13" max="16384" width="11.42578125" style="24"/>
  </cols>
  <sheetData>
    <row r="1" spans="1:13">
      <c r="A1" s="22" t="s">
        <v>96</v>
      </c>
      <c r="B1" s="22"/>
      <c r="C1" s="22"/>
      <c r="D1" s="182"/>
      <c r="E1" s="22"/>
      <c r="F1" s="22"/>
      <c r="G1" s="22"/>
      <c r="H1" s="22"/>
      <c r="I1" s="22"/>
      <c r="J1" s="23"/>
      <c r="K1" s="23"/>
      <c r="L1" s="23"/>
      <c r="M1" s="23"/>
    </row>
    <row r="2" spans="1:13">
      <c r="A2" s="22"/>
      <c r="B2" s="22"/>
      <c r="C2" s="22"/>
      <c r="D2" s="182"/>
      <c r="E2" s="22"/>
      <c r="F2" s="22"/>
      <c r="G2" s="22"/>
      <c r="H2" s="22"/>
      <c r="I2" s="22"/>
      <c r="J2" s="23"/>
      <c r="K2" s="23"/>
      <c r="L2" s="23"/>
      <c r="M2" s="23"/>
    </row>
    <row r="3" spans="1:13">
      <c r="A3" s="22" t="s">
        <v>270</v>
      </c>
      <c r="B3" s="22"/>
      <c r="C3" s="22"/>
      <c r="D3" s="182"/>
      <c r="E3" s="22"/>
      <c r="F3" s="22"/>
      <c r="G3" s="22"/>
      <c r="H3" s="22"/>
      <c r="I3" s="22"/>
      <c r="J3" s="23"/>
      <c r="K3" s="23"/>
      <c r="L3" s="23"/>
      <c r="M3" s="23"/>
    </row>
    <row r="4" spans="1:13">
      <c r="A4" s="22"/>
      <c r="B4" s="22"/>
      <c r="C4" s="22"/>
      <c r="D4" s="182"/>
      <c r="E4" s="22"/>
      <c r="F4" s="22"/>
      <c r="G4" s="22"/>
      <c r="H4" s="22"/>
      <c r="I4" s="22"/>
      <c r="J4" s="23"/>
      <c r="K4" s="23"/>
      <c r="L4" s="23"/>
      <c r="M4" s="23"/>
    </row>
    <row r="5" spans="1:13" ht="13.5" thickBot="1">
      <c r="A5" s="47"/>
      <c r="B5" s="47"/>
      <c r="C5" s="47"/>
      <c r="D5" s="147"/>
      <c r="E5" s="47"/>
      <c r="F5" s="47"/>
      <c r="G5" s="47"/>
      <c r="H5" s="47"/>
      <c r="I5" s="47"/>
      <c r="J5" s="23"/>
      <c r="K5" s="23"/>
      <c r="L5" s="23"/>
      <c r="M5" s="23"/>
    </row>
    <row r="6" spans="1:13" ht="13.5" customHeight="1" thickTop="1">
      <c r="A6" s="23"/>
      <c r="B6" s="554" t="s">
        <v>259</v>
      </c>
      <c r="C6" s="554" t="s">
        <v>275</v>
      </c>
      <c r="D6" s="560" t="s">
        <v>169</v>
      </c>
      <c r="E6" s="557" t="s">
        <v>168</v>
      </c>
      <c r="F6" s="554" t="s">
        <v>276</v>
      </c>
      <c r="G6" s="554" t="s">
        <v>170</v>
      </c>
      <c r="H6" s="557" t="s">
        <v>193</v>
      </c>
      <c r="I6" s="557" t="s">
        <v>171</v>
      </c>
      <c r="J6" s="23"/>
      <c r="K6" s="23"/>
      <c r="L6" s="23"/>
      <c r="M6" s="23"/>
    </row>
    <row r="7" spans="1:13">
      <c r="A7" s="34" t="s">
        <v>77</v>
      </c>
      <c r="B7" s="555"/>
      <c r="C7" s="555"/>
      <c r="D7" s="452"/>
      <c r="E7" s="558"/>
      <c r="F7" s="555"/>
      <c r="G7" s="555"/>
      <c r="H7" s="496"/>
      <c r="I7" s="558"/>
      <c r="J7" s="23"/>
      <c r="K7" s="23"/>
      <c r="L7" s="23"/>
      <c r="M7" s="23"/>
    </row>
    <row r="8" spans="1:13">
      <c r="A8" s="32" t="s">
        <v>33</v>
      </c>
      <c r="B8" s="555"/>
      <c r="C8" s="559"/>
      <c r="D8" s="561"/>
      <c r="E8" s="496"/>
      <c r="F8" s="555"/>
      <c r="G8" s="559"/>
      <c r="H8" s="496"/>
      <c r="I8" s="558"/>
      <c r="J8" s="23"/>
      <c r="K8" s="23"/>
      <c r="L8" s="23"/>
      <c r="M8" s="23"/>
    </row>
    <row r="9" spans="1:13" ht="13.5" thickBot="1">
      <c r="A9" s="52" t="s">
        <v>132</v>
      </c>
      <c r="B9" s="556"/>
      <c r="C9" s="49" t="s">
        <v>97</v>
      </c>
      <c r="D9" s="151" t="s">
        <v>98</v>
      </c>
      <c r="E9" s="63" t="s">
        <v>192</v>
      </c>
      <c r="F9" s="556"/>
      <c r="G9" s="49" t="s">
        <v>216</v>
      </c>
      <c r="H9" s="472"/>
      <c r="I9" s="472"/>
      <c r="J9" s="23"/>
      <c r="K9" s="23"/>
      <c r="L9" s="23"/>
      <c r="M9" s="23"/>
    </row>
    <row r="10" spans="1:13">
      <c r="A10" s="32" t="s">
        <v>0</v>
      </c>
      <c r="B10" s="50">
        <f>SUM(B12:B39)</f>
        <v>335978</v>
      </c>
      <c r="C10" s="51">
        <f>SUM(C12:C39)</f>
        <v>1101671862</v>
      </c>
      <c r="D10" s="51">
        <v>485451</v>
      </c>
      <c r="E10" s="51">
        <f>SUM(E12:E39)</f>
        <v>1307619938</v>
      </c>
      <c r="F10" s="51">
        <f>SUM(F12:F39)+1</f>
        <v>1101671890.9569006</v>
      </c>
      <c r="G10" s="51">
        <f>SUM(G12:G39)-1</f>
        <v>881337488.60000014</v>
      </c>
      <c r="H10" s="51">
        <f>SUM(H12:H39)-1</f>
        <v>44589417.74979762</v>
      </c>
      <c r="I10" s="51">
        <f>SUM(I12:I39)</f>
        <v>1146261307.7066987</v>
      </c>
      <c r="J10" s="23"/>
      <c r="K10" s="23"/>
      <c r="L10" s="23"/>
      <c r="M10" s="23"/>
    </row>
    <row r="11" spans="1:13">
      <c r="A11" s="23"/>
      <c r="B11" s="25"/>
      <c r="C11" s="25"/>
      <c r="D11" s="179"/>
      <c r="E11" s="25"/>
      <c r="F11" s="25"/>
      <c r="G11" s="25"/>
      <c r="H11" s="25"/>
      <c r="I11" s="25"/>
      <c r="J11" s="23"/>
      <c r="K11" s="23"/>
      <c r="L11" s="23"/>
      <c r="M11" s="23"/>
    </row>
    <row r="12" spans="1:13">
      <c r="A12" s="23" t="s">
        <v>1</v>
      </c>
      <c r="B12" s="25">
        <v>4436</v>
      </c>
      <c r="C12" s="25">
        <f>+B12*3279</f>
        <v>14545644</v>
      </c>
      <c r="D12" s="366">
        <v>293334.61378115701</v>
      </c>
      <c r="E12" s="25">
        <v>24072208</v>
      </c>
      <c r="F12" s="25">
        <f>E12*0.8425016</f>
        <v>20280873.755532797</v>
      </c>
      <c r="G12" s="25">
        <f>C12*0.8</f>
        <v>11636515.200000001</v>
      </c>
      <c r="H12" s="50">
        <f>IF(F12&gt;G12,0,(G12-F12))</f>
        <v>0</v>
      </c>
      <c r="I12" s="25">
        <f>MAX(F12,G12)</f>
        <v>20280873.755532797</v>
      </c>
      <c r="J12" s="29"/>
      <c r="K12" s="23"/>
      <c r="L12" s="25"/>
      <c r="M12" s="23"/>
    </row>
    <row r="13" spans="1:13">
      <c r="A13" s="194" t="s">
        <v>2</v>
      </c>
      <c r="B13" s="25">
        <v>21195</v>
      </c>
      <c r="C13" s="25">
        <f t="shared" ref="C13:C16" si="0">+B13*3279</f>
        <v>69498405</v>
      </c>
      <c r="D13" s="366">
        <v>600048</v>
      </c>
      <c r="E13" s="25">
        <v>56225617</v>
      </c>
      <c r="F13" s="25">
        <f t="shared" ref="F13:F16" si="1">E13*0.8425016</f>
        <v>47370172.283487201</v>
      </c>
      <c r="G13" s="25">
        <f>C13*0.8</f>
        <v>55598724</v>
      </c>
      <c r="H13" s="50">
        <f t="shared" ref="H13:H38" si="2">IF(F13&gt;G13,0,(G13-F13))</f>
        <v>8228551.7165127993</v>
      </c>
      <c r="I13" s="25">
        <f>MAX(F13,G13)</f>
        <v>55598724</v>
      </c>
      <c r="J13" s="23"/>
      <c r="K13" s="23"/>
      <c r="L13" s="25"/>
      <c r="M13" s="23"/>
    </row>
    <row r="14" spans="1:13">
      <c r="A14" s="23" t="s">
        <v>3</v>
      </c>
      <c r="B14" s="25">
        <v>66683</v>
      </c>
      <c r="C14" s="25">
        <f t="shared" si="0"/>
        <v>218653557</v>
      </c>
      <c r="D14" s="366">
        <v>284178</v>
      </c>
      <c r="E14" s="25">
        <v>373517944</v>
      </c>
      <c r="F14" s="25">
        <f t="shared" si="1"/>
        <v>314689465.44871038</v>
      </c>
      <c r="G14" s="25">
        <f>C14*0.8</f>
        <v>174922845.60000002</v>
      </c>
      <c r="H14" s="50">
        <f t="shared" si="2"/>
        <v>0</v>
      </c>
      <c r="I14" s="25">
        <f>MAX(F14,G14)</f>
        <v>314689465.44871038</v>
      </c>
      <c r="J14" s="23"/>
      <c r="K14" s="23"/>
      <c r="L14" s="25"/>
      <c r="M14" s="23"/>
    </row>
    <row r="15" spans="1:13">
      <c r="A15" s="23" t="s">
        <v>4</v>
      </c>
      <c r="B15" s="25">
        <v>44887</v>
      </c>
      <c r="C15" s="25">
        <f t="shared" si="0"/>
        <v>147184473</v>
      </c>
      <c r="D15" s="366">
        <v>494343</v>
      </c>
      <c r="E15" s="25">
        <v>144536989</v>
      </c>
      <c r="F15" s="25">
        <f t="shared" si="1"/>
        <v>121772644.4916824</v>
      </c>
      <c r="G15" s="25">
        <f>C15*0.8</f>
        <v>117747578.40000001</v>
      </c>
      <c r="H15" s="50">
        <f t="shared" si="2"/>
        <v>0</v>
      </c>
      <c r="I15" s="25">
        <f>MAX(F15,G15)</f>
        <v>121772644.4916824</v>
      </c>
      <c r="J15" s="23"/>
      <c r="K15" s="23"/>
      <c r="L15" s="25"/>
      <c r="M15" s="23"/>
    </row>
    <row r="16" spans="1:13">
      <c r="A16" s="23" t="s">
        <v>5</v>
      </c>
      <c r="B16" s="25">
        <v>3587</v>
      </c>
      <c r="C16" s="25">
        <f t="shared" si="0"/>
        <v>11761773</v>
      </c>
      <c r="D16" s="366">
        <v>459368</v>
      </c>
      <c r="E16" s="25">
        <v>12429608</v>
      </c>
      <c r="F16" s="25">
        <f t="shared" si="1"/>
        <v>10471964.627372799</v>
      </c>
      <c r="G16" s="25">
        <f>C16*0.8</f>
        <v>9409418.4000000004</v>
      </c>
      <c r="H16" s="50">
        <f t="shared" si="2"/>
        <v>0</v>
      </c>
      <c r="I16" s="25">
        <f>MAX(F16,G16)</f>
        <v>10471964.627372799</v>
      </c>
      <c r="J16" s="23"/>
      <c r="K16" s="23"/>
      <c r="L16" s="25"/>
      <c r="M16" s="23"/>
    </row>
    <row r="17" spans="1:13">
      <c r="A17" s="23"/>
      <c r="B17" s="25"/>
      <c r="C17" s="25"/>
      <c r="E17" s="25"/>
      <c r="F17" s="25"/>
      <c r="G17" s="25"/>
      <c r="H17" s="50"/>
      <c r="I17" s="25"/>
      <c r="J17" s="23"/>
      <c r="K17" s="23"/>
      <c r="L17" s="25"/>
      <c r="M17" s="23"/>
    </row>
    <row r="18" spans="1:13">
      <c r="A18" s="23" t="s">
        <v>6</v>
      </c>
      <c r="B18" s="25">
        <v>2858</v>
      </c>
      <c r="C18" s="25">
        <f>+B18*3279</f>
        <v>9371382</v>
      </c>
      <c r="D18" s="179">
        <v>305212</v>
      </c>
      <c r="E18" s="25">
        <v>14905532</v>
      </c>
      <c r="F18" s="25">
        <f>E18*0.8425016</f>
        <v>12557934.558851199</v>
      </c>
      <c r="G18" s="25">
        <f>C18*0.8</f>
        <v>7497105.6000000006</v>
      </c>
      <c r="H18" s="50">
        <f t="shared" si="2"/>
        <v>0</v>
      </c>
      <c r="I18" s="25">
        <f>MAX(F18,G18)</f>
        <v>12557934.558851199</v>
      </c>
      <c r="J18" s="23"/>
      <c r="K18" s="23"/>
      <c r="L18" s="25"/>
      <c r="M18" s="23"/>
    </row>
    <row r="19" spans="1:13">
      <c r="A19" s="23" t="s">
        <v>7</v>
      </c>
      <c r="B19" s="25">
        <v>4409</v>
      </c>
      <c r="C19" s="25">
        <f t="shared" ref="C19:C22" si="3">+B19*3279</f>
        <v>14457111</v>
      </c>
      <c r="D19" s="179">
        <v>429480</v>
      </c>
      <c r="E19" s="25">
        <v>16341201</v>
      </c>
      <c r="F19" s="25">
        <f t="shared" ref="F19:F22" si="4">E19*0.8425016</f>
        <v>13767487.988421598</v>
      </c>
      <c r="G19" s="25">
        <f>C19*0.8</f>
        <v>11565688.800000001</v>
      </c>
      <c r="H19" s="50">
        <f t="shared" si="2"/>
        <v>0</v>
      </c>
      <c r="I19" s="25">
        <f>MAX(F19,G19)</f>
        <v>13767487.988421598</v>
      </c>
      <c r="J19" s="23"/>
      <c r="K19" s="23"/>
      <c r="L19" s="25"/>
      <c r="M19" s="23"/>
    </row>
    <row r="20" spans="1:13">
      <c r="A20" s="23" t="s">
        <v>8</v>
      </c>
      <c r="B20" s="25">
        <v>6156</v>
      </c>
      <c r="C20" s="25">
        <f t="shared" si="3"/>
        <v>20185524</v>
      </c>
      <c r="D20" s="179">
        <v>384435</v>
      </c>
      <c r="E20" s="25">
        <v>25489569</v>
      </c>
      <c r="F20" s="25">
        <f t="shared" si="4"/>
        <v>21475002.665810399</v>
      </c>
      <c r="G20" s="25">
        <f>C20*0.8</f>
        <v>16148419.200000001</v>
      </c>
      <c r="H20" s="50">
        <f t="shared" si="2"/>
        <v>0</v>
      </c>
      <c r="I20" s="25">
        <f>MAX(F20,G20)</f>
        <v>21475002.665810399</v>
      </c>
      <c r="J20" s="23"/>
      <c r="K20" s="23"/>
      <c r="L20" s="25"/>
      <c r="M20" s="23"/>
    </row>
    <row r="21" spans="1:13">
      <c r="A21" s="23" t="s">
        <v>9</v>
      </c>
      <c r="B21" s="25">
        <v>7350</v>
      </c>
      <c r="C21" s="25">
        <f t="shared" si="3"/>
        <v>24100650</v>
      </c>
      <c r="D21" s="179">
        <v>384172</v>
      </c>
      <c r="E21" s="25">
        <v>30454289</v>
      </c>
      <c r="F21" s="25">
        <f t="shared" si="4"/>
        <v>25657787.209362399</v>
      </c>
      <c r="G21" s="25">
        <f>C21*0.8</f>
        <v>19280520</v>
      </c>
      <c r="H21" s="50">
        <f t="shared" si="2"/>
        <v>0</v>
      </c>
      <c r="I21" s="25">
        <f>MAX(F21,G21)</f>
        <v>25657787.209362399</v>
      </c>
      <c r="J21" s="23"/>
      <c r="K21" s="23"/>
      <c r="L21" s="25"/>
      <c r="M21" s="23"/>
    </row>
    <row r="22" spans="1:13">
      <c r="A22" s="23" t="s">
        <v>10</v>
      </c>
      <c r="B22" s="25">
        <v>2648</v>
      </c>
      <c r="C22" s="25">
        <f t="shared" si="3"/>
        <v>8682792</v>
      </c>
      <c r="D22" s="179">
        <v>384910</v>
      </c>
      <c r="E22" s="25">
        <v>10950793</v>
      </c>
      <c r="F22" s="25">
        <f t="shared" si="4"/>
        <v>9226060.623768799</v>
      </c>
      <c r="G22" s="25">
        <f>C22*0.8</f>
        <v>6946233.6000000006</v>
      </c>
      <c r="H22" s="50">
        <f t="shared" si="2"/>
        <v>0</v>
      </c>
      <c r="I22" s="25">
        <f>MAX(F22,G22)</f>
        <v>9226060.623768799</v>
      </c>
      <c r="J22" s="23"/>
      <c r="K22" s="23"/>
      <c r="L22" s="25"/>
      <c r="M22" s="23"/>
    </row>
    <row r="23" spans="1:13">
      <c r="A23" s="23"/>
      <c r="B23" s="25"/>
      <c r="C23" s="25"/>
      <c r="D23" s="179"/>
      <c r="E23" s="25"/>
      <c r="F23" s="25"/>
      <c r="G23" s="25"/>
      <c r="H23" s="50"/>
      <c r="I23" s="25"/>
      <c r="J23" s="23"/>
      <c r="K23" s="23"/>
      <c r="L23" s="25"/>
      <c r="M23" s="23"/>
    </row>
    <row r="24" spans="1:13">
      <c r="A24" s="23" t="s">
        <v>11</v>
      </c>
      <c r="B24" s="25">
        <v>8800</v>
      </c>
      <c r="C24" s="25">
        <f>+B24*3279</f>
        <v>28855200</v>
      </c>
      <c r="D24" s="179">
        <v>406354</v>
      </c>
      <c r="E24" s="25">
        <v>34471879</v>
      </c>
      <c r="F24" s="25">
        <f>E24*0.8425016</f>
        <v>29042613.212506399</v>
      </c>
      <c r="G24" s="25">
        <f>C24*0.8</f>
        <v>23084160</v>
      </c>
      <c r="H24" s="50">
        <f t="shared" si="2"/>
        <v>0</v>
      </c>
      <c r="I24" s="25">
        <f>MAX(F24,G24)</f>
        <v>29042613.212506399</v>
      </c>
      <c r="J24" s="23"/>
      <c r="K24" s="23"/>
      <c r="L24" s="25"/>
      <c r="M24" s="23"/>
    </row>
    <row r="25" spans="1:13">
      <c r="A25" s="23" t="s">
        <v>12</v>
      </c>
      <c r="B25" s="25">
        <v>1811</v>
      </c>
      <c r="C25" s="25">
        <f t="shared" ref="C25:C28" si="5">+B25*3279</f>
        <v>5938269</v>
      </c>
      <c r="D25" s="179">
        <v>607653</v>
      </c>
      <c r="E25" s="25">
        <v>4744054</v>
      </c>
      <c r="F25" s="25">
        <f t="shared" ref="F25:F28" si="6">E25*0.8425016</f>
        <v>3996873.0854863999</v>
      </c>
      <c r="G25" s="25">
        <f>C25*0.8</f>
        <v>4750615.2</v>
      </c>
      <c r="H25" s="50">
        <f t="shared" si="2"/>
        <v>753742.11451360025</v>
      </c>
      <c r="I25" s="25">
        <f>MAX(F25,G25)</f>
        <v>4750615.2</v>
      </c>
      <c r="J25" s="23"/>
      <c r="K25" s="23"/>
      <c r="L25" s="25"/>
      <c r="M25" s="23"/>
    </row>
    <row r="26" spans="1:13">
      <c r="A26" s="23" t="s">
        <v>13</v>
      </c>
      <c r="B26" s="25">
        <v>10018</v>
      </c>
      <c r="C26" s="25">
        <f t="shared" si="5"/>
        <v>32849022</v>
      </c>
      <c r="D26" s="179">
        <v>430762</v>
      </c>
      <c r="E26" s="25">
        <v>37019494</v>
      </c>
      <c r="F26" s="25">
        <f t="shared" si="6"/>
        <v>31188982.926190399</v>
      </c>
      <c r="G26" s="25">
        <f>C26*0.8</f>
        <v>26279217.600000001</v>
      </c>
      <c r="H26" s="50">
        <f t="shared" si="2"/>
        <v>0</v>
      </c>
      <c r="I26" s="25">
        <f>MAX(F26,G26)</f>
        <v>31188982.926190399</v>
      </c>
      <c r="J26" s="23"/>
      <c r="K26" s="23"/>
      <c r="L26" s="25"/>
      <c r="M26" s="23"/>
    </row>
    <row r="27" spans="1:13">
      <c r="A27" s="23" t="s">
        <v>14</v>
      </c>
      <c r="B27" s="25">
        <v>8696</v>
      </c>
      <c r="C27" s="25">
        <f t="shared" si="5"/>
        <v>28514184</v>
      </c>
      <c r="D27" s="179">
        <v>529592</v>
      </c>
      <c r="E27" s="25">
        <v>26137554</v>
      </c>
      <c r="F27" s="25">
        <f t="shared" si="6"/>
        <v>22020931.065086398</v>
      </c>
      <c r="G27" s="25">
        <f>C27*0.8</f>
        <v>22811347.200000003</v>
      </c>
      <c r="H27" s="50">
        <f>IF(F27&gt;G27,0,(G27-F27))</f>
        <v>790416.13491360471</v>
      </c>
      <c r="I27" s="25">
        <f>MAX(F27,G27)</f>
        <v>22811347.200000003</v>
      </c>
      <c r="J27" s="23"/>
      <c r="K27" s="23"/>
      <c r="L27" s="25"/>
      <c r="M27" s="23"/>
    </row>
    <row r="28" spans="1:13">
      <c r="A28" s="23" t="s">
        <v>15</v>
      </c>
      <c r="B28" s="25">
        <v>1043</v>
      </c>
      <c r="C28" s="25">
        <f t="shared" si="5"/>
        <v>3419997</v>
      </c>
      <c r="D28" s="179">
        <v>764790</v>
      </c>
      <c r="E28" s="25">
        <v>2170846</v>
      </c>
      <c r="F28" s="25">
        <f t="shared" si="6"/>
        <v>1828941.2283536</v>
      </c>
      <c r="G28" s="25">
        <f>C28*0.8</f>
        <v>2735997.6</v>
      </c>
      <c r="H28" s="50">
        <f>IF(F28&gt;G28,0,(G28-F28))+1</f>
        <v>907057.37164640008</v>
      </c>
      <c r="I28" s="25">
        <f>MAX(F28,G28)</f>
        <v>2735997.6</v>
      </c>
      <c r="J28" s="23"/>
      <c r="K28" s="23"/>
      <c r="L28" s="25"/>
      <c r="M28" s="23"/>
    </row>
    <row r="29" spans="1:13">
      <c r="A29" s="23"/>
      <c r="B29" s="25"/>
      <c r="C29" s="25"/>
      <c r="D29" s="179"/>
      <c r="E29" s="25"/>
      <c r="F29" s="25"/>
      <c r="G29" s="25"/>
      <c r="H29" s="50"/>
      <c r="I29" s="25"/>
      <c r="J29" s="23"/>
      <c r="K29" s="23"/>
      <c r="L29" s="25"/>
      <c r="M29" s="23"/>
    </row>
    <row r="30" spans="1:13">
      <c r="A30" s="23" t="s">
        <v>16</v>
      </c>
      <c r="B30" s="25">
        <v>43919</v>
      </c>
      <c r="C30" s="25">
        <f>+B30*3279</f>
        <v>144010401</v>
      </c>
      <c r="D30" s="179">
        <v>666722</v>
      </c>
      <c r="E30" s="25">
        <v>104856287</v>
      </c>
      <c r="F30" s="25">
        <f>E30*0.8425016</f>
        <v>88341589.567559198</v>
      </c>
      <c r="G30" s="25">
        <f>C30*0.8</f>
        <v>115208320.80000001</v>
      </c>
      <c r="H30" s="50">
        <f t="shared" si="2"/>
        <v>26866731.232440814</v>
      </c>
      <c r="I30" s="25">
        <f>MAX(F30,G30)</f>
        <v>115208320.80000001</v>
      </c>
      <c r="J30" s="23"/>
      <c r="K30" s="23"/>
      <c r="L30" s="25"/>
      <c r="M30" s="23"/>
    </row>
    <row r="31" spans="1:13">
      <c r="A31" s="23" t="s">
        <v>17</v>
      </c>
      <c r="B31" s="25">
        <v>66677</v>
      </c>
      <c r="C31" s="25">
        <f t="shared" ref="C31:C34" si="7">+B31*3279</f>
        <v>218633883</v>
      </c>
      <c r="D31" s="179">
        <v>404497</v>
      </c>
      <c r="E31" s="25">
        <v>262390173</v>
      </c>
      <c r="F31" s="25">
        <f t="shared" ref="F31:F34" si="8">E31*0.8425016</f>
        <v>221064140.5767768</v>
      </c>
      <c r="G31" s="25">
        <f>C31*0.8</f>
        <v>174907106.40000001</v>
      </c>
      <c r="H31" s="50">
        <f t="shared" si="2"/>
        <v>0</v>
      </c>
      <c r="I31" s="25">
        <f>MAX(F31,G31)</f>
        <v>221064140.5767768</v>
      </c>
      <c r="J31" s="23"/>
      <c r="K31" s="23"/>
      <c r="L31" s="25"/>
      <c r="M31" s="23"/>
    </row>
    <row r="32" spans="1:13">
      <c r="A32" s="23" t="s">
        <v>18</v>
      </c>
      <c r="B32" s="25">
        <v>1837</v>
      </c>
      <c r="C32" s="25">
        <f t="shared" si="7"/>
        <v>6023523</v>
      </c>
      <c r="D32" s="179">
        <v>586497</v>
      </c>
      <c r="E32" s="25">
        <v>4985746</v>
      </c>
      <c r="F32" s="25">
        <f t="shared" si="8"/>
        <v>4200498.9821935995</v>
      </c>
      <c r="G32" s="25">
        <f>C32*0.8</f>
        <v>4818818.4000000004</v>
      </c>
      <c r="H32" s="50">
        <f t="shared" si="2"/>
        <v>618319.41780640092</v>
      </c>
      <c r="I32" s="25">
        <f>MAX(F32,G32)</f>
        <v>4818818.4000000004</v>
      </c>
      <c r="J32" s="23"/>
      <c r="K32" s="23"/>
      <c r="L32" s="25"/>
      <c r="M32" s="23"/>
    </row>
    <row r="33" spans="1:13">
      <c r="A33" s="23" t="s">
        <v>19</v>
      </c>
      <c r="B33" s="25">
        <v>4811</v>
      </c>
      <c r="C33" s="25">
        <f t="shared" si="7"/>
        <v>15775269</v>
      </c>
      <c r="D33" s="179">
        <v>429455</v>
      </c>
      <c r="E33" s="25">
        <v>17832183</v>
      </c>
      <c r="F33" s="25">
        <f t="shared" si="8"/>
        <v>15023642.7089928</v>
      </c>
      <c r="G33" s="25">
        <f>C33*0.8</f>
        <v>12620215.200000001</v>
      </c>
      <c r="H33" s="50">
        <f t="shared" si="2"/>
        <v>0</v>
      </c>
      <c r="I33" s="25">
        <f>MAX(F33,G33)</f>
        <v>15023642.7089928</v>
      </c>
      <c r="J33" s="23"/>
      <c r="K33" s="23"/>
      <c r="L33" s="25"/>
      <c r="M33" s="23"/>
    </row>
    <row r="34" spans="1:13">
      <c r="A34" s="23" t="s">
        <v>20</v>
      </c>
      <c r="B34" s="25">
        <v>1720</v>
      </c>
      <c r="C34" s="25">
        <f t="shared" si="7"/>
        <v>5639880</v>
      </c>
      <c r="D34" s="179">
        <v>327519</v>
      </c>
      <c r="E34" s="25">
        <v>8359471</v>
      </c>
      <c r="F34" s="25">
        <f t="shared" si="8"/>
        <v>7042867.6926536001</v>
      </c>
      <c r="G34" s="25">
        <f>C34*0.8</f>
        <v>4511904</v>
      </c>
      <c r="H34" s="50">
        <f t="shared" si="2"/>
        <v>0</v>
      </c>
      <c r="I34" s="25">
        <f>MAX(F34,G34)</f>
        <v>7042867.6926536001</v>
      </c>
      <c r="J34" s="23"/>
      <c r="K34" s="23"/>
      <c r="L34" s="25"/>
      <c r="M34" s="23"/>
    </row>
    <row r="35" spans="1:13">
      <c r="A35" s="23"/>
      <c r="B35" s="25"/>
      <c r="C35" s="25"/>
      <c r="D35" s="179"/>
      <c r="E35" s="25"/>
      <c r="F35" s="25"/>
      <c r="G35" s="25"/>
      <c r="H35" s="50"/>
      <c r="I35" s="25"/>
      <c r="J35" s="23"/>
      <c r="K35" s="23"/>
      <c r="L35" s="25"/>
      <c r="M35" s="23"/>
    </row>
    <row r="36" spans="1:13">
      <c r="A36" s="23" t="s">
        <v>21</v>
      </c>
      <c r="B36" s="25">
        <v>1616</v>
      </c>
      <c r="C36" s="25">
        <f>+B36*3279</f>
        <v>5298864</v>
      </c>
      <c r="D36" s="179">
        <v>1086948</v>
      </c>
      <c r="E36" s="25">
        <v>2366570</v>
      </c>
      <c r="F36" s="25">
        <f>E36*0.8425016</f>
        <v>1993839.0115119999</v>
      </c>
      <c r="G36" s="25">
        <f>C36*0.8</f>
        <v>4239091.2</v>
      </c>
      <c r="H36" s="50">
        <f>IF(F36&gt;G36,0,(G36-F36))</f>
        <v>2245252.1884880001</v>
      </c>
      <c r="I36" s="25">
        <f>MAX(F36,G36)</f>
        <v>4239091.2</v>
      </c>
      <c r="J36" s="23"/>
      <c r="K36" s="23"/>
      <c r="L36" s="25"/>
      <c r="M36" s="23"/>
    </row>
    <row r="37" spans="1:13">
      <c r="A37" s="23" t="s">
        <v>22</v>
      </c>
      <c r="B37" s="25">
        <v>10161</v>
      </c>
      <c r="C37" s="25">
        <f t="shared" ref="C37:C39" si="9">+B37*3279</f>
        <v>33317919</v>
      </c>
      <c r="D37" s="179">
        <v>344933</v>
      </c>
      <c r="E37" s="25">
        <v>46890897</v>
      </c>
      <c r="F37" s="25">
        <f t="shared" ref="F37:F39" si="10">E37*0.8425016</f>
        <v>39505655.747935198</v>
      </c>
      <c r="G37" s="25">
        <f>C37*0.8</f>
        <v>26654335.200000003</v>
      </c>
      <c r="H37" s="50">
        <f t="shared" si="2"/>
        <v>0</v>
      </c>
      <c r="I37" s="25">
        <f>MAX(F37,G37)</f>
        <v>39505655.747935198</v>
      </c>
      <c r="J37" s="23"/>
      <c r="K37" s="23"/>
      <c r="L37" s="25"/>
      <c r="M37" s="23"/>
    </row>
    <row r="38" spans="1:13">
      <c r="A38" s="23" t="s">
        <v>23</v>
      </c>
      <c r="B38" s="25">
        <v>7980</v>
      </c>
      <c r="C38" s="25">
        <f t="shared" si="9"/>
        <v>26166420</v>
      </c>
      <c r="D38" s="179">
        <v>297809</v>
      </c>
      <c r="E38" s="25">
        <v>43087269</v>
      </c>
      <c r="F38" s="25">
        <f t="shared" si="10"/>
        <v>36301093.072130397</v>
      </c>
      <c r="G38" s="25">
        <f>C38*0.8</f>
        <v>20933136</v>
      </c>
      <c r="H38" s="50">
        <f t="shared" si="2"/>
        <v>0</v>
      </c>
      <c r="I38" s="25">
        <f>MAX(F38,G38)</f>
        <v>36301093.072130397</v>
      </c>
      <c r="J38" s="23"/>
      <c r="K38" s="23"/>
      <c r="L38" s="25"/>
      <c r="M38" s="23"/>
    </row>
    <row r="39" spans="1:13">
      <c r="A39" s="31" t="s">
        <v>24</v>
      </c>
      <c r="B39" s="28">
        <v>2680</v>
      </c>
      <c r="C39" s="28">
        <f t="shared" si="9"/>
        <v>8787720</v>
      </c>
      <c r="D39" s="180">
        <v>1260728</v>
      </c>
      <c r="E39" s="28">
        <v>3383765</v>
      </c>
      <c r="F39" s="28">
        <f t="shared" si="10"/>
        <v>2850827.4265239998</v>
      </c>
      <c r="G39" s="28">
        <f>C39*0.8</f>
        <v>7030176</v>
      </c>
      <c r="H39" s="115">
        <f>IF(F39&gt;G39,0,(G39-F39))</f>
        <v>4179348.5734760002</v>
      </c>
      <c r="I39" s="28">
        <f>MAX(F39,G39)</f>
        <v>7030176</v>
      </c>
      <c r="J39" s="23"/>
      <c r="K39" s="23"/>
      <c r="L39" s="25"/>
      <c r="M39" s="23"/>
    </row>
    <row r="40" spans="1:13">
      <c r="A40" s="33"/>
      <c r="B40" s="33"/>
      <c r="C40" s="33"/>
      <c r="D40" s="185"/>
      <c r="E40" s="33"/>
      <c r="F40" s="33"/>
      <c r="G40" s="33"/>
      <c r="H40" s="33"/>
      <c r="I40" s="33"/>
      <c r="J40" s="23"/>
      <c r="K40" s="23"/>
      <c r="L40" s="25"/>
      <c r="M40" s="23"/>
    </row>
    <row r="41" spans="1:13">
      <c r="A41" s="23" t="s">
        <v>95</v>
      </c>
      <c r="B41" s="25"/>
      <c r="C41" s="25"/>
      <c r="D41" s="179"/>
      <c r="E41" s="25"/>
      <c r="F41" s="25"/>
      <c r="G41" s="25"/>
      <c r="H41" s="25"/>
      <c r="I41" s="25"/>
      <c r="J41" s="23"/>
      <c r="K41" s="23"/>
      <c r="L41" s="25"/>
      <c r="M41" s="23"/>
    </row>
    <row r="42" spans="1:13">
      <c r="A42" s="23"/>
      <c r="B42" s="25"/>
      <c r="C42" s="25"/>
      <c r="D42" s="179"/>
      <c r="E42" s="25"/>
      <c r="F42" s="25"/>
      <c r="G42" s="25"/>
      <c r="H42" s="25"/>
      <c r="I42" s="25"/>
      <c r="J42" s="23"/>
      <c r="K42" s="23"/>
      <c r="L42" s="25"/>
      <c r="M42" s="23"/>
    </row>
    <row r="43" spans="1:13">
      <c r="A43" s="23" t="s">
        <v>274</v>
      </c>
      <c r="B43" s="25"/>
      <c r="C43" s="25"/>
      <c r="D43" s="179"/>
      <c r="E43" s="25"/>
      <c r="F43" s="25"/>
      <c r="G43" s="25"/>
      <c r="H43" s="25"/>
      <c r="I43" s="25"/>
      <c r="J43" s="23"/>
      <c r="K43" s="23"/>
      <c r="L43" s="25"/>
      <c r="M43" s="23"/>
    </row>
    <row r="44" spans="1:13">
      <c r="A44" s="23"/>
      <c r="B44" s="25"/>
      <c r="C44" s="25"/>
      <c r="D44" s="179"/>
      <c r="E44" s="25"/>
      <c r="F44" s="25"/>
      <c r="G44" s="25"/>
      <c r="H44" s="25"/>
      <c r="I44" s="25"/>
      <c r="J44" s="23"/>
      <c r="K44" s="23"/>
      <c r="L44" s="25"/>
      <c r="M44" s="23"/>
    </row>
    <row r="45" spans="1:13">
      <c r="A45" s="23"/>
      <c r="B45" s="25"/>
      <c r="C45" s="25"/>
      <c r="D45" s="179"/>
      <c r="E45" s="25"/>
      <c r="F45" s="25"/>
      <c r="G45" s="25"/>
      <c r="H45" s="25"/>
      <c r="I45" s="25"/>
      <c r="J45" s="23"/>
      <c r="K45" s="23"/>
      <c r="L45" s="23"/>
      <c r="M45" s="23"/>
    </row>
    <row r="46" spans="1:13">
      <c r="A46" s="23"/>
      <c r="B46" s="25"/>
      <c r="C46" s="25"/>
      <c r="D46" s="179"/>
      <c r="E46" s="25"/>
      <c r="F46" s="25"/>
      <c r="G46" s="25"/>
      <c r="H46" s="25"/>
      <c r="I46" s="25"/>
      <c r="J46" s="23"/>
      <c r="K46" s="23"/>
      <c r="L46" s="23"/>
      <c r="M46" s="23"/>
    </row>
    <row r="47" spans="1:13">
      <c r="A47" s="23"/>
      <c r="B47" s="25"/>
      <c r="C47" s="25"/>
      <c r="D47" s="179"/>
      <c r="E47" s="25"/>
      <c r="F47" s="25"/>
      <c r="G47" s="25"/>
      <c r="H47" s="25"/>
      <c r="I47" s="25"/>
      <c r="J47" s="23"/>
      <c r="K47" s="23"/>
      <c r="L47" s="23"/>
      <c r="M47" s="23"/>
    </row>
    <row r="48" spans="1:13">
      <c r="A48" s="23"/>
      <c r="B48" s="25"/>
      <c r="C48" s="25"/>
      <c r="D48" s="179"/>
      <c r="E48" s="25"/>
      <c r="F48" s="25"/>
      <c r="G48" s="25"/>
      <c r="H48" s="25"/>
      <c r="I48" s="25"/>
      <c r="J48" s="23"/>
      <c r="K48" s="23"/>
      <c r="L48" s="23"/>
      <c r="M48" s="23"/>
    </row>
    <row r="49" spans="1:13">
      <c r="A49" s="23"/>
      <c r="B49" s="25"/>
      <c r="C49" s="25"/>
      <c r="D49" s="179"/>
      <c r="E49" s="25"/>
      <c r="F49" s="25"/>
      <c r="G49" s="25"/>
      <c r="H49" s="25"/>
      <c r="I49" s="25"/>
      <c r="J49" s="23"/>
      <c r="K49" s="23"/>
      <c r="L49" s="23"/>
      <c r="M49" s="23"/>
    </row>
    <row r="50" spans="1:13">
      <c r="A50" s="23"/>
      <c r="B50" s="25"/>
      <c r="C50" s="25"/>
      <c r="D50" s="179"/>
      <c r="E50" s="25"/>
      <c r="F50" s="25"/>
      <c r="G50" s="25"/>
      <c r="H50" s="25"/>
      <c r="I50" s="25"/>
      <c r="J50" s="23"/>
      <c r="K50" s="23"/>
      <c r="L50" s="23"/>
      <c r="M50" s="23"/>
    </row>
    <row r="51" spans="1:13">
      <c r="A51" s="23"/>
      <c r="B51" s="25"/>
      <c r="C51" s="25"/>
      <c r="D51" s="179"/>
      <c r="E51" s="25"/>
      <c r="F51" s="25"/>
      <c r="G51" s="25"/>
      <c r="H51" s="25"/>
      <c r="I51" s="25"/>
      <c r="J51" s="23"/>
      <c r="K51" s="23"/>
      <c r="L51" s="23"/>
      <c r="M51" s="23"/>
    </row>
    <row r="52" spans="1:13">
      <c r="A52" s="23"/>
      <c r="B52" s="25"/>
      <c r="C52" s="25"/>
      <c r="D52" s="179"/>
      <c r="E52" s="25"/>
      <c r="F52" s="25"/>
      <c r="G52" s="25"/>
      <c r="H52" s="25"/>
      <c r="I52" s="25"/>
      <c r="J52" s="23"/>
      <c r="K52" s="23"/>
      <c r="L52" s="23"/>
      <c r="M52" s="23"/>
    </row>
    <row r="53" spans="1:13">
      <c r="A53" s="23"/>
      <c r="B53" s="25"/>
      <c r="C53" s="25"/>
      <c r="D53" s="179"/>
      <c r="E53" s="25"/>
      <c r="F53" s="25"/>
      <c r="G53" s="25"/>
      <c r="H53" s="25"/>
      <c r="I53" s="25"/>
      <c r="J53" s="23"/>
      <c r="K53" s="23"/>
      <c r="L53" s="23"/>
      <c r="M53" s="23"/>
    </row>
    <row r="54" spans="1:13">
      <c r="A54" s="23"/>
      <c r="B54" s="25"/>
      <c r="C54" s="25"/>
      <c r="D54" s="179"/>
      <c r="E54" s="25"/>
      <c r="F54" s="25"/>
      <c r="G54" s="25"/>
      <c r="H54" s="25"/>
      <c r="I54" s="25"/>
      <c r="J54" s="23"/>
      <c r="K54" s="23"/>
      <c r="L54" s="23"/>
      <c r="M54" s="23"/>
    </row>
    <row r="55" spans="1:13">
      <c r="A55" s="23"/>
      <c r="B55" s="25"/>
      <c r="C55" s="25"/>
      <c r="D55" s="179"/>
      <c r="E55" s="25"/>
      <c r="F55" s="25"/>
      <c r="G55" s="25"/>
      <c r="H55" s="25"/>
      <c r="I55" s="25"/>
      <c r="J55" s="23"/>
      <c r="K55" s="23"/>
      <c r="L55" s="23"/>
      <c r="M55" s="23"/>
    </row>
    <row r="56" spans="1:13">
      <c r="A56" s="23"/>
      <c r="B56" s="25"/>
      <c r="C56" s="25"/>
      <c r="D56" s="179"/>
      <c r="E56" s="25"/>
      <c r="F56" s="25"/>
      <c r="G56" s="25"/>
      <c r="H56" s="25"/>
      <c r="I56" s="25"/>
      <c r="J56" s="23"/>
      <c r="K56" s="23"/>
      <c r="L56" s="23"/>
      <c r="M56" s="23"/>
    </row>
    <row r="57" spans="1:13">
      <c r="A57" s="23"/>
      <c r="B57" s="25"/>
      <c r="C57" s="25"/>
      <c r="D57" s="179"/>
      <c r="E57" s="25"/>
      <c r="F57" s="25"/>
      <c r="G57" s="25"/>
      <c r="H57" s="25"/>
      <c r="I57" s="25"/>
      <c r="J57" s="23"/>
      <c r="K57" s="23"/>
      <c r="L57" s="23"/>
      <c r="M57" s="23"/>
    </row>
    <row r="58" spans="1:13">
      <c r="A58" s="23"/>
      <c r="B58" s="25"/>
      <c r="C58" s="25"/>
      <c r="D58" s="179"/>
      <c r="E58" s="25"/>
      <c r="F58" s="25"/>
      <c r="G58" s="25"/>
      <c r="H58" s="25"/>
      <c r="I58" s="25"/>
      <c r="J58" s="23"/>
      <c r="K58" s="23"/>
      <c r="L58" s="23"/>
      <c r="M58" s="23"/>
    </row>
    <row r="59" spans="1:13">
      <c r="A59" s="23"/>
      <c r="B59" s="25"/>
      <c r="C59" s="25"/>
      <c r="D59" s="179"/>
      <c r="E59" s="25"/>
      <c r="F59" s="25"/>
      <c r="G59" s="25"/>
      <c r="H59" s="25"/>
      <c r="I59" s="25"/>
      <c r="J59" s="23"/>
      <c r="K59" s="23"/>
      <c r="L59" s="23"/>
      <c r="M59" s="23"/>
    </row>
    <row r="60" spans="1:13">
      <c r="A60" s="23"/>
      <c r="B60" s="25"/>
      <c r="C60" s="25"/>
      <c r="D60" s="179"/>
      <c r="E60" s="25"/>
      <c r="F60" s="25"/>
      <c r="G60" s="25"/>
      <c r="H60" s="25"/>
      <c r="I60" s="25"/>
      <c r="J60" s="23"/>
      <c r="K60" s="23"/>
      <c r="L60" s="23"/>
      <c r="M60" s="23"/>
    </row>
    <row r="61" spans="1:13">
      <c r="A61" s="23"/>
      <c r="B61" s="25"/>
      <c r="C61" s="25"/>
      <c r="D61" s="179"/>
      <c r="E61" s="25"/>
      <c r="F61" s="25"/>
      <c r="G61" s="25"/>
      <c r="H61" s="25"/>
      <c r="I61" s="25"/>
      <c r="J61" s="23"/>
      <c r="K61" s="23"/>
      <c r="L61" s="23"/>
      <c r="M61" s="23"/>
    </row>
    <row r="62" spans="1:13">
      <c r="A62" s="23"/>
      <c r="B62" s="25"/>
      <c r="C62" s="25"/>
      <c r="D62" s="179"/>
      <c r="E62" s="25"/>
      <c r="F62" s="25"/>
      <c r="G62" s="25"/>
      <c r="H62" s="25"/>
      <c r="I62" s="25"/>
      <c r="J62" s="23"/>
      <c r="K62" s="23"/>
      <c r="L62" s="23"/>
      <c r="M62" s="23"/>
    </row>
    <row r="63" spans="1:13">
      <c r="A63" s="23"/>
      <c r="B63" s="25"/>
      <c r="C63" s="25"/>
      <c r="D63" s="179"/>
      <c r="E63" s="25"/>
      <c r="F63" s="25"/>
      <c r="G63" s="25"/>
      <c r="H63" s="25"/>
      <c r="I63" s="25"/>
      <c r="J63" s="23"/>
      <c r="K63" s="23"/>
      <c r="L63" s="23"/>
      <c r="M63" s="23"/>
    </row>
    <row r="64" spans="1:13">
      <c r="A64" s="23"/>
      <c r="B64" s="25"/>
      <c r="C64" s="25"/>
      <c r="D64" s="179"/>
      <c r="E64" s="25"/>
      <c r="F64" s="25"/>
      <c r="G64" s="25"/>
      <c r="H64" s="25"/>
      <c r="I64" s="25"/>
      <c r="J64" s="23"/>
      <c r="K64" s="23"/>
      <c r="L64" s="23"/>
      <c r="M64" s="23"/>
    </row>
    <row r="65" spans="1:13">
      <c r="A65" s="23"/>
      <c r="B65" s="25"/>
      <c r="C65" s="25"/>
      <c r="D65" s="179"/>
      <c r="E65" s="25"/>
      <c r="F65" s="25"/>
      <c r="G65" s="25"/>
      <c r="H65" s="25"/>
      <c r="I65" s="25"/>
      <c r="J65" s="23"/>
      <c r="K65" s="23"/>
      <c r="L65" s="23"/>
      <c r="M65" s="23"/>
    </row>
    <row r="66" spans="1:13">
      <c r="A66" s="23"/>
      <c r="B66" s="25"/>
      <c r="C66" s="25"/>
      <c r="D66" s="179"/>
      <c r="E66" s="25"/>
      <c r="F66" s="25"/>
      <c r="G66" s="25"/>
      <c r="H66" s="25"/>
      <c r="I66" s="25"/>
      <c r="J66" s="23"/>
      <c r="K66" s="23"/>
      <c r="L66" s="23"/>
      <c r="M66" s="23"/>
    </row>
    <row r="67" spans="1:13">
      <c r="A67" s="23"/>
      <c r="B67" s="25"/>
      <c r="C67" s="25"/>
      <c r="D67" s="179"/>
      <c r="E67" s="25"/>
      <c r="F67" s="25"/>
      <c r="G67" s="25"/>
      <c r="H67" s="25"/>
      <c r="I67" s="25"/>
      <c r="J67" s="23"/>
      <c r="K67" s="23"/>
      <c r="L67" s="23"/>
      <c r="M67" s="23"/>
    </row>
    <row r="68" spans="1:13">
      <c r="A68" s="23"/>
      <c r="B68" s="25"/>
      <c r="C68" s="25"/>
      <c r="D68" s="179"/>
      <c r="E68" s="25"/>
      <c r="F68" s="25"/>
      <c r="G68" s="25"/>
      <c r="H68" s="25"/>
      <c r="I68" s="25"/>
      <c r="J68" s="23"/>
      <c r="K68" s="23"/>
      <c r="L68" s="23"/>
      <c r="M68" s="23"/>
    </row>
    <row r="69" spans="1:13">
      <c r="A69" s="23"/>
      <c r="B69" s="25"/>
      <c r="C69" s="25"/>
      <c r="D69" s="179"/>
      <c r="E69" s="25"/>
      <c r="F69" s="25"/>
      <c r="G69" s="25"/>
      <c r="H69" s="25"/>
      <c r="I69" s="25"/>
      <c r="J69" s="23"/>
      <c r="K69" s="23"/>
      <c r="L69" s="23"/>
      <c r="M69" s="23"/>
    </row>
    <row r="70" spans="1:13">
      <c r="A70" s="23"/>
      <c r="B70" s="25"/>
      <c r="C70" s="25"/>
      <c r="D70" s="179"/>
      <c r="E70" s="25"/>
      <c r="F70" s="25"/>
      <c r="G70" s="25"/>
      <c r="H70" s="25"/>
      <c r="I70" s="25"/>
      <c r="J70" s="23"/>
      <c r="K70" s="23"/>
      <c r="L70" s="23"/>
      <c r="M70" s="23"/>
    </row>
    <row r="71" spans="1:13">
      <c r="A71" s="23"/>
      <c r="B71" s="25"/>
      <c r="C71" s="25"/>
      <c r="D71" s="179"/>
      <c r="E71" s="25"/>
      <c r="F71" s="25"/>
      <c r="G71" s="25"/>
      <c r="H71" s="25"/>
      <c r="I71" s="25"/>
      <c r="J71" s="23"/>
      <c r="K71" s="23"/>
      <c r="L71" s="23"/>
      <c r="M71" s="23"/>
    </row>
    <row r="72" spans="1:13">
      <c r="B72" s="27"/>
      <c r="C72" s="27"/>
      <c r="D72" s="184"/>
      <c r="E72" s="27"/>
      <c r="F72" s="27"/>
      <c r="G72" s="27"/>
      <c r="H72" s="27"/>
      <c r="I72" s="27"/>
    </row>
    <row r="73" spans="1:13">
      <c r="B73" s="27"/>
      <c r="C73" s="27"/>
      <c r="D73" s="184"/>
      <c r="E73" s="27"/>
      <c r="F73" s="27"/>
      <c r="G73" s="27"/>
      <c r="H73" s="27"/>
      <c r="I73" s="27"/>
    </row>
    <row r="74" spans="1:13">
      <c r="B74" s="27"/>
      <c r="C74" s="27"/>
      <c r="D74" s="184"/>
      <c r="E74" s="27"/>
      <c r="F74" s="27"/>
      <c r="G74" s="27"/>
      <c r="H74" s="27"/>
      <c r="I74" s="27"/>
    </row>
    <row r="75" spans="1:13">
      <c r="B75" s="27"/>
      <c r="C75" s="27"/>
      <c r="D75" s="184"/>
      <c r="E75" s="27"/>
      <c r="F75" s="27"/>
      <c r="G75" s="27"/>
      <c r="H75" s="27"/>
      <c r="I75" s="27"/>
    </row>
    <row r="76" spans="1:13">
      <c r="B76" s="27"/>
      <c r="C76" s="27"/>
      <c r="D76" s="184"/>
      <c r="E76" s="27"/>
      <c r="F76" s="27"/>
      <c r="G76" s="27"/>
      <c r="H76" s="27"/>
      <c r="I76" s="27"/>
    </row>
    <row r="77" spans="1:13">
      <c r="B77" s="27"/>
      <c r="C77" s="27"/>
      <c r="D77" s="184"/>
      <c r="E77" s="27"/>
      <c r="F77" s="27"/>
      <c r="G77" s="27"/>
      <c r="H77" s="27"/>
      <c r="I77" s="27"/>
    </row>
    <row r="78" spans="1:13">
      <c r="B78" s="27"/>
      <c r="C78" s="27"/>
      <c r="D78" s="184"/>
      <c r="E78" s="27"/>
      <c r="F78" s="27"/>
      <c r="G78" s="27"/>
      <c r="H78" s="27"/>
      <c r="I78" s="27"/>
    </row>
    <row r="79" spans="1:13">
      <c r="B79" s="27"/>
      <c r="C79" s="27"/>
      <c r="D79" s="184"/>
      <c r="E79" s="27"/>
      <c r="F79" s="27"/>
      <c r="G79" s="27"/>
      <c r="H79" s="27"/>
      <c r="I79" s="27"/>
    </row>
    <row r="80" spans="1:13">
      <c r="B80" s="27"/>
      <c r="C80" s="27"/>
      <c r="D80" s="184"/>
      <c r="E80" s="27"/>
      <c r="F80" s="27"/>
      <c r="G80" s="27"/>
      <c r="H80" s="27"/>
      <c r="I80" s="27"/>
    </row>
    <row r="81" spans="2:9">
      <c r="B81" s="27"/>
      <c r="C81" s="27"/>
      <c r="D81" s="184"/>
      <c r="E81" s="27"/>
      <c r="F81" s="27"/>
      <c r="G81" s="27"/>
      <c r="H81" s="27"/>
      <c r="I81" s="27"/>
    </row>
    <row r="82" spans="2:9">
      <c r="B82" s="27"/>
      <c r="C82" s="27"/>
      <c r="D82" s="184"/>
      <c r="E82" s="27"/>
      <c r="F82" s="27"/>
      <c r="G82" s="27"/>
      <c r="H82" s="27"/>
      <c r="I82" s="27"/>
    </row>
    <row r="83" spans="2:9">
      <c r="B83" s="27"/>
      <c r="C83" s="27"/>
      <c r="D83" s="184"/>
      <c r="E83" s="27"/>
      <c r="F83" s="27"/>
      <c r="G83" s="27"/>
      <c r="H83" s="27"/>
      <c r="I83" s="27"/>
    </row>
    <row r="84" spans="2:9">
      <c r="B84" s="27"/>
      <c r="C84" s="27"/>
      <c r="D84" s="184"/>
      <c r="E84" s="27"/>
      <c r="F84" s="27"/>
      <c r="G84" s="27"/>
      <c r="H84" s="27"/>
      <c r="I84" s="27"/>
    </row>
    <row r="85" spans="2:9">
      <c r="B85" s="27"/>
      <c r="C85" s="27"/>
      <c r="D85" s="184"/>
      <c r="E85" s="27"/>
      <c r="F85" s="27"/>
      <c r="G85" s="27"/>
      <c r="H85" s="27"/>
      <c r="I85" s="27"/>
    </row>
    <row r="86" spans="2:9">
      <c r="B86" s="27"/>
      <c r="C86" s="27"/>
      <c r="D86" s="184"/>
      <c r="E86" s="27"/>
      <c r="F86" s="27"/>
      <c r="G86" s="27"/>
      <c r="H86" s="27"/>
      <c r="I86" s="27"/>
    </row>
    <row r="87" spans="2:9">
      <c r="B87" s="27"/>
      <c r="C87" s="27"/>
      <c r="D87" s="184"/>
      <c r="E87" s="27"/>
      <c r="F87" s="27"/>
      <c r="G87" s="27"/>
      <c r="H87" s="27"/>
      <c r="I87" s="27"/>
    </row>
    <row r="88" spans="2:9">
      <c r="B88" s="27"/>
      <c r="C88" s="27"/>
      <c r="D88" s="184"/>
      <c r="E88" s="27"/>
      <c r="F88" s="27"/>
      <c r="G88" s="27"/>
      <c r="H88" s="27"/>
      <c r="I88" s="27"/>
    </row>
    <row r="89" spans="2:9">
      <c r="B89" s="27"/>
      <c r="C89" s="27"/>
      <c r="D89" s="184"/>
      <c r="E89" s="27"/>
      <c r="F89" s="27"/>
      <c r="G89" s="27"/>
      <c r="H89" s="27"/>
      <c r="I89" s="27"/>
    </row>
    <row r="90" spans="2:9">
      <c r="B90" s="27"/>
      <c r="C90" s="27"/>
      <c r="D90" s="184"/>
      <c r="E90" s="27"/>
      <c r="F90" s="27"/>
      <c r="G90" s="27"/>
      <c r="H90" s="27"/>
      <c r="I90" s="27"/>
    </row>
    <row r="91" spans="2:9">
      <c r="B91" s="27"/>
      <c r="C91" s="27"/>
      <c r="D91" s="184"/>
      <c r="E91" s="27"/>
      <c r="F91" s="27"/>
      <c r="G91" s="27"/>
      <c r="H91" s="27"/>
      <c r="I91" s="27"/>
    </row>
    <row r="92" spans="2:9">
      <c r="B92" s="27"/>
      <c r="C92" s="27"/>
      <c r="D92" s="184"/>
      <c r="E92" s="27"/>
      <c r="F92" s="27"/>
      <c r="G92" s="27"/>
      <c r="H92" s="27"/>
      <c r="I92" s="27"/>
    </row>
    <row r="93" spans="2:9">
      <c r="B93" s="27"/>
      <c r="C93" s="27"/>
      <c r="D93" s="184"/>
      <c r="E93" s="27"/>
      <c r="F93" s="27"/>
      <c r="G93" s="27"/>
      <c r="H93" s="27"/>
      <c r="I93" s="27"/>
    </row>
    <row r="94" spans="2:9">
      <c r="B94" s="27"/>
      <c r="C94" s="27"/>
      <c r="D94" s="184"/>
      <c r="E94" s="27"/>
      <c r="F94" s="27"/>
      <c r="G94" s="27"/>
      <c r="H94" s="27"/>
      <c r="I94" s="27"/>
    </row>
    <row r="95" spans="2:9">
      <c r="B95" s="27"/>
      <c r="C95" s="27"/>
      <c r="D95" s="184"/>
      <c r="E95" s="27"/>
      <c r="F95" s="27"/>
      <c r="G95" s="27"/>
      <c r="H95" s="27"/>
      <c r="I95" s="27"/>
    </row>
    <row r="96" spans="2:9">
      <c r="B96" s="27"/>
      <c r="C96" s="27"/>
      <c r="D96" s="184"/>
      <c r="E96" s="27"/>
      <c r="F96" s="27"/>
      <c r="G96" s="27"/>
      <c r="H96" s="27"/>
      <c r="I96" s="27"/>
    </row>
    <row r="97" spans="2:9">
      <c r="B97" s="27"/>
      <c r="C97" s="27"/>
      <c r="D97" s="184"/>
      <c r="E97" s="27"/>
      <c r="F97" s="27"/>
      <c r="G97" s="27"/>
      <c r="H97" s="27"/>
      <c r="I97" s="27"/>
    </row>
    <row r="98" spans="2:9">
      <c r="B98" s="27"/>
      <c r="C98" s="27"/>
      <c r="D98" s="184"/>
      <c r="E98" s="27"/>
      <c r="F98" s="27"/>
      <c r="G98" s="27"/>
      <c r="H98" s="27"/>
      <c r="I98" s="27"/>
    </row>
    <row r="99" spans="2:9">
      <c r="B99" s="27"/>
      <c r="C99" s="27"/>
      <c r="D99" s="184"/>
      <c r="E99" s="27"/>
      <c r="F99" s="27"/>
      <c r="G99" s="27"/>
      <c r="H99" s="27"/>
      <c r="I99" s="27"/>
    </row>
    <row r="100" spans="2:9">
      <c r="B100" s="27"/>
      <c r="C100" s="27"/>
      <c r="D100" s="184"/>
      <c r="E100" s="27"/>
      <c r="F100" s="27"/>
      <c r="G100" s="27"/>
      <c r="H100" s="27"/>
      <c r="I100" s="27"/>
    </row>
    <row r="101" spans="2:9">
      <c r="B101" s="27"/>
      <c r="C101" s="27"/>
      <c r="D101" s="184"/>
      <c r="E101" s="27"/>
      <c r="F101" s="27"/>
      <c r="G101" s="27"/>
      <c r="H101" s="27"/>
      <c r="I101" s="27"/>
    </row>
    <row r="102" spans="2:9">
      <c r="B102" s="27"/>
      <c r="C102" s="27"/>
      <c r="D102" s="184"/>
      <c r="E102" s="27"/>
      <c r="F102" s="27"/>
      <c r="G102" s="27"/>
      <c r="H102" s="27"/>
      <c r="I102" s="27"/>
    </row>
    <row r="103" spans="2:9">
      <c r="B103" s="27"/>
      <c r="C103" s="27"/>
      <c r="D103" s="184"/>
      <c r="E103" s="27"/>
      <c r="F103" s="27"/>
      <c r="G103" s="27"/>
      <c r="H103" s="27"/>
      <c r="I103" s="27"/>
    </row>
    <row r="104" spans="2:9">
      <c r="B104" s="27"/>
      <c r="C104" s="27"/>
      <c r="D104" s="184"/>
      <c r="E104" s="27"/>
      <c r="F104" s="27"/>
      <c r="G104" s="27"/>
      <c r="H104" s="27"/>
      <c r="I104" s="27"/>
    </row>
    <row r="105" spans="2:9">
      <c r="B105" s="27"/>
      <c r="C105" s="27"/>
      <c r="D105" s="184"/>
      <c r="E105" s="27"/>
      <c r="F105" s="27"/>
      <c r="G105" s="27"/>
      <c r="H105" s="27"/>
      <c r="I105" s="27"/>
    </row>
    <row r="106" spans="2:9">
      <c r="B106" s="27"/>
      <c r="C106" s="27"/>
      <c r="D106" s="184"/>
      <c r="E106" s="27"/>
      <c r="F106" s="27"/>
      <c r="G106" s="27"/>
      <c r="H106" s="27"/>
      <c r="I106" s="27"/>
    </row>
  </sheetData>
  <sheetProtection password="CAF5" sheet="1" objects="1" scenarios="1"/>
  <mergeCells count="8">
    <mergeCell ref="B6:B9"/>
    <mergeCell ref="F6:F9"/>
    <mergeCell ref="H6:H9"/>
    <mergeCell ref="I6:I9"/>
    <mergeCell ref="C6:C8"/>
    <mergeCell ref="D6:D8"/>
    <mergeCell ref="E6:E8"/>
    <mergeCell ref="G6:G8"/>
  </mergeCells>
  <phoneticPr fontId="0" type="noConversion"/>
  <printOptions horizontalCentered="1"/>
  <pageMargins left="0.7" right="0.75" top="0.83" bottom="0.84" header="0.67" footer="0.5"/>
  <pageSetup scale="83" orientation="landscape" r:id="rId1"/>
  <headerFooter alignWithMargins="0">
    <oddFooter xml:space="preserve">&amp;L&amp;"Arial,Italic"&amp;9MSDE - LFRO 12 / 2013
&amp;C- 18 -&amp;R&amp;"Arial,Italic"&amp;9Selected Financial Data-Part 1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opLeftCell="A2" zoomScale="99" zoomScaleNormal="99" workbookViewId="0">
      <selection activeCell="A2" sqref="A2"/>
    </sheetView>
  </sheetViews>
  <sheetFormatPr defaultRowHeight="12.75"/>
  <cols>
    <col min="1" max="1" width="22" customWidth="1"/>
    <col min="2" max="2" width="20.85546875" customWidth="1"/>
    <col min="3" max="3" width="18.140625" customWidth="1"/>
    <col min="4" max="4" width="21" customWidth="1"/>
    <col min="5" max="5" width="21.5703125" style="83" customWidth="1"/>
    <col min="6" max="6" width="22.42578125" customWidth="1"/>
  </cols>
  <sheetData>
    <row r="1" spans="1:7">
      <c r="A1" s="449" t="s">
        <v>107</v>
      </c>
      <c r="B1" s="449"/>
      <c r="C1" s="449"/>
      <c r="D1" s="449"/>
      <c r="E1" s="449"/>
      <c r="F1" s="449"/>
    </row>
    <row r="2" spans="1:7" ht="13.5" customHeight="1">
      <c r="A2" s="39"/>
      <c r="E2" s="32"/>
    </row>
    <row r="3" spans="1:7">
      <c r="A3" s="441" t="s">
        <v>277</v>
      </c>
      <c r="B3" s="449"/>
      <c r="C3" s="449"/>
      <c r="D3" s="449"/>
      <c r="E3" s="449"/>
      <c r="F3" s="449"/>
    </row>
    <row r="4" spans="1:7" ht="13.5" thickBot="1">
      <c r="A4" s="3"/>
      <c r="B4" s="3"/>
      <c r="C4" s="3"/>
      <c r="D4" s="3"/>
      <c r="E4" s="23"/>
      <c r="F4" s="3"/>
    </row>
    <row r="5" spans="1:7" ht="15" customHeight="1" thickTop="1">
      <c r="A5" s="6"/>
      <c r="B5" s="62" t="s">
        <v>211</v>
      </c>
      <c r="C5" s="6"/>
      <c r="D5" s="6"/>
      <c r="E5" s="549" t="s">
        <v>279</v>
      </c>
      <c r="F5" s="132"/>
      <c r="G5" s="19"/>
    </row>
    <row r="6" spans="1:7">
      <c r="A6" s="3" t="s">
        <v>77</v>
      </c>
      <c r="B6" s="4" t="s">
        <v>114</v>
      </c>
      <c r="C6" s="4" t="s">
        <v>102</v>
      </c>
      <c r="D6" s="4" t="s">
        <v>99</v>
      </c>
      <c r="E6" s="550"/>
      <c r="F6" s="4" t="s">
        <v>99</v>
      </c>
      <c r="G6" s="19"/>
    </row>
    <row r="7" spans="1:7">
      <c r="A7" s="3" t="s">
        <v>33</v>
      </c>
      <c r="B7" s="4" t="s">
        <v>115</v>
      </c>
      <c r="C7" s="4" t="s">
        <v>103</v>
      </c>
      <c r="D7" s="4" t="s">
        <v>100</v>
      </c>
      <c r="E7" s="550"/>
      <c r="F7" s="4" t="s">
        <v>100</v>
      </c>
      <c r="G7" s="19"/>
    </row>
    <row r="8" spans="1:7" ht="13.5" thickBot="1">
      <c r="A8" s="7" t="s">
        <v>132</v>
      </c>
      <c r="B8" s="8" t="s">
        <v>101</v>
      </c>
      <c r="C8" s="8" t="s">
        <v>210</v>
      </c>
      <c r="D8" s="8" t="s">
        <v>104</v>
      </c>
      <c r="E8" s="551"/>
      <c r="F8" s="8" t="s">
        <v>105</v>
      </c>
      <c r="G8" s="19"/>
    </row>
    <row r="9" spans="1:7">
      <c r="A9" s="3" t="s">
        <v>0</v>
      </c>
      <c r="B9" s="278">
        <f>SUM(B11:B38)-2</f>
        <v>673570993</v>
      </c>
      <c r="C9" s="279">
        <f>SUM(C11:C38)-1</f>
        <v>847834.49999999988</v>
      </c>
      <c r="D9" s="16">
        <f>+B9*1000/C9</f>
        <v>794460.46722562017</v>
      </c>
      <c r="E9" s="56">
        <f>SUM(E11:E48)</f>
        <v>5928814</v>
      </c>
      <c r="F9" s="46">
        <f>+B9*1000/E9</f>
        <v>113609.73594381608</v>
      </c>
    </row>
    <row r="10" spans="1:7">
      <c r="A10" s="3"/>
      <c r="B10" s="2"/>
      <c r="C10" s="5"/>
      <c r="D10" s="3"/>
      <c r="E10" s="57"/>
      <c r="F10" s="2"/>
    </row>
    <row r="11" spans="1:7">
      <c r="A11" s="3" t="s">
        <v>1</v>
      </c>
      <c r="B11" s="111">
        <v>3962462</v>
      </c>
      <c r="C11" s="436">
        <v>8615.2000000000007</v>
      </c>
      <c r="D11" s="2">
        <f>+B11*1000/C11</f>
        <v>459938.48082458903</v>
      </c>
      <c r="E11" s="370">
        <v>73521</v>
      </c>
      <c r="F11" s="15">
        <f>+B11*1000/E11</f>
        <v>53895.648862229842</v>
      </c>
    </row>
    <row r="12" spans="1:7">
      <c r="A12" s="3" t="s">
        <v>2</v>
      </c>
      <c r="B12" s="111">
        <v>76293860</v>
      </c>
      <c r="C12" s="436">
        <v>77083</v>
      </c>
      <c r="D12" s="2">
        <f>+B12*1000/C12</f>
        <v>989762.46383768145</v>
      </c>
      <c r="E12" s="370">
        <v>555743</v>
      </c>
      <c r="F12" s="15">
        <f>+B12*1000/E12</f>
        <v>137282.62884102904</v>
      </c>
    </row>
    <row r="13" spans="1:7">
      <c r="A13" s="3" t="s">
        <v>3</v>
      </c>
      <c r="B13" s="111">
        <v>35123385</v>
      </c>
      <c r="C13" s="436">
        <v>83997.4</v>
      </c>
      <c r="D13" s="2">
        <f>+B13*1000/C13</f>
        <v>418148.478405284</v>
      </c>
      <c r="E13" s="30">
        <v>622104</v>
      </c>
      <c r="F13" s="15">
        <f>+B13*1000/E13</f>
        <v>56459.02453609043</v>
      </c>
    </row>
    <row r="14" spans="1:7">
      <c r="A14" s="3" t="s">
        <v>4</v>
      </c>
      <c r="B14" s="111">
        <v>80753433</v>
      </c>
      <c r="C14" s="436">
        <v>105228.8</v>
      </c>
      <c r="D14" s="2">
        <f>+B14*1000/C14</f>
        <v>767408.0955023719</v>
      </c>
      <c r="E14" s="30">
        <v>823015</v>
      </c>
      <c r="F14" s="15">
        <f>+B14*1000/E14</f>
        <v>98119.029422307009</v>
      </c>
    </row>
    <row r="15" spans="1:7">
      <c r="A15" s="3" t="s">
        <v>5</v>
      </c>
      <c r="B15" s="111">
        <v>12553694</v>
      </c>
      <c r="C15" s="436">
        <v>16136.2</v>
      </c>
      <c r="D15" s="2">
        <f>+B15*1000/C15</f>
        <v>777983.29222493526</v>
      </c>
      <c r="E15" s="370">
        <v>90484</v>
      </c>
      <c r="F15" s="15">
        <f>+B15*1000/E15</f>
        <v>138739.37933778347</v>
      </c>
    </row>
    <row r="16" spans="1:7">
      <c r="A16" s="3"/>
      <c r="B16" s="111"/>
      <c r="C16" s="436"/>
      <c r="D16" s="2"/>
      <c r="E16" s="111"/>
      <c r="F16" s="15"/>
    </row>
    <row r="17" spans="1:6">
      <c r="A17" s="3" t="s">
        <v>6</v>
      </c>
      <c r="B17" s="111">
        <v>2810316</v>
      </c>
      <c r="C17" s="436">
        <v>5361.2</v>
      </c>
      <c r="D17" s="2">
        <f>+B17*1000/C17</f>
        <v>524195.3294038648</v>
      </c>
      <c r="E17" s="370">
        <v>32693</v>
      </c>
      <c r="F17" s="15">
        <f>+B17*1000/E17</f>
        <v>85960.786712751971</v>
      </c>
    </row>
    <row r="18" spans="1:6">
      <c r="A18" s="3" t="s">
        <v>7</v>
      </c>
      <c r="B18" s="111">
        <v>18861958</v>
      </c>
      <c r="C18" s="436">
        <v>26427.1</v>
      </c>
      <c r="D18" s="2">
        <f>+B18*1000/C18</f>
        <v>713735.44581130741</v>
      </c>
      <c r="E18" s="370">
        <v>167564</v>
      </c>
      <c r="F18" s="15">
        <f>+B18*1000/E18</f>
        <v>112565.69430187868</v>
      </c>
    </row>
    <row r="19" spans="1:6">
      <c r="A19" s="3" t="s">
        <v>8</v>
      </c>
      <c r="B19" s="111">
        <v>9967470</v>
      </c>
      <c r="C19" s="436">
        <v>15297.8</v>
      </c>
      <c r="D19" s="2">
        <f>+B19*1000/C19</f>
        <v>651562.31615003466</v>
      </c>
      <c r="E19" s="370">
        <v>101913</v>
      </c>
      <c r="F19" s="15">
        <f>+B19*1000/E19</f>
        <v>97803.714933325478</v>
      </c>
    </row>
    <row r="20" spans="1:6">
      <c r="A20" s="3" t="s">
        <v>9</v>
      </c>
      <c r="B20" s="111">
        <v>16693575</v>
      </c>
      <c r="C20" s="436">
        <v>26128.3</v>
      </c>
      <c r="D20" s="2">
        <f>+B20*1000/C20</f>
        <v>638907.81260166178</v>
      </c>
      <c r="E20" s="370">
        <v>152864</v>
      </c>
      <c r="F20" s="15">
        <f>+B20*1000/E20</f>
        <v>109205.40480427047</v>
      </c>
    </row>
    <row r="21" spans="1:6">
      <c r="A21" s="3" t="s">
        <v>10</v>
      </c>
      <c r="B21" s="111">
        <v>3119674</v>
      </c>
      <c r="C21" s="436">
        <v>4544.7</v>
      </c>
      <c r="D21" s="2">
        <f>+B21*1000/C21</f>
        <v>686442.2294100821</v>
      </c>
      <c r="E21" s="370">
        <v>32660</v>
      </c>
      <c r="F21" s="15">
        <f>+B21*1000/E21</f>
        <v>95519.718309859149</v>
      </c>
    </row>
    <row r="22" spans="1:6">
      <c r="A22" s="3"/>
      <c r="B22" s="72"/>
      <c r="C22" s="436"/>
      <c r="D22" s="2"/>
      <c r="E22" s="23"/>
      <c r="F22" s="15"/>
    </row>
    <row r="23" spans="1:6">
      <c r="A23" s="3" t="s">
        <v>11</v>
      </c>
      <c r="B23" s="111">
        <v>25893046</v>
      </c>
      <c r="C23" s="436">
        <v>40428.800000000003</v>
      </c>
      <c r="D23" s="2">
        <f>+B23*1000/C23</f>
        <v>640460.4143580813</v>
      </c>
      <c r="E23" s="370">
        <v>241409</v>
      </c>
      <c r="F23" s="15">
        <f>+B23*1000/E23</f>
        <v>107257.99783769454</v>
      </c>
    </row>
    <row r="24" spans="1:6">
      <c r="A24" s="3" t="s">
        <v>12</v>
      </c>
      <c r="B24" s="111">
        <v>4834793</v>
      </c>
      <c r="C24" s="436">
        <v>3649.9</v>
      </c>
      <c r="D24" s="2">
        <f>+B24*1000/C24</f>
        <v>1324637.1133455711</v>
      </c>
      <c r="E24" s="370">
        <v>29889</v>
      </c>
      <c r="F24" s="15">
        <f>+B24*1000/E24</f>
        <v>161758.27227408075</v>
      </c>
    </row>
    <row r="25" spans="1:6">
      <c r="A25" s="3" t="s">
        <v>13</v>
      </c>
      <c r="B25" s="111">
        <v>26819052</v>
      </c>
      <c r="C25" s="436">
        <v>37280.199999999997</v>
      </c>
      <c r="D25" s="2">
        <f>+B25*1000/C25</f>
        <v>719391.3122783677</v>
      </c>
      <c r="E25" s="370">
        <v>249215</v>
      </c>
      <c r="F25" s="15">
        <f>+B25*1000/E25</f>
        <v>107614.11632526132</v>
      </c>
    </row>
    <row r="26" spans="1:6">
      <c r="A26" s="3" t="s">
        <v>14</v>
      </c>
      <c r="B26" s="111">
        <v>44000081</v>
      </c>
      <c r="C26" s="436">
        <v>51663.1</v>
      </c>
      <c r="D26" s="2">
        <f>+B26*1000/C26</f>
        <v>851673.26389628195</v>
      </c>
      <c r="E26" s="370">
        <v>304580</v>
      </c>
      <c r="F26" s="15">
        <f>+B26*1000/E26</f>
        <v>144461.49123383019</v>
      </c>
    </row>
    <row r="27" spans="1:6">
      <c r="A27" s="3" t="s">
        <v>15</v>
      </c>
      <c r="B27" s="111">
        <v>3058279</v>
      </c>
      <c r="C27" s="436">
        <v>2126.4</v>
      </c>
      <c r="D27" s="2">
        <f>+B27*1000/C27</f>
        <v>1438242.5696012038</v>
      </c>
      <c r="E27" s="370">
        <v>19944</v>
      </c>
      <c r="F27" s="15">
        <f>+B27*1000/E27</f>
        <v>153343.31127156038</v>
      </c>
    </row>
    <row r="28" spans="1:6">
      <c r="A28" s="3"/>
      <c r="B28" s="72"/>
      <c r="C28" s="436"/>
      <c r="D28" s="2"/>
      <c r="E28" s="23"/>
      <c r="F28" s="15"/>
    </row>
    <row r="29" spans="1:6">
      <c r="A29" s="3" t="s">
        <v>16</v>
      </c>
      <c r="B29" s="111">
        <v>163276868</v>
      </c>
      <c r="C29" s="436">
        <v>147377.70000000001</v>
      </c>
      <c r="D29" s="2">
        <f>+B29*1000/C29</f>
        <v>1107880.4188150582</v>
      </c>
      <c r="E29" s="370">
        <v>1016677</v>
      </c>
      <c r="F29" s="15">
        <f>+B29*1000/E29</f>
        <v>160598.56571949596</v>
      </c>
    </row>
    <row r="30" spans="1:6">
      <c r="A30" s="3" t="s">
        <v>17</v>
      </c>
      <c r="B30" s="111">
        <v>79257050</v>
      </c>
      <c r="C30" s="436">
        <v>121807.7</v>
      </c>
      <c r="D30" s="2">
        <f>+B30*1000/C30</f>
        <v>650673.5616878079</v>
      </c>
      <c r="E30" s="370">
        <v>890081</v>
      </c>
      <c r="F30" s="15">
        <f>+B30*1000/E30</f>
        <v>89044.761094776768</v>
      </c>
    </row>
    <row r="31" spans="1:6">
      <c r="A31" s="3" t="s">
        <v>18</v>
      </c>
      <c r="B31" s="111">
        <v>8031355</v>
      </c>
      <c r="C31" s="436">
        <v>7614.6</v>
      </c>
      <c r="D31" s="2">
        <f>+B31*1000/C31</f>
        <v>1054731.042996349</v>
      </c>
      <c r="E31" s="370">
        <v>48517</v>
      </c>
      <c r="F31" s="15">
        <f>+B31*1000/E31</f>
        <v>165536.92520147577</v>
      </c>
    </row>
    <row r="32" spans="1:6">
      <c r="A32" s="3" t="s">
        <v>19</v>
      </c>
      <c r="B32" s="111">
        <v>12191008</v>
      </c>
      <c r="C32" s="436">
        <v>17022.2</v>
      </c>
      <c r="D32" s="2">
        <f>+B32*1000/C32</f>
        <v>716182.86707946088</v>
      </c>
      <c r="E32" s="370">
        <v>109633</v>
      </c>
      <c r="F32" s="15">
        <f>+B32*1000/E32</f>
        <v>111198.34356443772</v>
      </c>
    </row>
    <row r="33" spans="1:6">
      <c r="A33" s="3" t="s">
        <v>20</v>
      </c>
      <c r="B33" s="111">
        <v>1483073</v>
      </c>
      <c r="C33" s="436">
        <v>2807.7</v>
      </c>
      <c r="D33" s="2">
        <f>+B33*1000/C33</f>
        <v>528216.3336538804</v>
      </c>
      <c r="E33" s="370">
        <v>26273</v>
      </c>
      <c r="F33" s="15">
        <f>+B33*1000/E33</f>
        <v>56448.559357515318</v>
      </c>
    </row>
    <row r="34" spans="1:6">
      <c r="A34" s="3"/>
      <c r="B34" s="111"/>
      <c r="C34" s="436"/>
      <c r="D34" s="2"/>
      <c r="E34" s="23"/>
      <c r="F34" s="15"/>
    </row>
    <row r="35" spans="1:6">
      <c r="A35" s="3" t="s">
        <v>21</v>
      </c>
      <c r="B35" s="111">
        <v>9322352</v>
      </c>
      <c r="C35" s="436">
        <v>4419.6000000000004</v>
      </c>
      <c r="D35" s="2">
        <f>+B35*1000/C35</f>
        <v>2109320.3004796812</v>
      </c>
      <c r="E35" s="25">
        <v>37931</v>
      </c>
      <c r="F35" s="15">
        <f>+B35*1000/E35</f>
        <v>245771.32161029236</v>
      </c>
    </row>
    <row r="36" spans="1:6">
      <c r="A36" s="3" t="s">
        <v>22</v>
      </c>
      <c r="B36" s="111">
        <v>12823001</v>
      </c>
      <c r="C36" s="436">
        <v>22230.6</v>
      </c>
      <c r="D36" s="2">
        <f>+B36*1000/C36</f>
        <v>576817.58477054152</v>
      </c>
      <c r="E36" s="25">
        <v>149588</v>
      </c>
      <c r="F36" s="15">
        <f>+B36*1000/E36</f>
        <v>85722.123432360881</v>
      </c>
    </row>
    <row r="37" spans="1:6">
      <c r="A37" s="3" t="s">
        <v>23</v>
      </c>
      <c r="B37" s="111">
        <v>6668152</v>
      </c>
      <c r="C37" s="436">
        <v>14160.4</v>
      </c>
      <c r="D37" s="2">
        <f>+B37*1000/C37</f>
        <v>470901.38696646987</v>
      </c>
      <c r="E37" s="25">
        <v>100896</v>
      </c>
      <c r="F37" s="15">
        <f>+B37*1000/E37</f>
        <v>66089.35934031081</v>
      </c>
    </row>
    <row r="38" spans="1:6" ht="13.5" thickBot="1">
      <c r="A38" s="7" t="s">
        <v>24</v>
      </c>
      <c r="B38" s="368">
        <v>15773058</v>
      </c>
      <c r="C38" s="437">
        <v>6426.9</v>
      </c>
      <c r="D38" s="78">
        <f>+B38*1000/C38</f>
        <v>2454224.8984736032</v>
      </c>
      <c r="E38" s="371">
        <v>51620</v>
      </c>
      <c r="F38" s="79">
        <f>+B38*1000/E38</f>
        <v>305560.98411468422</v>
      </c>
    </row>
    <row r="39" spans="1:6">
      <c r="A39" s="3"/>
      <c r="B39" s="111"/>
      <c r="C39" s="123"/>
      <c r="D39" s="2"/>
      <c r="E39" s="30"/>
      <c r="F39" s="15"/>
    </row>
    <row r="40" spans="1:6">
      <c r="A40" s="148" t="s">
        <v>283</v>
      </c>
      <c r="B40" s="2"/>
      <c r="C40" s="2"/>
      <c r="D40" s="2"/>
      <c r="E40" s="120"/>
      <c r="F40" s="15"/>
    </row>
    <row r="41" spans="1:6">
      <c r="A41" s="332" t="s">
        <v>284</v>
      </c>
    </row>
    <row r="42" spans="1:6">
      <c r="A42" s="332" t="s">
        <v>256</v>
      </c>
      <c r="B42" s="367" t="s">
        <v>278</v>
      </c>
    </row>
    <row r="44" spans="1:6">
      <c r="A44" s="32" t="s">
        <v>257</v>
      </c>
    </row>
    <row r="45" spans="1:6">
      <c r="A45" s="32"/>
    </row>
    <row r="46" spans="1:6">
      <c r="A46" s="369" t="s">
        <v>282</v>
      </c>
    </row>
    <row r="47" spans="1:6">
      <c r="A47" s="77" t="s">
        <v>280</v>
      </c>
    </row>
    <row r="48" spans="1:6">
      <c r="A48" s="77" t="s">
        <v>258</v>
      </c>
      <c r="B48" s="333" t="s">
        <v>260</v>
      </c>
      <c r="C48" s="23" t="s">
        <v>281</v>
      </c>
    </row>
    <row r="49" spans="4:5" ht="20.25" customHeight="1">
      <c r="D49" s="38"/>
      <c r="E49"/>
    </row>
    <row r="50" spans="4:5">
      <c r="D50" s="38"/>
      <c r="E50"/>
    </row>
    <row r="51" spans="4:5">
      <c r="D51" s="38"/>
      <c r="E51"/>
    </row>
    <row r="52" spans="4:5">
      <c r="D52" s="38"/>
      <c r="E52"/>
    </row>
    <row r="53" spans="4:5">
      <c r="D53" s="38"/>
      <c r="E53"/>
    </row>
    <row r="54" spans="4:5">
      <c r="D54" s="38"/>
      <c r="E54"/>
    </row>
    <row r="55" spans="4:5">
      <c r="D55" s="38"/>
      <c r="E55"/>
    </row>
    <row r="56" spans="4:5">
      <c r="D56" s="38"/>
      <c r="E56"/>
    </row>
    <row r="57" spans="4:5">
      <c r="D57" s="38"/>
      <c r="E57"/>
    </row>
    <row r="58" spans="4:5">
      <c r="D58" s="38"/>
      <c r="E58"/>
    </row>
    <row r="59" spans="4:5">
      <c r="D59" s="38"/>
      <c r="E59"/>
    </row>
    <row r="60" spans="4:5">
      <c r="D60" s="38"/>
      <c r="E60"/>
    </row>
    <row r="61" spans="4:5">
      <c r="D61" s="38"/>
      <c r="E61"/>
    </row>
    <row r="62" spans="4:5">
      <c r="D62" s="38"/>
      <c r="E62"/>
    </row>
    <row r="63" spans="4:5">
      <c r="D63" s="38"/>
      <c r="E63"/>
    </row>
    <row r="64" spans="4:5">
      <c r="D64" s="38"/>
      <c r="E64"/>
    </row>
    <row r="65" spans="4:5">
      <c r="D65" s="38"/>
      <c r="E65"/>
    </row>
    <row r="66" spans="4:5">
      <c r="D66" s="38"/>
      <c r="E66"/>
    </row>
    <row r="67" spans="4:5">
      <c r="D67" s="38"/>
      <c r="E67"/>
    </row>
    <row r="68" spans="4:5">
      <c r="D68" s="38"/>
      <c r="E68"/>
    </row>
    <row r="69" spans="4:5">
      <c r="D69" s="38"/>
      <c r="E69"/>
    </row>
    <row r="70" spans="4:5">
      <c r="D70" s="38"/>
      <c r="E70"/>
    </row>
    <row r="71" spans="4:5">
      <c r="D71" s="38"/>
      <c r="E71"/>
    </row>
    <row r="72" spans="4:5">
      <c r="D72" s="38"/>
      <c r="E72"/>
    </row>
    <row r="73" spans="4:5">
      <c r="D73" s="38"/>
      <c r="E73"/>
    </row>
    <row r="74" spans="4:5">
      <c r="D74" s="38"/>
      <c r="E74"/>
    </row>
    <row r="75" spans="4:5">
      <c r="D75" s="38"/>
      <c r="E75"/>
    </row>
  </sheetData>
  <sheetProtection password="CAF5" sheet="1" objects="1" scenarios="1"/>
  <mergeCells count="3">
    <mergeCell ref="A1:F1"/>
    <mergeCell ref="A3:F3"/>
    <mergeCell ref="E5:E8"/>
  </mergeCells>
  <phoneticPr fontId="0" type="noConversion"/>
  <hyperlinks>
    <hyperlink ref="B42" r:id="rId1"/>
    <hyperlink ref="B48" r:id="rId2"/>
  </hyperlinks>
  <printOptions horizontalCentered="1"/>
  <pageMargins left="0.75" right="0.75" top="0.83" bottom="1" header="0.67" footer="0.5"/>
  <pageSetup scale="82" orientation="landscape" r:id="rId3"/>
  <headerFooter alignWithMargins="0">
    <oddHeader xml:space="preserve">&amp;R
</oddHeader>
    <oddFooter>&amp;L&amp;"Arial,Italic"&amp;9MSDE - LFRO  12 / 2013&amp;C- 19 -&amp;R&amp;"Arial,Italic"&amp;9Selected Financial Data-Part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zoomScaleNormal="100" workbookViewId="0">
      <selection sqref="A1:L1"/>
    </sheetView>
  </sheetViews>
  <sheetFormatPr defaultRowHeight="12.75"/>
  <cols>
    <col min="1" max="1" width="14.140625" style="86" customWidth="1"/>
    <col min="2" max="2" width="16.7109375" style="86" customWidth="1"/>
    <col min="3" max="3" width="17.7109375" style="86" bestFit="1" customWidth="1"/>
    <col min="4" max="4" width="16.28515625" style="86" customWidth="1"/>
    <col min="5" max="5" width="17.7109375" style="86" bestFit="1" customWidth="1"/>
    <col min="6" max="6" width="14.85546875" style="86" bestFit="1" customWidth="1"/>
    <col min="7" max="7" width="13.28515625" style="86" customWidth="1"/>
    <col min="8" max="8" width="2.7109375" style="86" customWidth="1"/>
    <col min="9" max="12" width="9.140625" style="86"/>
    <col min="13" max="13" width="9.140625" style="55"/>
    <col min="14" max="14" width="16" style="54" bestFit="1" customWidth="1"/>
    <col min="15" max="15" width="15" style="55" bestFit="1" customWidth="1"/>
    <col min="16" max="16" width="14" style="55" bestFit="1" customWidth="1"/>
    <col min="17" max="17" width="16" style="55" bestFit="1" customWidth="1"/>
    <col min="18" max="16384" width="9.140625" style="55"/>
  </cols>
  <sheetData>
    <row r="1" spans="1:59">
      <c r="A1" s="446" t="s">
        <v>86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</row>
    <row r="2" spans="1:59">
      <c r="A2" s="77"/>
      <c r="B2" s="77"/>
      <c r="C2" s="181"/>
      <c r="D2" s="82"/>
      <c r="E2" s="77"/>
      <c r="F2" s="77"/>
      <c r="G2" s="77"/>
      <c r="H2" s="77"/>
      <c r="I2" s="77"/>
      <c r="J2" s="77"/>
      <c r="K2" s="77"/>
      <c r="L2" s="77"/>
    </row>
    <row r="3" spans="1:59" s="81" customFormat="1">
      <c r="A3" s="446" t="s">
        <v>261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N3" s="64"/>
    </row>
    <row r="4" spans="1:59">
      <c r="A4" s="448" t="s">
        <v>142</v>
      </c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</row>
    <row r="5" spans="1:59" ht="13.5" thickBot="1">
      <c r="I5" s="401"/>
    </row>
    <row r="6" spans="1:59" ht="15" customHeight="1" thickTop="1">
      <c r="A6" s="402" t="s">
        <v>77</v>
      </c>
      <c r="B6" s="403" t="s">
        <v>43</v>
      </c>
      <c r="C6" s="444" t="s">
        <v>80</v>
      </c>
      <c r="D6" s="444"/>
      <c r="E6" s="445"/>
      <c r="F6" s="445"/>
      <c r="G6" s="402"/>
      <c r="H6" s="402"/>
      <c r="I6" s="444" t="s">
        <v>82</v>
      </c>
      <c r="J6" s="444"/>
      <c r="K6" s="444"/>
      <c r="L6" s="444"/>
      <c r="M6" s="404"/>
      <c r="N6" s="405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404"/>
      <c r="AQ6" s="404"/>
      <c r="AR6" s="404"/>
      <c r="AS6" s="404"/>
      <c r="AT6" s="404"/>
      <c r="AU6" s="404"/>
      <c r="AV6" s="404"/>
      <c r="AW6" s="404"/>
      <c r="AX6" s="404"/>
      <c r="AY6" s="404"/>
      <c r="AZ6" s="404"/>
      <c r="BA6" s="404"/>
      <c r="BB6" s="404"/>
      <c r="BC6" s="404"/>
      <c r="BD6" s="404"/>
      <c r="BE6" s="404"/>
      <c r="BF6" s="404"/>
      <c r="BG6" s="404"/>
    </row>
    <row r="7" spans="1:59">
      <c r="A7" s="406" t="s">
        <v>33</v>
      </c>
      <c r="B7" s="407" t="s">
        <v>83</v>
      </c>
      <c r="C7" s="443" t="s">
        <v>77</v>
      </c>
      <c r="D7" s="443"/>
      <c r="E7" s="408"/>
      <c r="F7" s="408"/>
      <c r="G7" s="407" t="s">
        <v>79</v>
      </c>
      <c r="H7" s="407"/>
      <c r="I7" s="409"/>
      <c r="J7" s="409"/>
      <c r="K7" s="409"/>
      <c r="L7" s="409" t="s">
        <v>79</v>
      </c>
    </row>
    <row r="8" spans="1:59" ht="13.5" thickBot="1">
      <c r="A8" s="410" t="s">
        <v>132</v>
      </c>
      <c r="B8" s="411" t="s">
        <v>84</v>
      </c>
      <c r="C8" s="412" t="s">
        <v>194</v>
      </c>
      <c r="D8" s="412" t="s">
        <v>196</v>
      </c>
      <c r="E8" s="412" t="s">
        <v>44</v>
      </c>
      <c r="F8" s="412" t="s">
        <v>51</v>
      </c>
      <c r="G8" s="412" t="s">
        <v>81</v>
      </c>
      <c r="H8" s="412"/>
      <c r="I8" s="411" t="s">
        <v>77</v>
      </c>
      <c r="J8" s="411" t="s">
        <v>44</v>
      </c>
      <c r="K8" s="413" t="s">
        <v>51</v>
      </c>
      <c r="L8" s="412" t="s">
        <v>81</v>
      </c>
    </row>
    <row r="9" spans="1:59">
      <c r="A9" s="406" t="s">
        <v>0</v>
      </c>
      <c r="B9" s="414">
        <f t="shared" ref="B9:G9" si="0">SUM(B11:B38)</f>
        <v>12198615001.790001</v>
      </c>
      <c r="C9" s="415">
        <f t="shared" si="0"/>
        <v>5475890767.1499996</v>
      </c>
      <c r="D9" s="414">
        <f t="shared" si="0"/>
        <v>90602439.23999998</v>
      </c>
      <c r="E9" s="428">
        <f t="shared" si="0"/>
        <v>5788326382.7300005</v>
      </c>
      <c r="F9" s="415">
        <f t="shared" si="0"/>
        <v>805478144.25999987</v>
      </c>
      <c r="G9" s="414">
        <f t="shared" si="0"/>
        <v>38317268.409999996</v>
      </c>
      <c r="H9" s="414"/>
      <c r="I9" s="416">
        <f>IF(B9&lt;&gt;0,((+C9+D9)/B9),(IF(C9&lt;&gt;0,1,0)))</f>
        <v>0.45632173862140768</v>
      </c>
      <c r="J9" s="416">
        <f>IF($B9&lt;&gt;0,(E9/$B9),(IF(E9&lt;&gt;0,1,0)))</f>
        <v>0.47450685031707557</v>
      </c>
      <c r="K9" s="416">
        <f>IF($B9&lt;&gt;0,(F9/$B9),(IF(F9&lt;&gt;0,1,0)))</f>
        <v>6.6030294762299296E-2</v>
      </c>
      <c r="L9" s="416">
        <f>IF($B9&lt;&gt;0,(G9/$B9),(IF(G9&lt;&gt;0,1,0)))</f>
        <v>3.1411162992173616E-3</v>
      </c>
      <c r="N9" s="417"/>
      <c r="O9" s="417"/>
      <c r="P9" s="417"/>
      <c r="Q9" s="417"/>
    </row>
    <row r="10" spans="1:59">
      <c r="A10" s="406"/>
      <c r="B10" s="418"/>
      <c r="C10" s="425"/>
      <c r="D10" s="419"/>
      <c r="E10" s="124"/>
      <c r="F10" s="409"/>
      <c r="G10" s="409"/>
      <c r="H10" s="409"/>
      <c r="I10" s="85"/>
      <c r="J10" s="85"/>
      <c r="K10" s="85"/>
      <c r="L10" s="85"/>
      <c r="N10" s="65"/>
    </row>
    <row r="11" spans="1:59">
      <c r="A11" s="86" t="s">
        <v>1</v>
      </c>
      <c r="B11" s="87">
        <f t="shared" ref="B11:B38" si="1">SUM(C11:G11)</f>
        <v>126299514.86999999</v>
      </c>
      <c r="C11" s="321">
        <v>29391958</v>
      </c>
      <c r="D11" s="321">
        <v>589590.4</v>
      </c>
      <c r="E11" s="321">
        <f>state1!C12</f>
        <v>83815876.170000002</v>
      </c>
      <c r="F11" s="373">
        <f>'fed1'!B12-'table 6'!I12</f>
        <v>12347750.319999998</v>
      </c>
      <c r="G11" s="321">
        <v>154339.98000000001</v>
      </c>
      <c r="H11" s="256"/>
      <c r="I11" s="420">
        <f>IF(B11&lt;&gt;0,((+C11+D11)/B11*100),(IF(C11&lt;&gt;0,1,0)))</f>
        <v>23.738450959894809</v>
      </c>
      <c r="J11" s="420">
        <f>IF($B11&lt;&gt;0,(E11/$B11*100),(IF(E11&lt;&gt;0,1,0)))</f>
        <v>66.362785523184016</v>
      </c>
      <c r="K11" s="89">
        <f t="shared" ref="K11:L26" si="2">IF($B11&lt;&gt;0,(F11/$B11*100),(IF(F11&lt;&gt;0,1,0)))</f>
        <v>9.7765619548970797</v>
      </c>
      <c r="L11" s="89">
        <f t="shared" si="2"/>
        <v>0.12220156202409965</v>
      </c>
      <c r="M11" s="67"/>
      <c r="N11" s="66"/>
      <c r="Q11" s="67"/>
    </row>
    <row r="12" spans="1:59">
      <c r="A12" s="86" t="s">
        <v>2</v>
      </c>
      <c r="B12" s="87">
        <f t="shared" si="1"/>
        <v>1022249048.23</v>
      </c>
      <c r="C12" s="321">
        <v>584579700</v>
      </c>
      <c r="D12" s="322">
        <v>2224486.9300000002</v>
      </c>
      <c r="E12" s="321">
        <f>state1!C13</f>
        <v>378050664.19000006</v>
      </c>
      <c r="F12" s="373">
        <f>'fed1'!B13-'table 6'!I13</f>
        <v>56986988.109999999</v>
      </c>
      <c r="G12" s="321">
        <v>407209</v>
      </c>
      <c r="H12" s="240"/>
      <c r="I12" s="420">
        <f>IF(B12&lt;&gt;0,((+C12+D12)/B12*100),(IF(C12&lt;&gt;0,1,0)))</f>
        <v>57.40325099309581</v>
      </c>
      <c r="J12" s="420">
        <f>IF($B12&lt;&gt;0,(E12/$B12*100),(IF(E12&lt;&gt;0,1,0)))</f>
        <v>36.982246630073739</v>
      </c>
      <c r="K12" s="89">
        <f t="shared" si="2"/>
        <v>5.5746677591602181</v>
      </c>
      <c r="L12" s="89">
        <f t="shared" si="2"/>
        <v>3.9834617670231415E-2</v>
      </c>
      <c r="N12" s="66"/>
      <c r="Q12" s="67"/>
    </row>
    <row r="13" spans="1:59">
      <c r="A13" s="86" t="s">
        <v>3</v>
      </c>
      <c r="B13" s="87">
        <f t="shared" si="1"/>
        <v>1356438278.9100003</v>
      </c>
      <c r="C13" s="321">
        <f>244179452.08-11628341.04</f>
        <v>232551111.04000002</v>
      </c>
      <c r="D13" s="321">
        <v>9860154.1799999997</v>
      </c>
      <c r="E13" s="321">
        <f>state1!C14</f>
        <v>935194181.57000017</v>
      </c>
      <c r="F13" s="373">
        <f>'fed1'!B14-'table 6'!I14</f>
        <v>178832832.12</v>
      </c>
      <c r="G13" s="321">
        <v>0</v>
      </c>
      <c r="H13" s="240"/>
      <c r="I13" s="420">
        <f>IF(B13&lt;&gt;0,((+C13+D13)/B13*100),(IF(C13&lt;&gt;0,1,0)))</f>
        <v>17.871160744209874</v>
      </c>
      <c r="J13" s="420">
        <f>IF($B13&lt;&gt;0,(E13/$B13*100),(IF(E13&lt;&gt;0,1,0)))</f>
        <v>68.944838560697264</v>
      </c>
      <c r="K13" s="89">
        <f t="shared" si="2"/>
        <v>13.184000695092854</v>
      </c>
      <c r="L13" s="89">
        <f t="shared" si="2"/>
        <v>0</v>
      </c>
      <c r="N13" s="66"/>
      <c r="Q13" s="67"/>
    </row>
    <row r="14" spans="1:59">
      <c r="A14" s="86" t="s">
        <v>4</v>
      </c>
      <c r="B14" s="87">
        <f t="shared" si="1"/>
        <v>1457938953.8699999</v>
      </c>
      <c r="C14" s="321">
        <v>689746187</v>
      </c>
      <c r="D14" s="321">
        <v>3847570.3199999984</v>
      </c>
      <c r="E14" s="321">
        <f>state1!C15</f>
        <v>649284622.49999988</v>
      </c>
      <c r="F14" s="373">
        <f>'fed1'!B15-'table 6'!I15</f>
        <v>94037693.049999997</v>
      </c>
      <c r="G14" s="321">
        <v>21022881</v>
      </c>
      <c r="H14" s="240"/>
      <c r="I14" s="420">
        <f>IF(B14&lt;&gt;0,((+C14+D14)/B14*100),(IF(C14&lt;&gt;0,1,0)))</f>
        <v>47.573580188587634</v>
      </c>
      <c r="J14" s="420">
        <f>IF($B14&lt;&gt;0,(E14/$B14*100),(IF(E14&lt;&gt;0,1,0)))</f>
        <v>44.534417629525429</v>
      </c>
      <c r="K14" s="89">
        <f t="shared" si="2"/>
        <v>6.4500432477219523</v>
      </c>
      <c r="L14" s="89">
        <f t="shared" si="2"/>
        <v>1.4419589341649861</v>
      </c>
      <c r="N14" s="66"/>
      <c r="Q14" s="67"/>
    </row>
    <row r="15" spans="1:59">
      <c r="A15" s="86" t="s">
        <v>5</v>
      </c>
      <c r="B15" s="87">
        <f t="shared" si="1"/>
        <v>220095331.84999999</v>
      </c>
      <c r="C15" s="321">
        <v>110284424</v>
      </c>
      <c r="D15" s="321">
        <v>2154340.44</v>
      </c>
      <c r="E15" s="321">
        <f>state1!C16</f>
        <v>98554977.88000001</v>
      </c>
      <c r="F15" s="373">
        <f>'fed1'!B16-'table 6'!I16</f>
        <v>9101589.5299999993</v>
      </c>
      <c r="G15" s="321">
        <v>0</v>
      </c>
      <c r="H15" s="240"/>
      <c r="I15" s="420">
        <f>IF(B15&lt;&gt;0,((+C15+D15)/B15*100),(IF(C15&lt;&gt;0,1,0)))</f>
        <v>51.086392198735766</v>
      </c>
      <c r="J15" s="420">
        <f>IF($B15&lt;&gt;0,(E15/$B15*100),(IF(E15&lt;&gt;0,1,0)))</f>
        <v>44.77831358420972</v>
      </c>
      <c r="K15" s="89">
        <f t="shared" si="2"/>
        <v>4.1352942170545175</v>
      </c>
      <c r="L15" s="89">
        <f t="shared" si="2"/>
        <v>0</v>
      </c>
      <c r="N15" s="66"/>
      <c r="Q15" s="67"/>
    </row>
    <row r="16" spans="1:59">
      <c r="B16" s="87"/>
      <c r="C16" s="335"/>
      <c r="D16" s="335"/>
      <c r="E16" s="329"/>
      <c r="F16" s="373"/>
      <c r="G16" s="335"/>
      <c r="H16" s="240"/>
      <c r="I16" s="420"/>
      <c r="J16" s="420"/>
      <c r="K16" s="89"/>
      <c r="L16" s="89"/>
      <c r="N16" s="66"/>
    </row>
    <row r="17" spans="1:17">
      <c r="A17" s="86" t="s">
        <v>6</v>
      </c>
      <c r="B17" s="87">
        <f t="shared" si="1"/>
        <v>69617655.879999995</v>
      </c>
      <c r="C17" s="322">
        <v>13206304.5</v>
      </c>
      <c r="D17" s="321">
        <v>573311.82000000007</v>
      </c>
      <c r="E17" s="321">
        <f>state1!C18</f>
        <v>49522774.630000003</v>
      </c>
      <c r="F17" s="373">
        <f>'fed1'!B18-'table 6'!I18</f>
        <v>6315264.9299999997</v>
      </c>
      <c r="G17" s="321">
        <v>0</v>
      </c>
      <c r="H17" s="240"/>
      <c r="I17" s="420">
        <f>IF(B17&lt;&gt;0,((+C17+D17)/B17*100),(IF(C17&lt;&gt;0,1,0)))</f>
        <v>19.793278222053232</v>
      </c>
      <c r="J17" s="420">
        <f>IF($B17&lt;&gt;0,(E17/$B17*100),(IF(E17&lt;&gt;0,1,0)))</f>
        <v>71.135366458420322</v>
      </c>
      <c r="K17" s="89">
        <f t="shared" si="2"/>
        <v>9.0713553195264538</v>
      </c>
      <c r="L17" s="89">
        <f t="shared" si="2"/>
        <v>0</v>
      </c>
      <c r="N17" s="66"/>
      <c r="Q17" s="67"/>
    </row>
    <row r="18" spans="1:17">
      <c r="A18" s="86" t="s">
        <v>7</v>
      </c>
      <c r="B18" s="87">
        <f t="shared" si="1"/>
        <v>351339599.56</v>
      </c>
      <c r="C18" s="322">
        <v>170799564</v>
      </c>
      <c r="D18" s="321">
        <v>1601884.93</v>
      </c>
      <c r="E18" s="321">
        <f>state1!C19</f>
        <v>162772300.83999997</v>
      </c>
      <c r="F18" s="373">
        <f>'fed1'!B19-'table 6'!I19</f>
        <v>14500598.82</v>
      </c>
      <c r="G18" s="321">
        <v>1665250.97</v>
      </c>
      <c r="H18" s="240"/>
      <c r="I18" s="420">
        <f>IF(B18&lt;&gt;0,((+C18+D18)/B18*100),(IF(C18&lt;&gt;0,1,0)))</f>
        <v>49.069745951184238</v>
      </c>
      <c r="J18" s="420">
        <f>IF($B18&lt;&gt;0,(E18/$B18*100),(IF(E18&lt;&gt;0,1,0)))</f>
        <v>46.329050594879654</v>
      </c>
      <c r="K18" s="89">
        <f t="shared" si="2"/>
        <v>4.1272315554978203</v>
      </c>
      <c r="L18" s="89">
        <f t="shared" si="2"/>
        <v>0.47397189843828491</v>
      </c>
      <c r="N18" s="66"/>
      <c r="Q18" s="67"/>
    </row>
    <row r="19" spans="1:17">
      <c r="A19" s="86" t="s">
        <v>8</v>
      </c>
      <c r="B19" s="87">
        <f t="shared" si="1"/>
        <v>195835438</v>
      </c>
      <c r="C19" s="322">
        <v>69615833</v>
      </c>
      <c r="D19" s="321">
        <v>791434.42000000016</v>
      </c>
      <c r="E19" s="321">
        <f>state1!C20</f>
        <v>111985553.64</v>
      </c>
      <c r="F19" s="373">
        <f>'fed1'!B20-'table 6'!I20</f>
        <v>13442616.939999999</v>
      </c>
      <c r="G19" s="321">
        <v>0</v>
      </c>
      <c r="H19" s="240"/>
      <c r="I19" s="420">
        <f>IF(B19&lt;&gt;0,((+C19+D19)/B19*100),(IF(C19&lt;&gt;0,1,0)))</f>
        <v>35.95226080583025</v>
      </c>
      <c r="J19" s="420">
        <f>IF($B19&lt;&gt;0,(E19/$B19*100),(IF(E19&lt;&gt;0,1,0)))</f>
        <v>57.183497932585624</v>
      </c>
      <c r="K19" s="89">
        <f t="shared" si="2"/>
        <v>6.8642412615841266</v>
      </c>
      <c r="L19" s="89">
        <f t="shared" si="2"/>
        <v>0</v>
      </c>
      <c r="N19" s="66"/>
      <c r="Q19" s="67"/>
    </row>
    <row r="20" spans="1:17">
      <c r="A20" s="86" t="s">
        <v>9</v>
      </c>
      <c r="B20" s="87">
        <f t="shared" si="1"/>
        <v>354891665.91999996</v>
      </c>
      <c r="C20" s="322">
        <v>153957200</v>
      </c>
      <c r="D20" s="321">
        <v>3971274.74</v>
      </c>
      <c r="E20" s="321">
        <f>state1!C21</f>
        <v>178481908.65999997</v>
      </c>
      <c r="F20" s="373">
        <f>'fed1'!B21-'table 6'!I21</f>
        <v>18481282.52</v>
      </c>
      <c r="G20" s="321">
        <v>0</v>
      </c>
      <c r="H20" s="240"/>
      <c r="I20" s="420">
        <f>IF(B20&lt;&gt;0,((+C20+D20)/B20*100),(IF(C20&lt;&gt;0,1,0)))</f>
        <v>44.500474343514284</v>
      </c>
      <c r="J20" s="420">
        <f>IF($B20&lt;&gt;0,(E20/$B20*100),(IF(E20&lt;&gt;0,1,0)))</f>
        <v>50.29194140057195</v>
      </c>
      <c r="K20" s="89">
        <f t="shared" si="2"/>
        <v>5.2075842559137664</v>
      </c>
      <c r="L20" s="89">
        <f t="shared" si="2"/>
        <v>0</v>
      </c>
      <c r="N20" s="66"/>
      <c r="Q20" s="67"/>
    </row>
    <row r="21" spans="1:17">
      <c r="A21" s="86" t="s">
        <v>10</v>
      </c>
      <c r="B21" s="87">
        <f t="shared" si="1"/>
        <v>62066550.050000004</v>
      </c>
      <c r="C21" s="322">
        <v>17963318</v>
      </c>
      <c r="D21" s="321">
        <v>756514.33000000007</v>
      </c>
      <c r="E21" s="321">
        <f>state1!C22</f>
        <v>36656731.250000007</v>
      </c>
      <c r="F21" s="373">
        <f>'fed1'!B22-'table 6'!I22</f>
        <v>6689986.4699999988</v>
      </c>
      <c r="G21" s="321">
        <v>0</v>
      </c>
      <c r="H21" s="240"/>
      <c r="I21" s="420">
        <f>IF(B21&lt;&gt;0,((+C21+D21)/B21*100),(IF(C21&lt;&gt;0,1,0)))</f>
        <v>30.160903602535576</v>
      </c>
      <c r="J21" s="420">
        <f>IF($B21&lt;&gt;0,(E21/$B21*100),(IF(E21&lt;&gt;0,1,0)))</f>
        <v>59.060365398865933</v>
      </c>
      <c r="K21" s="89">
        <f t="shared" si="2"/>
        <v>10.778730998598492</v>
      </c>
      <c r="L21" s="89">
        <f t="shared" si="2"/>
        <v>0</v>
      </c>
      <c r="N21" s="66"/>
      <c r="Q21" s="67"/>
    </row>
    <row r="22" spans="1:17">
      <c r="B22" s="87"/>
      <c r="C22" s="335"/>
      <c r="D22" s="335"/>
      <c r="E22" s="329"/>
      <c r="F22" s="373"/>
      <c r="G22" s="335"/>
      <c r="H22" s="240"/>
      <c r="I22" s="420"/>
      <c r="J22" s="420"/>
      <c r="K22" s="89"/>
      <c r="L22" s="89"/>
      <c r="N22" s="66"/>
    </row>
    <row r="23" spans="1:17">
      <c r="A23" s="86" t="s">
        <v>11</v>
      </c>
      <c r="B23" s="87">
        <f t="shared" si="1"/>
        <v>517699072.88</v>
      </c>
      <c r="C23" s="321">
        <v>224522588</v>
      </c>
      <c r="D23" s="321">
        <v>19749338.639999997</v>
      </c>
      <c r="E23" s="321">
        <f>state1!C24</f>
        <v>256977792.49000001</v>
      </c>
      <c r="F23" s="373">
        <f>'fed1'!B24-'table 6'!I24</f>
        <v>16449353.75</v>
      </c>
      <c r="G23" s="321">
        <v>0</v>
      </c>
      <c r="H23" s="240"/>
      <c r="I23" s="420">
        <f>IF(B23&lt;&gt;0,((+C23+D23)/B23*100),(IF(C23&lt;&gt;0,1,0)))</f>
        <v>47.184153775106523</v>
      </c>
      <c r="J23" s="420">
        <f t="shared" ref="J23:L27" si="3">IF($B23&lt;&gt;0,(E23/$B23*100),(IF(E23&lt;&gt;0,1,0)))</f>
        <v>49.638449429784117</v>
      </c>
      <c r="K23" s="89">
        <f t="shared" si="2"/>
        <v>3.1773967951093622</v>
      </c>
      <c r="L23" s="89">
        <f t="shared" si="2"/>
        <v>0</v>
      </c>
      <c r="N23" s="66"/>
      <c r="Q23" s="67"/>
    </row>
    <row r="24" spans="1:17">
      <c r="A24" s="86" t="s">
        <v>12</v>
      </c>
      <c r="B24" s="87">
        <f t="shared" si="1"/>
        <v>57159101.090000004</v>
      </c>
      <c r="C24" s="321">
        <v>26042364.920000002</v>
      </c>
      <c r="D24" s="321">
        <v>193131.23</v>
      </c>
      <c r="E24" s="321">
        <f>state1!C25</f>
        <v>25500583.640000001</v>
      </c>
      <c r="F24" s="373">
        <f>'fed1'!B25-'table 6'!I25</f>
        <v>5412234.3700000001</v>
      </c>
      <c r="G24" s="321">
        <v>10786.93</v>
      </c>
      <c r="H24" s="240"/>
      <c r="I24" s="420">
        <f>IF(B24&lt;&gt;0,((+C24+D24)/B24*100),(IF(C24&lt;&gt;0,1,0)))</f>
        <v>45.89907057616395</v>
      </c>
      <c r="J24" s="420">
        <f t="shared" si="3"/>
        <v>44.613339177339398</v>
      </c>
      <c r="K24" s="89">
        <f t="shared" si="2"/>
        <v>9.4687184836552163</v>
      </c>
      <c r="L24" s="89">
        <f t="shared" si="2"/>
        <v>1.8871762841433447E-2</v>
      </c>
      <c r="N24" s="66"/>
      <c r="Q24" s="67"/>
    </row>
    <row r="25" spans="1:17">
      <c r="A25" s="86" t="s">
        <v>13</v>
      </c>
      <c r="B25" s="87">
        <f t="shared" si="1"/>
        <v>499061392.16000003</v>
      </c>
      <c r="C25" s="321">
        <v>219821368</v>
      </c>
      <c r="D25" s="321">
        <v>4725718.4999999991</v>
      </c>
      <c r="E25" s="321">
        <f>state1!C26</f>
        <v>239203933.13</v>
      </c>
      <c r="F25" s="373">
        <f>'fed1'!B26-'table 6'!I26</f>
        <v>27292402.599999998</v>
      </c>
      <c r="G25" s="321">
        <v>8017969.9299999997</v>
      </c>
      <c r="H25" s="240"/>
      <c r="I25" s="420">
        <f>IF(B25&lt;&gt;0,((+C25+D25)/B25*100),(IF(C25&lt;&gt;0,1,0)))</f>
        <v>44.99388051801246</v>
      </c>
      <c r="J25" s="420">
        <f t="shared" si="3"/>
        <v>47.930763005868975</v>
      </c>
      <c r="K25" s="89">
        <f t="shared" si="2"/>
        <v>5.4687465367487293</v>
      </c>
      <c r="L25" s="89">
        <f t="shared" si="2"/>
        <v>1.6066099393698285</v>
      </c>
      <c r="N25" s="66"/>
      <c r="Q25" s="67"/>
    </row>
    <row r="26" spans="1:17">
      <c r="A26" s="86" t="s">
        <v>14</v>
      </c>
      <c r="B26" s="87">
        <f t="shared" si="1"/>
        <v>789964925.04999995</v>
      </c>
      <c r="C26" s="321">
        <v>482384818</v>
      </c>
      <c r="D26" s="321">
        <v>6675077</v>
      </c>
      <c r="E26" s="321">
        <f>state1!C27</f>
        <v>276981602</v>
      </c>
      <c r="F26" s="373">
        <f>'fed1'!B27-'table 6'!I27</f>
        <v>22844236.050000004</v>
      </c>
      <c r="G26" s="321">
        <v>1079192</v>
      </c>
      <c r="H26" s="240"/>
      <c r="I26" s="420">
        <f>IF(B26&lt;&gt;0,((+C26+D26)/B26*100),(IF(C26&lt;&gt;0,1,0)))</f>
        <v>61.909064502964547</v>
      </c>
      <c r="J26" s="420">
        <f t="shared" si="3"/>
        <v>35.062519007722877</v>
      </c>
      <c r="K26" s="89">
        <f t="shared" si="2"/>
        <v>2.8918038416141201</v>
      </c>
      <c r="L26" s="89">
        <f t="shared" si="2"/>
        <v>0.13661264769846507</v>
      </c>
      <c r="N26" s="66"/>
      <c r="Q26" s="67"/>
    </row>
    <row r="27" spans="1:17">
      <c r="A27" s="86" t="s">
        <v>15</v>
      </c>
      <c r="B27" s="87">
        <f t="shared" si="1"/>
        <v>32676285.570000004</v>
      </c>
      <c r="C27" s="321">
        <v>17362758</v>
      </c>
      <c r="D27" s="321">
        <v>207097.62</v>
      </c>
      <c r="E27" s="321">
        <f>state1!C28</f>
        <v>11975462.9</v>
      </c>
      <c r="F27" s="373">
        <f>'fed1'!B28-'table 6'!I28</f>
        <v>3130967.05</v>
      </c>
      <c r="G27" s="321">
        <v>0</v>
      </c>
      <c r="H27" s="240"/>
      <c r="I27" s="420">
        <f>IF(B27&lt;&gt;0,((+C27+D27)/B27*100),(IF(C27&lt;&gt;0,1,0)))</f>
        <v>53.769439559956687</v>
      </c>
      <c r="J27" s="420">
        <f t="shared" si="3"/>
        <v>36.648788842127864</v>
      </c>
      <c r="K27" s="89">
        <f t="shared" si="3"/>
        <v>9.5817715979154343</v>
      </c>
      <c r="L27" s="89">
        <f t="shared" si="3"/>
        <v>0</v>
      </c>
      <c r="N27" s="66"/>
      <c r="Q27" s="67"/>
    </row>
    <row r="28" spans="1:17">
      <c r="B28" s="87"/>
      <c r="C28" s="335"/>
      <c r="D28" s="335"/>
      <c r="E28" s="329"/>
      <c r="F28" s="373"/>
      <c r="G28" s="335"/>
      <c r="H28" s="240"/>
      <c r="I28" s="420"/>
      <c r="J28" s="420"/>
      <c r="K28" s="89"/>
      <c r="L28" s="89"/>
      <c r="N28" s="66"/>
    </row>
    <row r="29" spans="1:17">
      <c r="A29" s="86" t="s">
        <v>16</v>
      </c>
      <c r="B29" s="87">
        <f t="shared" si="1"/>
        <v>2284798266.5299997</v>
      </c>
      <c r="C29" s="321">
        <v>1419639451</v>
      </c>
      <c r="D29" s="321">
        <v>13231594.470000001</v>
      </c>
      <c r="E29" s="321">
        <f>state1!C30</f>
        <v>749252130.98000002</v>
      </c>
      <c r="F29" s="373">
        <f>'fed1'!B30-'table 6'!I30</f>
        <v>102490977.84999999</v>
      </c>
      <c r="G29" s="321">
        <v>184112.23</v>
      </c>
      <c r="H29" s="240"/>
      <c r="I29" s="420">
        <f>IF(B29&lt;&gt;0,((+C29+D29)/B29*100),(IF(C29&lt;&gt;0,1,0)))</f>
        <v>62.713241097042214</v>
      </c>
      <c r="J29" s="420">
        <f t="shared" ref="J29:L33" si="4">IF($B29&lt;&gt;0,(E29/$B29*100),(IF(E29&lt;&gt;0,1,0)))</f>
        <v>32.792922769409941</v>
      </c>
      <c r="K29" s="89">
        <f t="shared" si="4"/>
        <v>4.4857779941183384</v>
      </c>
      <c r="L29" s="89">
        <f t="shared" si="4"/>
        <v>8.0581394295093488E-3</v>
      </c>
      <c r="N29" s="66"/>
      <c r="Q29" s="67"/>
    </row>
    <row r="30" spans="1:17">
      <c r="A30" s="86" t="s">
        <v>17</v>
      </c>
      <c r="B30" s="87">
        <f t="shared" si="1"/>
        <v>1805949324.8899999</v>
      </c>
      <c r="C30" s="321">
        <v>633292019.12999988</v>
      </c>
      <c r="D30" s="321">
        <v>14948441.909999995</v>
      </c>
      <c r="E30" s="321">
        <f>state1!C31</f>
        <v>1019999983.09</v>
      </c>
      <c r="F30" s="373">
        <f>'fed1'!B31-'table 6'!I31</f>
        <v>137708880.75999999</v>
      </c>
      <c r="G30" s="321">
        <v>0</v>
      </c>
      <c r="H30" s="240"/>
      <c r="I30" s="420">
        <f>IF(B30&lt;&gt;0,((+C30+D30)/B30*100),(IF(C30&lt;&gt;0,1,0)))</f>
        <v>35.894720416891211</v>
      </c>
      <c r="J30" s="420">
        <f t="shared" si="4"/>
        <v>56.479989168695418</v>
      </c>
      <c r="K30" s="89">
        <f t="shared" si="4"/>
        <v>7.625290414413362</v>
      </c>
      <c r="L30" s="89">
        <f t="shared" si="4"/>
        <v>0</v>
      </c>
      <c r="N30" s="66"/>
      <c r="Q30" s="67"/>
    </row>
    <row r="31" spans="1:17">
      <c r="A31" s="86" t="s">
        <v>18</v>
      </c>
      <c r="B31" s="87">
        <f t="shared" si="1"/>
        <v>90565317.670000017</v>
      </c>
      <c r="C31" s="321">
        <v>44860051</v>
      </c>
      <c r="D31" s="322">
        <v>979119.04999999993</v>
      </c>
      <c r="E31" s="321">
        <f>state1!C32</f>
        <v>38936489.470000006</v>
      </c>
      <c r="F31" s="373">
        <f>'fed1'!B32-'table 6'!I32</f>
        <v>5789658.1499999994</v>
      </c>
      <c r="G31" s="321">
        <v>0</v>
      </c>
      <c r="H31" s="240"/>
      <c r="I31" s="420">
        <f>IF(B31&lt;&gt;0,((+C31+D31)/B31*100),(IF(C31&lt;&gt;0,1,0)))</f>
        <v>50.614486018839791</v>
      </c>
      <c r="J31" s="420">
        <f t="shared" si="4"/>
        <v>42.992715613140078</v>
      </c>
      <c r="K31" s="89">
        <f t="shared" si="4"/>
        <v>6.392798368020121</v>
      </c>
      <c r="L31" s="89">
        <f t="shared" si="4"/>
        <v>0</v>
      </c>
      <c r="N31" s="66"/>
      <c r="Q31" s="67"/>
    </row>
    <row r="32" spans="1:17">
      <c r="A32" s="86" t="s">
        <v>19</v>
      </c>
      <c r="B32" s="87">
        <f t="shared" si="1"/>
        <v>215527375.28999999</v>
      </c>
      <c r="C32" s="321">
        <v>85757054.439999998</v>
      </c>
      <c r="D32" s="322">
        <v>1089041.55</v>
      </c>
      <c r="E32" s="321">
        <f>state1!C33</f>
        <v>108821794.96000001</v>
      </c>
      <c r="F32" s="373">
        <f>'fed1'!B33-'table 6'!I33</f>
        <v>16028916.029999999</v>
      </c>
      <c r="G32" s="321">
        <v>3830568.3099999996</v>
      </c>
      <c r="H32" s="240"/>
      <c r="I32" s="420">
        <f>IF(B32&lt;&gt;0,((+C32+D32)/B32*100),(IF(C32&lt;&gt;0,1,0)))</f>
        <v>40.294693828635637</v>
      </c>
      <c r="J32" s="420">
        <f t="shared" si="4"/>
        <v>50.49093870956127</v>
      </c>
      <c r="K32" s="89">
        <f t="shared" si="4"/>
        <v>7.4370673370064964</v>
      </c>
      <c r="L32" s="89">
        <f t="shared" si="4"/>
        <v>1.7773001247965967</v>
      </c>
      <c r="N32" s="66"/>
      <c r="Q32" s="67"/>
    </row>
    <row r="33" spans="1:256">
      <c r="A33" s="86" t="s">
        <v>20</v>
      </c>
      <c r="B33" s="87">
        <f t="shared" si="1"/>
        <v>41191902.670000002</v>
      </c>
      <c r="C33" s="321">
        <v>9104448.1199999992</v>
      </c>
      <c r="D33" s="321">
        <v>239114.41</v>
      </c>
      <c r="E33" s="321">
        <f>state1!C34</f>
        <v>26407769.469999999</v>
      </c>
      <c r="F33" s="373">
        <f>'fed1'!B34-'table 6'!I34</f>
        <v>5440570.6699999999</v>
      </c>
      <c r="G33" s="321">
        <v>0</v>
      </c>
      <c r="H33" s="240"/>
      <c r="I33" s="420">
        <f>IF(B33&lt;&gt;0,((+C33+D33)/B33*100),(IF(C33&lt;&gt;0,1,0)))</f>
        <v>22.683007883500611</v>
      </c>
      <c r="J33" s="420">
        <f t="shared" si="4"/>
        <v>64.109127664143401</v>
      </c>
      <c r="K33" s="89">
        <f t="shared" si="4"/>
        <v>13.207864452355969</v>
      </c>
      <c r="L33" s="89">
        <f t="shared" si="4"/>
        <v>0</v>
      </c>
      <c r="N33" s="66"/>
      <c r="Q33" s="67"/>
    </row>
    <row r="34" spans="1:256">
      <c r="B34" s="87"/>
      <c r="C34" s="337"/>
      <c r="D34" s="335"/>
      <c r="E34" s="321"/>
      <c r="F34" s="373"/>
      <c r="G34" s="335"/>
      <c r="H34" s="240"/>
      <c r="I34" s="420"/>
      <c r="J34" s="420"/>
      <c r="K34" s="89"/>
      <c r="L34" s="89"/>
      <c r="N34" s="66"/>
    </row>
    <row r="35" spans="1:256">
      <c r="A35" s="86" t="s">
        <v>21</v>
      </c>
      <c r="B35" s="87">
        <f t="shared" si="1"/>
        <v>54902155.159999996</v>
      </c>
      <c r="C35" s="321">
        <v>34960007</v>
      </c>
      <c r="D35" s="321">
        <v>409495.33999999997</v>
      </c>
      <c r="E35" s="321">
        <f>state1!C36</f>
        <v>15650085.939999999</v>
      </c>
      <c r="F35" s="373">
        <f>'fed1'!B36-'table 6'!I36</f>
        <v>3879469.3299999996</v>
      </c>
      <c r="G35" s="321">
        <v>3097.55</v>
      </c>
      <c r="H35" s="240"/>
      <c r="I35" s="420">
        <f>IF(B35&lt;&gt;0,((+C35+D35)/B35*100),(IF(C35&lt;&gt;0,1,0)))</f>
        <v>64.422794035905397</v>
      </c>
      <c r="J35" s="420">
        <f t="shared" ref="J35:L38" si="5">IF($B35&lt;&gt;0,(E35/$B35*100),(IF(E35&lt;&gt;0,1,0)))</f>
        <v>28.505412755458032</v>
      </c>
      <c r="K35" s="89">
        <f t="shared" si="5"/>
        <v>7.0661512625399823</v>
      </c>
      <c r="L35" s="89">
        <f t="shared" si="5"/>
        <v>5.641946096602013E-3</v>
      </c>
      <c r="N35" s="66"/>
      <c r="Q35" s="67"/>
    </row>
    <row r="36" spans="1:256">
      <c r="A36" s="86" t="s">
        <v>22</v>
      </c>
      <c r="B36" s="87">
        <f t="shared" si="1"/>
        <v>290178819.25</v>
      </c>
      <c r="C36" s="321">
        <v>92951603</v>
      </c>
      <c r="D36" s="321">
        <v>934040.31</v>
      </c>
      <c r="E36" s="321">
        <f>state1!C37</f>
        <v>175344368.24000001</v>
      </c>
      <c r="F36" s="373">
        <f>'fed1'!B37-'table 6'!I37</f>
        <v>20563174.799999997</v>
      </c>
      <c r="G36" s="321">
        <v>385632.9</v>
      </c>
      <c r="H36" s="240"/>
      <c r="I36" s="420">
        <f>IF(B36&lt;&gt;0,((+C36+D36)/B36*100),(IF(C36&lt;&gt;0,1,0)))</f>
        <v>32.354409447477273</v>
      </c>
      <c r="J36" s="420">
        <f t="shared" si="5"/>
        <v>60.426315295236698</v>
      </c>
      <c r="K36" s="89">
        <f t="shared" si="5"/>
        <v>7.08638034062853</v>
      </c>
      <c r="L36" s="89">
        <f t="shared" si="5"/>
        <v>0.13289491665749825</v>
      </c>
      <c r="N36" s="66"/>
      <c r="Q36" s="67"/>
    </row>
    <row r="37" spans="1:256">
      <c r="A37" s="86" t="s">
        <v>23</v>
      </c>
      <c r="B37" s="87">
        <f t="shared" si="1"/>
        <v>194344565.94999999</v>
      </c>
      <c r="C37" s="321">
        <v>39173593</v>
      </c>
      <c r="D37" s="321">
        <v>583485.42999999993</v>
      </c>
      <c r="E37" s="321">
        <f>state1!C38</f>
        <v>132832034.14</v>
      </c>
      <c r="F37" s="373">
        <f>'fed1'!B38-'table 6'!I38</f>
        <v>20217272.740000002</v>
      </c>
      <c r="G37" s="321">
        <v>1538180.64</v>
      </c>
      <c r="H37" s="240"/>
      <c r="I37" s="420">
        <f>IF(B37&lt;&gt;0,((+C37+D37)/B37*100),(IF(C37&lt;&gt;0,1,0)))</f>
        <v>20.457005440650448</v>
      </c>
      <c r="J37" s="420">
        <f t="shared" si="5"/>
        <v>68.348725620748439</v>
      </c>
      <c r="K37" s="89">
        <f t="shared" si="5"/>
        <v>10.402798061871923</v>
      </c>
      <c r="L37" s="89">
        <f t="shared" si="5"/>
        <v>0.79147087672918803</v>
      </c>
      <c r="N37" s="66"/>
      <c r="Q37" s="67"/>
    </row>
    <row r="38" spans="1:256">
      <c r="A38" s="92" t="s">
        <v>24</v>
      </c>
      <c r="B38" s="93">
        <f t="shared" si="1"/>
        <v>107824460.48999999</v>
      </c>
      <c r="C38" s="323">
        <v>73923044</v>
      </c>
      <c r="D38" s="323">
        <v>267181.26999999996</v>
      </c>
      <c r="E38" s="323">
        <f>state1!C39</f>
        <v>26122760.949999999</v>
      </c>
      <c r="F38" s="323">
        <f>'fed1'!B39-'table 6'!I39</f>
        <v>7493427.2999999989</v>
      </c>
      <c r="G38" s="323">
        <v>18046.97</v>
      </c>
      <c r="H38" s="309"/>
      <c r="I38" s="421">
        <f>IF(B38&lt;&gt;0,((+C38+D38)/B38*100),(IF(C38&lt;&gt;0,1,0)))</f>
        <v>68.806488743693407</v>
      </c>
      <c r="J38" s="421">
        <f t="shared" si="5"/>
        <v>24.227119552731462</v>
      </c>
      <c r="K38" s="95">
        <f t="shared" si="5"/>
        <v>6.9496543418318</v>
      </c>
      <c r="L38" s="95">
        <f t="shared" si="5"/>
        <v>1.6737361743325151E-2</v>
      </c>
      <c r="N38" s="66"/>
      <c r="Q38" s="67"/>
    </row>
    <row r="39" spans="1:256">
      <c r="A39" s="406"/>
      <c r="B39" s="87"/>
      <c r="C39" s="138"/>
      <c r="D39" s="138"/>
      <c r="E39" s="88"/>
      <c r="F39" s="88"/>
      <c r="G39" s="138"/>
      <c r="H39" s="87"/>
      <c r="I39" s="89"/>
      <c r="J39" s="89"/>
      <c r="K39" s="89"/>
      <c r="L39" s="89"/>
      <c r="N39" s="66"/>
      <c r="Q39" s="67"/>
    </row>
    <row r="40" spans="1:256">
      <c r="A40" s="422" t="s">
        <v>220</v>
      </c>
      <c r="D40" s="90"/>
      <c r="I40" s="140"/>
      <c r="J40" s="140"/>
      <c r="K40" s="140"/>
    </row>
    <row r="41" spans="1:256">
      <c r="A41" s="137" t="s">
        <v>263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  <c r="FT41" s="137"/>
      <c r="FU41" s="137"/>
      <c r="FV41" s="137"/>
      <c r="FW41" s="137"/>
      <c r="FX41" s="137"/>
      <c r="FY41" s="137"/>
      <c r="FZ41" s="137"/>
      <c r="GA41" s="137"/>
      <c r="GB41" s="137"/>
      <c r="GC41" s="137"/>
      <c r="GD41" s="137"/>
      <c r="GE41" s="137"/>
      <c r="GF41" s="137"/>
      <c r="GG41" s="137"/>
      <c r="GH41" s="137"/>
      <c r="GI41" s="137"/>
      <c r="GJ41" s="137"/>
      <c r="GK41" s="137"/>
      <c r="GL41" s="137"/>
      <c r="GM41" s="137"/>
      <c r="GN41" s="137"/>
      <c r="GO41" s="137"/>
      <c r="GP41" s="137"/>
      <c r="GQ41" s="137"/>
      <c r="GR41" s="137"/>
      <c r="GS41" s="137"/>
      <c r="GT41" s="137"/>
      <c r="GU41" s="137"/>
      <c r="GV41" s="137"/>
      <c r="GW41" s="137"/>
      <c r="GX41" s="137"/>
      <c r="GY41" s="137"/>
      <c r="GZ41" s="137"/>
      <c r="HA41" s="137"/>
      <c r="HB41" s="137"/>
      <c r="HC41" s="137"/>
      <c r="HD41" s="137"/>
      <c r="HE41" s="137"/>
      <c r="HF41" s="137"/>
      <c r="HG41" s="137"/>
      <c r="HH41" s="137"/>
      <c r="HI41" s="137"/>
      <c r="HJ41" s="137"/>
      <c r="HK41" s="137"/>
      <c r="HL41" s="137"/>
      <c r="HM41" s="137"/>
      <c r="HN41" s="137"/>
      <c r="HO41" s="137"/>
      <c r="HP41" s="137"/>
      <c r="HQ41" s="137"/>
      <c r="HR41" s="137"/>
      <c r="HS41" s="137"/>
      <c r="HT41" s="137"/>
      <c r="HU41" s="137"/>
      <c r="HV41" s="137"/>
      <c r="HW41" s="137"/>
      <c r="HX41" s="137"/>
      <c r="HY41" s="137"/>
      <c r="HZ41" s="137"/>
      <c r="IA41" s="137"/>
      <c r="IB41" s="137"/>
      <c r="IC41" s="137"/>
      <c r="ID41" s="137"/>
      <c r="IE41" s="137"/>
      <c r="IF41" s="137"/>
      <c r="IG41" s="137"/>
      <c r="IH41" s="137"/>
      <c r="II41" s="137"/>
      <c r="IJ41" s="137"/>
      <c r="IK41" s="137"/>
      <c r="IL41" s="137"/>
      <c r="IM41" s="137"/>
      <c r="IN41" s="137"/>
      <c r="IO41" s="137"/>
      <c r="IP41" s="137"/>
      <c r="IQ41" s="137"/>
      <c r="IR41" s="137"/>
      <c r="IS41" s="137"/>
      <c r="IT41" s="137"/>
      <c r="IU41" s="137"/>
      <c r="IV41" s="137"/>
    </row>
    <row r="42" spans="1:256">
      <c r="A42" s="423" t="s">
        <v>195</v>
      </c>
      <c r="D42" s="90"/>
    </row>
    <row r="43" spans="1:256">
      <c r="A43" s="424"/>
      <c r="D43" s="90"/>
    </row>
    <row r="44" spans="1:256">
      <c r="A44" s="424"/>
      <c r="C44" s="426"/>
      <c r="D44" s="90"/>
    </row>
    <row r="45" spans="1:256">
      <c r="C45" s="427"/>
      <c r="D45" s="90"/>
    </row>
    <row r="46" spans="1:256">
      <c r="D46" s="90"/>
    </row>
    <row r="47" spans="1:256">
      <c r="D47" s="90"/>
    </row>
  </sheetData>
  <sheetProtection password="CAF5" sheet="1" objects="1" scenarios="1"/>
  <mergeCells count="6">
    <mergeCell ref="C7:D7"/>
    <mergeCell ref="C6:F6"/>
    <mergeCell ref="I6:L6"/>
    <mergeCell ref="A1:L1"/>
    <mergeCell ref="A3:L3"/>
    <mergeCell ref="A4:L4"/>
  </mergeCells>
  <phoneticPr fontId="0" type="noConversion"/>
  <pageMargins left="0.69" right="0.24" top="1" bottom="1" header="0.5" footer="0.5"/>
  <pageSetup scale="87" orientation="landscape" verticalDpi="300" r:id="rId1"/>
  <headerFooter alignWithMargins="0">
    <oddFooter>&amp;L&amp;"Arial,Italic"&amp;9MSDE - LFRO  12 /2013
&amp;C- 2 -&amp;R&amp;"Arial,Italic"&amp;9Selected Financial Data-Part 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Normal="100" workbookViewId="0">
      <selection sqref="A1:J1"/>
    </sheetView>
  </sheetViews>
  <sheetFormatPr defaultRowHeight="12.75"/>
  <cols>
    <col min="1" max="1" width="14.140625" customWidth="1"/>
    <col min="2" max="2" width="16.42578125" customWidth="1"/>
    <col min="3" max="3" width="16.140625" customWidth="1"/>
    <col min="4" max="4" width="14.5703125" customWidth="1"/>
    <col min="5" max="5" width="15.28515625" customWidth="1"/>
    <col min="6" max="6" width="2.7109375" customWidth="1"/>
    <col min="7" max="7" width="13" customWidth="1"/>
    <col min="8" max="8" width="11.7109375" customWidth="1"/>
    <col min="9" max="9" width="12.7109375" customWidth="1"/>
    <col min="10" max="10" width="13.140625" customWidth="1"/>
  </cols>
  <sheetData>
    <row r="1" spans="1:10">
      <c r="A1" s="449" t="s">
        <v>106</v>
      </c>
      <c r="B1" s="449"/>
      <c r="C1" s="449"/>
      <c r="D1" s="449"/>
      <c r="E1" s="449"/>
      <c r="F1" s="449"/>
      <c r="G1" s="449"/>
      <c r="H1" s="449"/>
      <c r="I1" s="449"/>
      <c r="J1" s="449"/>
    </row>
    <row r="3" spans="1:10">
      <c r="A3" s="441" t="s">
        <v>218</v>
      </c>
      <c r="B3" s="449"/>
      <c r="C3" s="449"/>
      <c r="D3" s="449"/>
      <c r="E3" s="449"/>
      <c r="F3" s="449"/>
      <c r="G3" s="449"/>
      <c r="H3" s="449"/>
      <c r="I3" s="449"/>
      <c r="J3" s="449"/>
    </row>
    <row r="4" spans="1:10">
      <c r="A4" s="441" t="s">
        <v>285</v>
      </c>
      <c r="B4" s="449"/>
      <c r="C4" s="449"/>
      <c r="D4" s="449"/>
      <c r="E4" s="449"/>
      <c r="F4" s="449"/>
      <c r="G4" s="449"/>
      <c r="H4" s="449"/>
      <c r="I4" s="449"/>
      <c r="J4" s="449"/>
    </row>
    <row r="5" spans="1:10" ht="13.5" thickBo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 thickTop="1">
      <c r="A6" s="3"/>
      <c r="B6" s="536" t="s">
        <v>172</v>
      </c>
      <c r="C6" s="536"/>
      <c r="D6" s="536"/>
      <c r="E6" s="536"/>
      <c r="F6" s="191"/>
      <c r="G6" s="482" t="s">
        <v>173</v>
      </c>
      <c r="H6" s="482"/>
      <c r="I6" s="482"/>
      <c r="J6" s="482"/>
    </row>
    <row r="7" spans="1:10">
      <c r="A7" s="3" t="s">
        <v>77</v>
      </c>
      <c r="B7" s="4"/>
      <c r="C7" s="76" t="s">
        <v>109</v>
      </c>
      <c r="D7" s="4" t="s">
        <v>34</v>
      </c>
      <c r="E7" s="4"/>
      <c r="F7" s="4"/>
      <c r="G7" s="4"/>
      <c r="H7" s="4"/>
      <c r="I7" s="4" t="s">
        <v>34</v>
      </c>
      <c r="J7" s="4"/>
    </row>
    <row r="8" spans="1:10">
      <c r="A8" s="3" t="s">
        <v>33</v>
      </c>
      <c r="B8" s="4" t="s">
        <v>108</v>
      </c>
      <c r="C8" s="75" t="s">
        <v>58</v>
      </c>
      <c r="D8" s="4" t="s">
        <v>39</v>
      </c>
      <c r="E8" s="4" t="s">
        <v>41</v>
      </c>
      <c r="F8" s="4"/>
      <c r="G8" s="4" t="s">
        <v>108</v>
      </c>
      <c r="H8" s="4" t="s">
        <v>109</v>
      </c>
      <c r="I8" s="4" t="s">
        <v>39</v>
      </c>
      <c r="J8" s="4" t="s">
        <v>41</v>
      </c>
    </row>
    <row r="9" spans="1:10" ht="13.5" thickBot="1">
      <c r="A9" s="7" t="s">
        <v>132</v>
      </c>
      <c r="B9" s="8" t="s">
        <v>45</v>
      </c>
      <c r="C9" s="186"/>
      <c r="D9" s="8" t="s">
        <v>40</v>
      </c>
      <c r="E9" s="8" t="s">
        <v>38</v>
      </c>
      <c r="F9" s="8"/>
      <c r="G9" s="8" t="s">
        <v>45</v>
      </c>
      <c r="H9" s="8" t="s">
        <v>116</v>
      </c>
      <c r="I9" s="8" t="s">
        <v>40</v>
      </c>
      <c r="J9" s="8" t="s">
        <v>38</v>
      </c>
    </row>
    <row r="10" spans="1:10">
      <c r="A10" s="3" t="s">
        <v>0</v>
      </c>
      <c r="B10" s="10">
        <f>SUM(B12:B39)</f>
        <v>6637442914.1300001</v>
      </c>
      <c r="C10" s="10">
        <f>SUM(C12:C39)</f>
        <v>5475890767.1499996</v>
      </c>
      <c r="D10" s="10">
        <f>SUM(D12:D39)</f>
        <v>406844766.87000006</v>
      </c>
      <c r="E10" s="10">
        <f>SUM(E12:E39)</f>
        <v>754707380.11000001</v>
      </c>
      <c r="F10" s="10"/>
      <c r="G10" s="37">
        <f>+B10/(table11!$B9*1000)</f>
        <v>9.8541103805074338E-3</v>
      </c>
      <c r="H10" s="37">
        <f>+C10/(table11!$B9*1000)</f>
        <v>8.1296416028265629E-3</v>
      </c>
      <c r="I10" s="37">
        <f>+D10/(table11!$B9*1000)</f>
        <v>6.0401170937894003E-4</v>
      </c>
      <c r="J10" s="37">
        <f>+E10/(table11!$B9*1000)</f>
        <v>1.1204570683019304E-3</v>
      </c>
    </row>
    <row r="11" spans="1:10">
      <c r="A11" s="3"/>
      <c r="C11" s="4"/>
      <c r="D11" s="4"/>
      <c r="E11" s="4"/>
      <c r="F11" s="4"/>
    </row>
    <row r="12" spans="1:10">
      <c r="A12" s="3" t="s">
        <v>1</v>
      </c>
      <c r="B12" s="1">
        <f t="shared" ref="B12:B39" si="0">SUM(C12:E12)</f>
        <v>29728150.550000001</v>
      </c>
      <c r="C12" s="40">
        <f>'table 2a'!C11</f>
        <v>29391958</v>
      </c>
      <c r="D12" s="2">
        <f>+table4!$C11</f>
        <v>336192.55</v>
      </c>
      <c r="E12" s="2">
        <f>+table5!$C11</f>
        <v>0</v>
      </c>
      <c r="F12" s="2"/>
      <c r="G12" s="36">
        <f>+B12/(table11!$B11*1000)*100</f>
        <v>0.75024443262799745</v>
      </c>
      <c r="H12" s="36">
        <f>+C12/(table11!$B11*1000)*100</f>
        <v>0.74175999668892723</v>
      </c>
      <c r="I12" s="36">
        <f>+D12/(table11!$B11*1000)*100</f>
        <v>8.4844359390702038E-3</v>
      </c>
      <c r="J12" s="36">
        <f>+E12/(table11!$B11*1000)*100</f>
        <v>0</v>
      </c>
    </row>
    <row r="13" spans="1:10">
      <c r="A13" s="3" t="s">
        <v>2</v>
      </c>
      <c r="B13" s="1">
        <f t="shared" si="0"/>
        <v>652435229</v>
      </c>
      <c r="C13" s="40">
        <f>'table 2a'!C12</f>
        <v>584579700</v>
      </c>
      <c r="D13" s="2">
        <f>+table4!$C12</f>
        <v>9255647</v>
      </c>
      <c r="E13" s="2">
        <f>+table5!$C12</f>
        <v>58599882</v>
      </c>
      <c r="F13" s="2"/>
      <c r="G13" s="36">
        <f>+B13/(table11!$B12*1000)*100</f>
        <v>0.85516085960259447</v>
      </c>
      <c r="H13" s="36">
        <f>+C13/(table11!$B12*1000)*100</f>
        <v>0.76622116117863215</v>
      </c>
      <c r="I13" s="36">
        <f>+D13/(table11!$B12*1000)*100</f>
        <v>1.2131575201464443E-2</v>
      </c>
      <c r="J13" s="36">
        <f>+E13/(table11!$B12*1000)*100</f>
        <v>7.6808123222497846E-2</v>
      </c>
    </row>
    <row r="14" spans="1:10">
      <c r="A14" s="3" t="s">
        <v>3</v>
      </c>
      <c r="B14" s="1">
        <f t="shared" si="0"/>
        <v>260144935.22</v>
      </c>
      <c r="C14" s="40">
        <f>'table 2a'!C13</f>
        <v>232551111.04000002</v>
      </c>
      <c r="D14" s="2">
        <f>+table4!$C13</f>
        <v>15965483.140000001</v>
      </c>
      <c r="E14" s="2">
        <f>+table5!$C13</f>
        <v>11628341.039999999</v>
      </c>
      <c r="F14" s="2"/>
      <c r="G14" s="36">
        <f>+B14/(table11!$B13*1000)*100</f>
        <v>0.74066020464713178</v>
      </c>
      <c r="H14" s="36">
        <f>+C14/(table11!$B13*1000)*100</f>
        <v>0.66209766239785839</v>
      </c>
      <c r="I14" s="36">
        <f>+D14/(table11!$B13*1000)*100</f>
        <v>4.5455422761786775E-2</v>
      </c>
      <c r="J14" s="36">
        <f>+E14/(table11!$B13*1000)*100</f>
        <v>3.3107119487486757E-2</v>
      </c>
    </row>
    <row r="15" spans="1:10">
      <c r="A15" s="3" t="s">
        <v>4</v>
      </c>
      <c r="B15" s="1">
        <f t="shared" si="0"/>
        <v>770522310</v>
      </c>
      <c r="C15" s="40">
        <f>'table 2a'!C14</f>
        <v>689746187</v>
      </c>
      <c r="D15" s="2">
        <f>+table4!$C14</f>
        <v>47527623</v>
      </c>
      <c r="E15" s="2">
        <f>+table5!$C14</f>
        <v>33248500</v>
      </c>
      <c r="F15" s="2"/>
      <c r="G15" s="36">
        <f>+B15/(table11!$B14*1000)*100</f>
        <v>0.95416662967133548</v>
      </c>
      <c r="H15" s="36">
        <f>+C15/(table11!$B14*1000)*100</f>
        <v>0.85413853179467925</v>
      </c>
      <c r="I15" s="36">
        <f>+D15/(table11!$B14*1000)*100</f>
        <v>5.8855235293835746E-2</v>
      </c>
      <c r="J15" s="36">
        <f>+E15/(table11!$B14*1000)*100</f>
        <v>4.117286258282047E-2</v>
      </c>
    </row>
    <row r="16" spans="1:10">
      <c r="A16" s="3" t="s">
        <v>5</v>
      </c>
      <c r="B16" s="1">
        <f t="shared" si="0"/>
        <v>124516383</v>
      </c>
      <c r="C16" s="40">
        <f>'table 2a'!C15</f>
        <v>110284424</v>
      </c>
      <c r="D16" s="2">
        <f>+table4!$C15</f>
        <v>7374031</v>
      </c>
      <c r="E16" s="2">
        <f>+table5!$C15</f>
        <v>6857928</v>
      </c>
      <c r="F16" s="2"/>
      <c r="G16" s="36">
        <f>+B16/(table11!$B15*1000)*100</f>
        <v>0.99187046458197892</v>
      </c>
      <c r="H16" s="36">
        <f>+C16/(table11!$B15*1000)*100</f>
        <v>0.87850177007660046</v>
      </c>
      <c r="I16" s="36">
        <f>+D16/(table11!$B15*1000)*100</f>
        <v>5.8739929458213651E-2</v>
      </c>
      <c r="J16" s="36">
        <f>+E16/(table11!$B15*1000)*100</f>
        <v>5.4628765047164608E-2</v>
      </c>
    </row>
    <row r="17" spans="1:10">
      <c r="A17" s="3"/>
      <c r="B17" s="1"/>
      <c r="C17" s="2"/>
      <c r="D17" s="2"/>
      <c r="E17" s="2"/>
      <c r="F17" s="2"/>
      <c r="G17" s="36"/>
      <c r="H17" s="36"/>
      <c r="I17" s="36"/>
      <c r="J17" s="36"/>
    </row>
    <row r="18" spans="1:10">
      <c r="A18" s="3" t="s">
        <v>6</v>
      </c>
      <c r="B18" s="1">
        <f t="shared" si="0"/>
        <v>13206304.5</v>
      </c>
      <c r="C18" s="40">
        <f>'table 2a'!C17</f>
        <v>13206304.5</v>
      </c>
      <c r="D18" s="2">
        <f>+table4!$C17</f>
        <v>0</v>
      </c>
      <c r="E18" s="2">
        <f>+table5!$C17</f>
        <v>0</v>
      </c>
      <c r="F18" s="2"/>
      <c r="G18" s="36">
        <f>+B18/(table11!$B17*1000)*100</f>
        <v>0.46992240374392064</v>
      </c>
      <c r="H18" s="36">
        <f>+C18/(table11!$B17*1000)*100</f>
        <v>0.46992240374392064</v>
      </c>
      <c r="I18" s="36">
        <f>+D18/(table11!$B17*1000)*100</f>
        <v>0</v>
      </c>
      <c r="J18" s="36">
        <f>+E18/(table11!$B17*1000)*100</f>
        <v>0</v>
      </c>
    </row>
    <row r="19" spans="1:10">
      <c r="A19" s="3" t="s">
        <v>7</v>
      </c>
      <c r="B19" s="1">
        <f t="shared" si="0"/>
        <v>190183366.62</v>
      </c>
      <c r="C19" s="40">
        <f>'table 2a'!C18</f>
        <v>170799564</v>
      </c>
      <c r="D19" s="2">
        <f>+table4!$C18</f>
        <v>6450524.5999999996</v>
      </c>
      <c r="E19" s="2">
        <f>+table5!$C18</f>
        <v>12933278.02</v>
      </c>
      <c r="F19" s="2"/>
      <c r="G19" s="36">
        <f>+B19/(table11!$B18*1000)*100</f>
        <v>1.0082906908179947</v>
      </c>
      <c r="H19" s="36">
        <f>+C19/(table11!$B18*1000)*100</f>
        <v>0.90552403944489746</v>
      </c>
      <c r="I19" s="36">
        <f>+D19/(table11!$B18*1000)*100</f>
        <v>3.4198594864859731E-2</v>
      </c>
      <c r="J19" s="36">
        <f>+E19/(table11!$B18*1000)*100</f>
        <v>6.8568056508237371E-2</v>
      </c>
    </row>
    <row r="20" spans="1:10">
      <c r="A20" s="3" t="s">
        <v>8</v>
      </c>
      <c r="B20" s="1">
        <f t="shared" si="0"/>
        <v>73121774.590000004</v>
      </c>
      <c r="C20" s="40">
        <f>'table 2a'!C19</f>
        <v>69615833</v>
      </c>
      <c r="D20" s="2">
        <f>+table4!$C19</f>
        <v>3505941.59</v>
      </c>
      <c r="E20" s="2">
        <f>+table5!$C19</f>
        <v>0</v>
      </c>
      <c r="F20" s="2"/>
      <c r="G20" s="36">
        <f>+B20/(table11!$B19*1000)*100</f>
        <v>0.73360416023323882</v>
      </c>
      <c r="H20" s="36">
        <f>+C20/(table11!$B19*1000)*100</f>
        <v>0.69843032384346282</v>
      </c>
      <c r="I20" s="36">
        <f>+D20/(table11!$B19*1000)*100</f>
        <v>3.5173836389775941E-2</v>
      </c>
      <c r="J20" s="36">
        <f>+E20/(table11!$B19*1000)*100</f>
        <v>0</v>
      </c>
    </row>
    <row r="21" spans="1:10">
      <c r="A21" s="3" t="s">
        <v>198</v>
      </c>
      <c r="B21" s="1">
        <f t="shared" si="0"/>
        <v>187631691.34999999</v>
      </c>
      <c r="C21" s="40">
        <f>'table 2a'!C20</f>
        <v>153957200</v>
      </c>
      <c r="D21" s="2">
        <f>+table4!$C20</f>
        <v>19183060.350000001</v>
      </c>
      <c r="E21" s="2">
        <f>+table5!$C20</f>
        <v>14491431</v>
      </c>
      <c r="F21" s="2"/>
      <c r="G21" s="36">
        <f>+B21/(table11!$B20*1000)*100</f>
        <v>1.1239754896719247</v>
      </c>
      <c r="H21" s="36">
        <f>+C21/(table11!$B20*1000)*100</f>
        <v>0.92225422056090434</v>
      </c>
      <c r="I21" s="36">
        <f>+D21/(table11!$B20*1000)*100</f>
        <v>0.11491283532736399</v>
      </c>
      <c r="J21" s="36">
        <f>+E21/(table11!$B20*1000)*100</f>
        <v>8.6808433783656283E-2</v>
      </c>
    </row>
    <row r="22" spans="1:10">
      <c r="A22" s="3" t="s">
        <v>10</v>
      </c>
      <c r="B22" s="1">
        <f t="shared" si="0"/>
        <v>21774050</v>
      </c>
      <c r="C22" s="40">
        <f>'table 2a'!C21</f>
        <v>17963318</v>
      </c>
      <c r="D22" s="2">
        <f>+table4!$C21</f>
        <v>1203005</v>
      </c>
      <c r="E22" s="2">
        <f>+table5!$C21</f>
        <v>2607727</v>
      </c>
      <c r="F22" s="2"/>
      <c r="G22" s="36">
        <f>+B22/(table11!$B21*1000)*100</f>
        <v>0.69795914573125262</v>
      </c>
      <c r="H22" s="36">
        <f>+C22/(table11!$B21*1000)*100</f>
        <v>0.57580753630026726</v>
      </c>
      <c r="I22" s="36">
        <f>+D22/(table11!$B21*1000)*100</f>
        <v>3.8561881786366138E-2</v>
      </c>
      <c r="J22" s="36">
        <f>+E22/(table11!$B21*1000)*100</f>
        <v>8.3589727644619277E-2</v>
      </c>
    </row>
    <row r="23" spans="1:10">
      <c r="A23" s="3"/>
      <c r="B23" s="1"/>
      <c r="C23" s="2"/>
      <c r="D23" s="2"/>
      <c r="E23" s="2"/>
      <c r="F23" s="2"/>
      <c r="G23" s="36"/>
      <c r="H23" s="36"/>
      <c r="I23" s="36"/>
      <c r="J23" s="36"/>
    </row>
    <row r="24" spans="1:10">
      <c r="A24" s="3" t="s">
        <v>11</v>
      </c>
      <c r="B24" s="1">
        <f t="shared" si="0"/>
        <v>295544193</v>
      </c>
      <c r="C24" s="40">
        <f>'table 2a'!C23</f>
        <v>224522588</v>
      </c>
      <c r="D24" s="2">
        <f>+table4!$C23</f>
        <v>10006688</v>
      </c>
      <c r="E24" s="2">
        <f>+table5!$C23</f>
        <v>61014917</v>
      </c>
      <c r="F24" s="2"/>
      <c r="G24" s="36">
        <f>+B24/(table11!$B23*1000)*100</f>
        <v>1.1414037305614797</v>
      </c>
      <c r="H24" s="36">
        <f>+C24/(table11!$B23*1000)*100</f>
        <v>0.86711539461212861</v>
      </c>
      <c r="I24" s="36">
        <f>+D24/(table11!$B23*1000)*100</f>
        <v>3.8646237294754734E-2</v>
      </c>
      <c r="J24" s="36">
        <f>+E24/(table11!$B23*1000)*100</f>
        <v>0.23564209865459632</v>
      </c>
    </row>
    <row r="25" spans="1:10">
      <c r="A25" s="3" t="s">
        <v>12</v>
      </c>
      <c r="B25" s="1">
        <f t="shared" si="0"/>
        <v>26042364.920000002</v>
      </c>
      <c r="C25" s="40">
        <f>'table 2a'!C24</f>
        <v>26042364.920000002</v>
      </c>
      <c r="D25" s="2">
        <f>+table4!$C24</f>
        <v>0</v>
      </c>
      <c r="E25" s="2">
        <f>+table5!$C24</f>
        <v>0</v>
      </c>
      <c r="F25" s="2"/>
      <c r="G25" s="36">
        <f>+B25/(table11!$B24*1000)*100</f>
        <v>0.53864487931541238</v>
      </c>
      <c r="H25" s="36">
        <f>+C25/(table11!$B24*1000)*100</f>
        <v>0.53864487931541238</v>
      </c>
      <c r="I25" s="36">
        <f>+D25/(table11!$B24*1000)*100</f>
        <v>0</v>
      </c>
      <c r="J25" s="36">
        <f>+E25/(table11!$B24*1000)*100</f>
        <v>0</v>
      </c>
    </row>
    <row r="26" spans="1:10">
      <c r="A26" s="3" t="s">
        <v>13</v>
      </c>
      <c r="B26" s="1">
        <f t="shared" si="0"/>
        <v>261538914.44999999</v>
      </c>
      <c r="C26" s="40">
        <f>'table 2a'!C25</f>
        <v>219821368</v>
      </c>
      <c r="D26" s="2">
        <f>+table4!$C25</f>
        <v>11980732</v>
      </c>
      <c r="E26" s="2">
        <f>+table5!$C25</f>
        <v>29736814.449999999</v>
      </c>
      <c r="F26" s="2"/>
      <c r="G26" s="36">
        <f>+B26/(table11!$B25*1000)*100</f>
        <v>0.97519820778900013</v>
      </c>
      <c r="H26" s="36">
        <f>+C26/(table11!$B25*1000)*100</f>
        <v>0.81964630218845924</v>
      </c>
      <c r="I26" s="36">
        <f>+D26/(table11!$B25*1000)*100</f>
        <v>4.467246642424199E-2</v>
      </c>
      <c r="J26" s="36">
        <f>+E26/(table11!$B25*1000)*100</f>
        <v>0.11087943917629899</v>
      </c>
    </row>
    <row r="27" spans="1:10">
      <c r="A27" s="3" t="s">
        <v>14</v>
      </c>
      <c r="B27" s="1">
        <f t="shared" si="0"/>
        <v>589212633</v>
      </c>
      <c r="C27" s="40">
        <f>'table 2a'!C26</f>
        <v>482384818</v>
      </c>
      <c r="D27" s="2">
        <f>+table4!$C26</f>
        <v>67217121</v>
      </c>
      <c r="E27" s="2">
        <f>+table5!$C26</f>
        <v>39610694</v>
      </c>
      <c r="F27" s="2"/>
      <c r="G27" s="36">
        <f>+B27/(table11!$B26*1000)*100</f>
        <v>1.3391171552616006</v>
      </c>
      <c r="H27" s="36">
        <f>+C27/(table11!$B26*1000)*100</f>
        <v>1.096327113579632</v>
      </c>
      <c r="I27" s="36">
        <f>+D27/(table11!$B26*1000)*100</f>
        <v>0.15276590286276973</v>
      </c>
      <c r="J27" s="36">
        <f>+E27/(table11!$B26*1000)*100</f>
        <v>9.002413881919899E-2</v>
      </c>
    </row>
    <row r="28" spans="1:10">
      <c r="A28" s="3" t="s">
        <v>15</v>
      </c>
      <c r="B28" s="1">
        <f t="shared" si="0"/>
        <v>17362758</v>
      </c>
      <c r="C28" s="40">
        <f>'table 2a'!C27</f>
        <v>17362758</v>
      </c>
      <c r="D28" s="2">
        <f>+table4!$C27</f>
        <v>0</v>
      </c>
      <c r="E28" s="2">
        <f>+table5!$C27</f>
        <v>0</v>
      </c>
      <c r="F28" s="2"/>
      <c r="G28" s="36">
        <f>+B28/(table11!$B27*1000)*100</f>
        <v>0.56772969372643889</v>
      </c>
      <c r="H28" s="36">
        <f>+C28/(table11!$B27*1000)*100</f>
        <v>0.56772969372643889</v>
      </c>
      <c r="I28" s="36">
        <f>+D28/(table11!$B27*1000)*100</f>
        <v>0</v>
      </c>
      <c r="J28" s="36">
        <f>+E28/(table11!$B27*1000)*100</f>
        <v>0</v>
      </c>
    </row>
    <row r="29" spans="1:10">
      <c r="A29" s="3"/>
      <c r="B29" s="1"/>
      <c r="C29" s="2"/>
      <c r="D29" s="2"/>
      <c r="E29" s="2"/>
      <c r="F29" s="2"/>
      <c r="G29" s="36"/>
      <c r="H29" s="36"/>
      <c r="I29" s="36"/>
      <c r="J29" s="36"/>
    </row>
    <row r="30" spans="1:10">
      <c r="A30" s="3" t="s">
        <v>16</v>
      </c>
      <c r="B30" s="1">
        <f t="shared" si="0"/>
        <v>1822959970</v>
      </c>
      <c r="C30" s="40">
        <f>'table 2a'!C29</f>
        <v>1419639451</v>
      </c>
      <c r="D30" s="2">
        <f>+table4!$C29</f>
        <v>98516217</v>
      </c>
      <c r="E30" s="2">
        <f>+table5!$C29</f>
        <v>304804302</v>
      </c>
      <c r="F30" s="2"/>
      <c r="G30" s="36">
        <f>+B30/(table11!$B29*1000)*100</f>
        <v>1.1164839161417526</v>
      </c>
      <c r="H30" s="36">
        <f>+C30/(table11!$B29*1000)*100</f>
        <v>0.86946759108583582</v>
      </c>
      <c r="I30" s="36">
        <f>+D30/(table11!$B29*1000)*100</f>
        <v>6.033691006370847E-2</v>
      </c>
      <c r="J30" s="36">
        <f>+E30/(table11!$B30*1000)*100</f>
        <v>0.38457689505223824</v>
      </c>
    </row>
    <row r="31" spans="1:10">
      <c r="A31" s="3" t="s">
        <v>17</v>
      </c>
      <c r="B31" s="1">
        <f t="shared" si="0"/>
        <v>879998355.12999988</v>
      </c>
      <c r="C31" s="40">
        <f>'table 2a'!C30</f>
        <v>633292019.12999988</v>
      </c>
      <c r="D31" s="2">
        <f>+table4!$C30</f>
        <v>100950351</v>
      </c>
      <c r="E31" s="2">
        <f>+table5!$C30</f>
        <v>145755985</v>
      </c>
      <c r="F31" s="2"/>
      <c r="G31" s="36">
        <f>+B31/(table11!$B30*1000)*100</f>
        <v>1.1103092471016773</v>
      </c>
      <c r="H31" s="36">
        <f>+C31/(table11!$B30*1000)*100</f>
        <v>0.79903556734700554</v>
      </c>
      <c r="I31" s="36">
        <f>+D31/(table11!$B30*1000)*100</f>
        <v>0.12737081559306079</v>
      </c>
      <c r="J31" s="36">
        <f>+E31/(table11!$B30*1000)*100</f>
        <v>0.18390286416161086</v>
      </c>
    </row>
    <row r="32" spans="1:10">
      <c r="A32" s="3" t="s">
        <v>18</v>
      </c>
      <c r="B32" s="1">
        <f t="shared" si="0"/>
        <v>55920340.259999998</v>
      </c>
      <c r="C32" s="40">
        <f>'table 2a'!C31</f>
        <v>44860051</v>
      </c>
      <c r="D32" s="2">
        <f>+table4!$C31</f>
        <v>2996262.26</v>
      </c>
      <c r="E32" s="2">
        <f>+table5!$C31</f>
        <v>8064027</v>
      </c>
      <c r="F32" s="2"/>
      <c r="G32" s="36">
        <f>+B32/(table11!$B31*1000)*100</f>
        <v>0.69627528928804661</v>
      </c>
      <c r="H32" s="36">
        <f>+C32/(table11!$B31*1000)*100</f>
        <v>0.5585614258117092</v>
      </c>
      <c r="I32" s="36">
        <f>+D32/(table11!$B31*1000)*100</f>
        <v>3.7307057899943402E-2</v>
      </c>
      <c r="J32" s="36">
        <f>+E32/(table11!$B31*1000)*100</f>
        <v>0.10040680557639402</v>
      </c>
    </row>
    <row r="33" spans="1:10">
      <c r="A33" s="3" t="s">
        <v>19</v>
      </c>
      <c r="B33" s="1">
        <f t="shared" si="0"/>
        <v>94697279.659999996</v>
      </c>
      <c r="C33" s="40">
        <f>'table 2a'!C32</f>
        <v>85757054.439999998</v>
      </c>
      <c r="D33" s="2">
        <f>+table4!$C32</f>
        <v>2860136.22</v>
      </c>
      <c r="E33" s="2">
        <f>+table5!$C32</f>
        <v>6080089</v>
      </c>
      <c r="F33" s="2"/>
      <c r="G33" s="36">
        <f>+B33/(table11!$B32*1000)*100</f>
        <v>0.77677973519498966</v>
      </c>
      <c r="H33" s="36">
        <f>+C33/(table11!$B32*1000)*100</f>
        <v>0.70344514940848202</v>
      </c>
      <c r="I33" s="36">
        <f>+D33/(table11!$B32*1000)*100</f>
        <v>2.3461031442190836E-2</v>
      </c>
      <c r="J33" s="36">
        <f>+E33/(table11!$B32*1000)*100</f>
        <v>4.9873554344316721E-2</v>
      </c>
    </row>
    <row r="34" spans="1:10">
      <c r="A34" s="3" t="s">
        <v>20</v>
      </c>
      <c r="B34" s="1">
        <f t="shared" si="0"/>
        <v>9296661.1199999992</v>
      </c>
      <c r="C34" s="40">
        <f>'table 2a'!C33</f>
        <v>9104448.1199999992</v>
      </c>
      <c r="D34" s="2">
        <f>+table4!$C33</f>
        <v>192213</v>
      </c>
      <c r="E34" s="2">
        <f>+table5!$C33</f>
        <v>0</v>
      </c>
      <c r="F34" s="2"/>
      <c r="G34" s="36">
        <f>+B34/(table11!$B33*1000)*100</f>
        <v>0.62685121501099406</v>
      </c>
      <c r="H34" s="36">
        <f>+C34/(table11!$B33*1000)*100</f>
        <v>0.61389076060315295</v>
      </c>
      <c r="I34" s="36">
        <f>+D34/(table11!$B33*1000)*100</f>
        <v>1.2960454407841016E-2</v>
      </c>
      <c r="J34" s="36">
        <f>+E34/(table11!$B33*1000)*100</f>
        <v>0</v>
      </c>
    </row>
    <row r="35" spans="1:10">
      <c r="A35" s="3"/>
      <c r="B35" s="1"/>
      <c r="C35" s="2"/>
      <c r="D35" s="2"/>
      <c r="E35" s="2"/>
      <c r="F35" s="2"/>
      <c r="G35" s="36"/>
      <c r="H35" s="36"/>
      <c r="I35" s="36"/>
      <c r="J35" s="36"/>
    </row>
    <row r="36" spans="1:10">
      <c r="A36" s="3" t="s">
        <v>21</v>
      </c>
      <c r="B36" s="1">
        <f t="shared" si="0"/>
        <v>39113823.600000001</v>
      </c>
      <c r="C36" s="40">
        <f>'table 2a'!C35</f>
        <v>34960007</v>
      </c>
      <c r="D36" s="2">
        <f>+table4!$C35</f>
        <v>792159</v>
      </c>
      <c r="E36" s="2">
        <f>+table5!$C35</f>
        <v>3361657.6</v>
      </c>
      <c r="F36" s="2"/>
      <c r="G36" s="36">
        <f>+B36/(table11!$B35*1000)*100</f>
        <v>0.41957033589806519</v>
      </c>
      <c r="H36" s="36">
        <f>+C36/(table11!$B35*1000)*100</f>
        <v>0.37501273283823655</v>
      </c>
      <c r="I36" s="36">
        <f>+D36/(table11!$B35*1000)*100</f>
        <v>8.497415673641158E-3</v>
      </c>
      <c r="J36" s="36">
        <f>+E36/(table11!$B35*1000)*100</f>
        <v>3.606018738618752E-2</v>
      </c>
    </row>
    <row r="37" spans="1:10">
      <c r="A37" s="3" t="s">
        <v>22</v>
      </c>
      <c r="B37" s="1">
        <f t="shared" si="0"/>
        <v>98641671</v>
      </c>
      <c r="C37" s="40">
        <f>'table 2a'!C36</f>
        <v>92951603</v>
      </c>
      <c r="D37" s="2">
        <f>+table4!$C36</f>
        <v>0</v>
      </c>
      <c r="E37" s="2">
        <f>+table5!$C36</f>
        <v>5690068</v>
      </c>
      <c r="F37" s="2"/>
      <c r="G37" s="36">
        <f>+B37/(table11!$B36*1000)*100</f>
        <v>0.7692557381848445</v>
      </c>
      <c r="H37" s="36">
        <f>+C37/(table11!$B36*1000)*100</f>
        <v>0.72488181978617949</v>
      </c>
      <c r="I37" s="36">
        <f>+D37/(table11!$B36*1000)*100</f>
        <v>0</v>
      </c>
      <c r="J37" s="36">
        <f>+E37/(table11!$B36*1000)*100</f>
        <v>4.4373918398665023E-2</v>
      </c>
    </row>
    <row r="38" spans="1:10">
      <c r="A38" s="3" t="s">
        <v>23</v>
      </c>
      <c r="B38" s="1">
        <f t="shared" si="0"/>
        <v>49395332</v>
      </c>
      <c r="C38" s="40">
        <f>'table 2a'!C37</f>
        <v>39173593</v>
      </c>
      <c r="D38" s="2">
        <f>+table4!$C37</f>
        <v>0</v>
      </c>
      <c r="E38" s="2">
        <f>+table5!$C37</f>
        <v>10221739</v>
      </c>
      <c r="F38" s="2"/>
      <c r="G38" s="36">
        <f>+B38/(table11!$B37*1000)*100</f>
        <v>0.74076493757190898</v>
      </c>
      <c r="H38" s="36">
        <f>+C38/(table11!$B37*1000)*100</f>
        <v>0.58747300601426</v>
      </c>
      <c r="I38" s="36">
        <f>+D38/(table11!$B37*1000)*100</f>
        <v>0</v>
      </c>
      <c r="J38" s="36">
        <f>+E38/(table11!$B37*1000)*100</f>
        <v>0.15329193155764897</v>
      </c>
    </row>
    <row r="39" spans="1:10">
      <c r="A39" s="12" t="s">
        <v>24</v>
      </c>
      <c r="B39" s="14">
        <f t="shared" si="0"/>
        <v>74454423.159999996</v>
      </c>
      <c r="C39" s="41">
        <f>'table 2a'!C38</f>
        <v>73923044</v>
      </c>
      <c r="D39" s="13">
        <f>+table4!$C38</f>
        <v>531379.16</v>
      </c>
      <c r="E39" s="13">
        <f>+table5!$C38</f>
        <v>0</v>
      </c>
      <c r="F39" s="13"/>
      <c r="G39" s="35">
        <f>+B39/(table11!$B38*1000)*100</f>
        <v>0.47203543637511503</v>
      </c>
      <c r="H39" s="35">
        <f>+C39/(table11!$B38*1000)*100</f>
        <v>0.46866653251386003</v>
      </c>
      <c r="I39" s="35">
        <v>0</v>
      </c>
      <c r="J39" s="35">
        <f>+E39/(table11!$B38*1000)*100</f>
        <v>0</v>
      </c>
    </row>
    <row r="40" spans="1:10">
      <c r="A40" s="57"/>
      <c r="B40" s="1"/>
      <c r="G40" s="36"/>
      <c r="H40" s="36"/>
      <c r="I40" s="36"/>
      <c r="J40" s="36"/>
    </row>
    <row r="41" spans="1:10">
      <c r="A41" s="64"/>
    </row>
  </sheetData>
  <sheetProtection password="CAF5" sheet="1" objects="1" scenarios="1"/>
  <mergeCells count="5">
    <mergeCell ref="G6:J6"/>
    <mergeCell ref="A1:J1"/>
    <mergeCell ref="A3:J3"/>
    <mergeCell ref="A4:J4"/>
    <mergeCell ref="B6:E6"/>
  </mergeCells>
  <phoneticPr fontId="0" type="noConversion"/>
  <printOptions horizontalCentered="1"/>
  <pageMargins left="0.61" right="0.69" top="0.83" bottom="1" header="0.67" footer="0.5"/>
  <pageSetup scale="97" orientation="landscape" r:id="rId1"/>
  <headerFooter alignWithMargins="0">
    <oddHeader xml:space="preserve">&amp;R
</oddHeader>
    <oddFooter>&amp;L&amp;"Arial,Italic"&amp;9MSDE - LFRO  12 / 2013&amp;C- 20 -&amp;R&amp;"Arial,Italic"&amp;9Selected Financial Data-Part 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sqref="A1:J1"/>
    </sheetView>
  </sheetViews>
  <sheetFormatPr defaultRowHeight="12.75"/>
  <cols>
    <col min="1" max="1" width="14.28515625" bestFit="1" customWidth="1"/>
    <col min="2" max="3" width="15" bestFit="1" customWidth="1"/>
    <col min="4" max="5" width="13.42578125" bestFit="1" customWidth="1"/>
    <col min="6" max="6" width="4.7109375" customWidth="1"/>
    <col min="7" max="7" width="11.7109375" customWidth="1"/>
    <col min="8" max="8" width="11.42578125" customWidth="1"/>
    <col min="9" max="9" width="11.140625" customWidth="1"/>
    <col min="10" max="10" width="12.7109375" customWidth="1"/>
  </cols>
  <sheetData>
    <row r="1" spans="1:10">
      <c r="A1" s="449" t="s">
        <v>219</v>
      </c>
      <c r="B1" s="449"/>
      <c r="C1" s="449"/>
      <c r="D1" s="449"/>
      <c r="E1" s="449"/>
      <c r="F1" s="449"/>
      <c r="G1" s="449"/>
      <c r="H1" s="449"/>
      <c r="I1" s="449"/>
      <c r="J1" s="449"/>
    </row>
    <row r="3" spans="1:10">
      <c r="A3" s="449" t="s">
        <v>218</v>
      </c>
      <c r="B3" s="449"/>
      <c r="C3" s="449"/>
      <c r="D3" s="449"/>
      <c r="E3" s="449"/>
      <c r="F3" s="449"/>
      <c r="G3" s="449"/>
      <c r="H3" s="449"/>
      <c r="I3" s="449"/>
      <c r="J3" s="449"/>
    </row>
    <row r="4" spans="1:10">
      <c r="A4" s="441" t="s">
        <v>285</v>
      </c>
      <c r="B4" s="449"/>
      <c r="C4" s="449"/>
      <c r="D4" s="449"/>
      <c r="E4" s="449"/>
      <c r="F4" s="449"/>
      <c r="G4" s="449"/>
      <c r="H4" s="449"/>
      <c r="I4" s="449"/>
      <c r="J4" s="449"/>
    </row>
    <row r="5" spans="1:10" ht="13.5" thickBo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3.5" thickTop="1">
      <c r="A6" s="3"/>
      <c r="B6" s="536" t="s">
        <v>172</v>
      </c>
      <c r="C6" s="536"/>
      <c r="D6" s="536"/>
      <c r="E6" s="536"/>
      <c r="F6" s="191"/>
      <c r="G6" s="482" t="s">
        <v>217</v>
      </c>
      <c r="H6" s="482"/>
      <c r="I6" s="482"/>
      <c r="J6" s="482"/>
    </row>
    <row r="7" spans="1:10">
      <c r="A7" s="3" t="s">
        <v>77</v>
      </c>
      <c r="B7" s="4"/>
      <c r="C7" s="76" t="s">
        <v>109</v>
      </c>
      <c r="D7" s="4" t="s">
        <v>34</v>
      </c>
      <c r="E7" s="4"/>
      <c r="F7" s="4"/>
      <c r="G7" s="4"/>
      <c r="H7" s="4"/>
      <c r="I7" s="4" t="s">
        <v>34</v>
      </c>
      <c r="J7" s="4"/>
    </row>
    <row r="8" spans="1:10">
      <c r="A8" s="3" t="s">
        <v>33</v>
      </c>
      <c r="B8" s="4" t="s">
        <v>108</v>
      </c>
      <c r="C8" s="75" t="s">
        <v>58</v>
      </c>
      <c r="D8" s="4" t="s">
        <v>39</v>
      </c>
      <c r="E8" s="4" t="s">
        <v>41</v>
      </c>
      <c r="F8" s="4"/>
      <c r="G8" s="4" t="s">
        <v>108</v>
      </c>
      <c r="H8" s="4" t="s">
        <v>109</v>
      </c>
      <c r="I8" s="4" t="s">
        <v>39</v>
      </c>
      <c r="J8" s="4" t="s">
        <v>41</v>
      </c>
    </row>
    <row r="9" spans="1:10" ht="13.5" thickBot="1">
      <c r="A9" s="7" t="s">
        <v>132</v>
      </c>
      <c r="B9" s="8" t="s">
        <v>45</v>
      </c>
      <c r="C9" s="186"/>
      <c r="D9" s="8" t="s">
        <v>40</v>
      </c>
      <c r="E9" s="8" t="s">
        <v>38</v>
      </c>
      <c r="F9" s="8"/>
      <c r="G9" s="8" t="s">
        <v>45</v>
      </c>
      <c r="H9" s="8" t="s">
        <v>116</v>
      </c>
      <c r="I9" s="8" t="s">
        <v>40</v>
      </c>
      <c r="J9" s="8" t="s">
        <v>38</v>
      </c>
    </row>
    <row r="10" spans="1:10">
      <c r="A10" s="3" t="s">
        <v>0</v>
      </c>
      <c r="B10" s="10">
        <f>SUM(B12:B39)</f>
        <v>6637442914.1300001</v>
      </c>
      <c r="C10" s="10">
        <f>SUM(C12:C39)</f>
        <v>5475890767.1499996</v>
      </c>
      <c r="D10" s="10">
        <f>SUM(D12:D39)</f>
        <v>406844766.87000006</v>
      </c>
      <c r="E10" s="10">
        <f>SUM(E12:E39)</f>
        <v>754707380.11000001</v>
      </c>
      <c r="F10" s="10"/>
      <c r="G10" s="37">
        <f>+B10/table9!C10</f>
        <v>1.6604184707929816E-2</v>
      </c>
      <c r="H10" s="37">
        <f>+C10/table9!C10</f>
        <v>1.3698453292102437E-2</v>
      </c>
      <c r="I10" s="37">
        <f>+D10/table9!C10</f>
        <v>1.0177602646017751E-3</v>
      </c>
      <c r="J10" s="37">
        <f>E10/table9!C10</f>
        <v>1.887971151225603E-3</v>
      </c>
    </row>
    <row r="11" spans="1:10">
      <c r="A11" s="3"/>
      <c r="C11" s="4"/>
      <c r="D11" s="4"/>
      <c r="E11" s="4"/>
      <c r="F11" s="4"/>
    </row>
    <row r="12" spans="1:10">
      <c r="A12" s="3" t="s">
        <v>1</v>
      </c>
      <c r="B12" s="1">
        <f t="shared" ref="B12:B39" si="0">SUM(C12:E12)</f>
        <v>29728150.550000001</v>
      </c>
      <c r="C12" s="40">
        <f>'table 2a'!C11</f>
        <v>29391958</v>
      </c>
      <c r="D12" s="2">
        <f>+table4!$C11</f>
        <v>336192.55</v>
      </c>
      <c r="E12" s="198">
        <f>+table5!$C11</f>
        <v>0</v>
      </c>
      <c r="F12" s="2"/>
      <c r="G12" s="36">
        <f>+B12/table9!C12*100</f>
        <v>1.204490595090463</v>
      </c>
      <c r="H12" s="36">
        <f>(+C12/table9!C12)*100</f>
        <v>1.1908691367379358</v>
      </c>
      <c r="I12" s="36">
        <f>(+D12/table9!C12)*100</f>
        <v>1.3621458352527087E-2</v>
      </c>
      <c r="J12" s="36">
        <f>(E12/table9!C12)*100</f>
        <v>0</v>
      </c>
    </row>
    <row r="13" spans="1:10">
      <c r="A13" s="3" t="s">
        <v>2</v>
      </c>
      <c r="B13" s="1">
        <f t="shared" si="0"/>
        <v>652435229</v>
      </c>
      <c r="C13" s="40">
        <f>'table 2a'!C12</f>
        <v>584579700</v>
      </c>
      <c r="D13" s="2">
        <f>+table4!$C12</f>
        <v>9255647</v>
      </c>
      <c r="E13" s="198">
        <f>+table5!$C12</f>
        <v>58599882</v>
      </c>
      <c r="F13" s="2"/>
      <c r="G13" s="36">
        <f>+B13/table9!C13*100</f>
        <v>1.4632944968489376</v>
      </c>
      <c r="H13" s="36">
        <f>(+C13/table9!C13)*100</f>
        <v>1.3111067887776535</v>
      </c>
      <c r="I13" s="36">
        <f>(+D13/table9!C13)*100</f>
        <v>2.0758746183333978E-2</v>
      </c>
      <c r="J13" s="36">
        <f>(E13/table9!C13)*100</f>
        <v>0.13142896188795028</v>
      </c>
    </row>
    <row r="14" spans="1:10">
      <c r="A14" s="3" t="s">
        <v>3</v>
      </c>
      <c r="B14" s="1">
        <f t="shared" si="0"/>
        <v>260144935.22</v>
      </c>
      <c r="C14" s="40">
        <f>'table 2a'!C13</f>
        <v>232551111.04000002</v>
      </c>
      <c r="D14" s="2">
        <f>+table4!$C13</f>
        <v>15965483.140000001</v>
      </c>
      <c r="E14" s="198">
        <f>+table5!$C13</f>
        <v>11628341.039999999</v>
      </c>
      <c r="F14" s="2"/>
      <c r="G14" s="36">
        <f>+B14/table9!C14*100</f>
        <v>1.1606671667499073</v>
      </c>
      <c r="H14" s="36">
        <f>(+C14/table9!C14)*100</f>
        <v>1.0375540809475226</v>
      </c>
      <c r="I14" s="36">
        <f>(+D14/table9!C14)*100</f>
        <v>7.1231877208088643E-2</v>
      </c>
      <c r="J14" s="36">
        <f>(E14/table9!C14)*100</f>
        <v>5.188120859429611E-2</v>
      </c>
    </row>
    <row r="15" spans="1:10">
      <c r="A15" s="3" t="s">
        <v>4</v>
      </c>
      <c r="B15" s="1">
        <f t="shared" si="0"/>
        <v>770522310</v>
      </c>
      <c r="C15" s="40">
        <f>'table 2a'!C14</f>
        <v>689746187</v>
      </c>
      <c r="D15" s="2">
        <f>+table4!$C14</f>
        <v>47527623</v>
      </c>
      <c r="E15" s="198">
        <f>+table5!$C14</f>
        <v>33248500</v>
      </c>
      <c r="F15" s="2"/>
      <c r="G15" s="36">
        <f>+B15/table9!C15*100</f>
        <v>1.538953425111345</v>
      </c>
      <c r="H15" s="36">
        <f>(+C15/table9!C15)*100</f>
        <v>1.3776204052302397</v>
      </c>
      <c r="I15" s="36">
        <f>(+D15/table9!C15)*100</f>
        <v>9.4926256195295294E-2</v>
      </c>
      <c r="J15" s="36">
        <f>(E15/table9!C15)*100</f>
        <v>6.6406763685810152E-2</v>
      </c>
    </row>
    <row r="16" spans="1:10">
      <c r="A16" s="3" t="s">
        <v>5</v>
      </c>
      <c r="B16" s="1">
        <f t="shared" si="0"/>
        <v>124516383</v>
      </c>
      <c r="C16" s="40">
        <f>'table 2a'!C15</f>
        <v>110284424</v>
      </c>
      <c r="D16" s="2">
        <f>+table4!$C15</f>
        <v>7374031</v>
      </c>
      <c r="E16" s="198">
        <f>+table5!$C15</f>
        <v>6857928</v>
      </c>
      <c r="F16" s="2"/>
      <c r="G16" s="36">
        <f>+B16/table9!C16*100</f>
        <v>1.6798223971857147</v>
      </c>
      <c r="H16" s="36">
        <f>(+C16/table9!C16)*100</f>
        <v>1.4878222530438083</v>
      </c>
      <c r="I16" s="36">
        <f>(+D16/table9!C16)*100</f>
        <v>9.9481386568559205E-2</v>
      </c>
      <c r="J16" s="36">
        <f>(E16/table9!C16)*100</f>
        <v>9.2518757573347057E-2</v>
      </c>
    </row>
    <row r="17" spans="1:10">
      <c r="A17" s="3"/>
      <c r="B17" s="1"/>
      <c r="C17" s="2"/>
      <c r="D17" s="2"/>
      <c r="E17" s="2"/>
      <c r="F17" s="2"/>
      <c r="G17" s="36"/>
      <c r="H17" s="36"/>
      <c r="I17" s="36"/>
      <c r="J17" s="36"/>
    </row>
    <row r="18" spans="1:10">
      <c r="A18" s="3" t="s">
        <v>6</v>
      </c>
      <c r="B18" s="1">
        <f t="shared" si="0"/>
        <v>13206304.5</v>
      </c>
      <c r="C18" s="40">
        <f>'table 2a'!C17</f>
        <v>13206304.5</v>
      </c>
      <c r="D18" s="2">
        <f>+table4!$C17</f>
        <v>0</v>
      </c>
      <c r="E18" s="198">
        <f>+table5!$C17</f>
        <v>0</v>
      </c>
      <c r="F18" s="2"/>
      <c r="G18" s="36">
        <f>+B18/table9!C18*100</f>
        <v>0.82875559447017721</v>
      </c>
      <c r="H18" s="36">
        <f>(+C18/table9!C18)*100</f>
        <v>0.82875559447017721</v>
      </c>
      <c r="I18" s="36">
        <f>(+D18/table9!C18)*100</f>
        <v>0</v>
      </c>
      <c r="J18" s="36">
        <f>(E18/table9!C18)*100</f>
        <v>0</v>
      </c>
    </row>
    <row r="19" spans="1:10">
      <c r="A19" s="3" t="s">
        <v>7</v>
      </c>
      <c r="B19" s="1">
        <f t="shared" si="0"/>
        <v>190183366.62</v>
      </c>
      <c r="C19" s="40">
        <f>'table 2a'!C18</f>
        <v>170799564</v>
      </c>
      <c r="D19" s="2">
        <f>+table4!$C18</f>
        <v>6450524.5999999996</v>
      </c>
      <c r="E19" s="198">
        <f>+table5!$C18</f>
        <v>12933278.02</v>
      </c>
      <c r="F19" s="2"/>
      <c r="G19" s="36">
        <f>+B19/table9!C19*100</f>
        <v>1.653203097048729</v>
      </c>
      <c r="H19" s="36">
        <f>(+C19/table9!C19)*100</f>
        <v>1.4847059088167307</v>
      </c>
      <c r="I19" s="36">
        <f>(+D19/table9!C19)*100</f>
        <v>5.6072344473828271E-2</v>
      </c>
      <c r="J19" s="36">
        <f>(E19/table9!C19)*100</f>
        <v>0.11242484375816994</v>
      </c>
    </row>
    <row r="20" spans="1:10">
      <c r="A20" s="3" t="s">
        <v>8</v>
      </c>
      <c r="B20" s="1">
        <f t="shared" si="0"/>
        <v>73121774.590000004</v>
      </c>
      <c r="C20" s="40">
        <f>'table 2a'!C19</f>
        <v>69615833</v>
      </c>
      <c r="D20" s="2">
        <f>+table4!$C19</f>
        <v>3505941.59</v>
      </c>
      <c r="E20" s="198">
        <f>+table5!$C19</f>
        <v>0</v>
      </c>
      <c r="F20" s="2"/>
      <c r="G20" s="36">
        <f>+B20/table9!C20*100</f>
        <v>1.2483980221721558</v>
      </c>
      <c r="H20" s="36">
        <f>(+C20/table9!C20)*100</f>
        <v>1.1885415625696878</v>
      </c>
      <c r="I20" s="36">
        <f>(+D20/table9!C20)*100</f>
        <v>5.9856459602467951E-2</v>
      </c>
      <c r="J20" s="36">
        <f>(E20/table9!C20)*100</f>
        <v>0</v>
      </c>
    </row>
    <row r="21" spans="1:10">
      <c r="A21" s="3" t="s">
        <v>198</v>
      </c>
      <c r="B21" s="1">
        <f t="shared" si="0"/>
        <v>187631691.34999999</v>
      </c>
      <c r="C21" s="40">
        <f>'table 2a'!C20</f>
        <v>153957200</v>
      </c>
      <c r="D21" s="2">
        <f>+table4!$C20</f>
        <v>19183060.350000001</v>
      </c>
      <c r="E21" s="198">
        <f>+table5!$C20</f>
        <v>14491431</v>
      </c>
      <c r="F21" s="2"/>
      <c r="G21" s="36">
        <f>+B21/table9!C21*100</f>
        <v>1.8879563007823594</v>
      </c>
      <c r="H21" s="36">
        <f>(+C21/table9!C21)*100</f>
        <v>1.5491224520734985</v>
      </c>
      <c r="I21" s="36">
        <f>(+D21/table9!C21)*100</f>
        <v>0.19302058940839345</v>
      </c>
      <c r="J21" s="36">
        <f>(E21/table9!C21)*100</f>
        <v>0.14581325930046735</v>
      </c>
    </row>
    <row r="22" spans="1:10">
      <c r="A22" s="3" t="s">
        <v>10</v>
      </c>
      <c r="B22" s="1">
        <f t="shared" si="0"/>
        <v>21774050</v>
      </c>
      <c r="C22" s="40">
        <f>'table 2a'!C21</f>
        <v>17963318</v>
      </c>
      <c r="D22" s="2">
        <f>+table4!$C21</f>
        <v>1203005</v>
      </c>
      <c r="E22" s="198">
        <f>+table5!$C21</f>
        <v>2607727</v>
      </c>
      <c r="F22" s="2"/>
      <c r="G22" s="36">
        <f>+B22/table9!C22*100</f>
        <v>1.2883002336862628</v>
      </c>
      <c r="H22" s="36">
        <f>(+C22/table9!C22)*100</f>
        <v>1.0628315254709459</v>
      </c>
      <c r="I22" s="36">
        <f>(+D22/table9!C22)*100</f>
        <v>7.1177921545405767E-2</v>
      </c>
      <c r="J22" s="36">
        <f>(E22/table9!C22)*100</f>
        <v>0.15429078666991106</v>
      </c>
    </row>
    <row r="23" spans="1:10">
      <c r="A23" s="3"/>
      <c r="B23" s="1"/>
      <c r="C23" s="2"/>
      <c r="D23" s="2"/>
      <c r="E23" s="2"/>
      <c r="F23" s="2"/>
      <c r="G23" s="36"/>
      <c r="H23" s="36"/>
      <c r="I23" s="36"/>
      <c r="J23" s="36"/>
    </row>
    <row r="24" spans="1:10">
      <c r="A24" s="3" t="s">
        <v>11</v>
      </c>
      <c r="B24" s="1">
        <f t="shared" si="0"/>
        <v>295544193</v>
      </c>
      <c r="C24" s="40">
        <f>'table 2a'!C23</f>
        <v>224522588</v>
      </c>
      <c r="D24" s="2">
        <f>+table4!$C23</f>
        <v>10006688</v>
      </c>
      <c r="E24" s="2">
        <f>+table5!$C23</f>
        <v>61014917</v>
      </c>
      <c r="F24" s="2"/>
      <c r="G24" s="36">
        <f>+B24/table9!C24*100</f>
        <v>1.8498886634008376</v>
      </c>
      <c r="H24" s="36">
        <f>(+C24/table9!C24)*100</f>
        <v>1.4053457995658096</v>
      </c>
      <c r="I24" s="36">
        <f>(+D24/table9!C24)*100</f>
        <v>6.2634486238710166E-2</v>
      </c>
      <c r="J24" s="36">
        <f>(E24/table9!C24)*100</f>
        <v>0.38190837759631785</v>
      </c>
    </row>
    <row r="25" spans="1:10">
      <c r="A25" s="3" t="s">
        <v>12</v>
      </c>
      <c r="B25" s="1">
        <f t="shared" si="0"/>
        <v>26042364.920000002</v>
      </c>
      <c r="C25" s="40">
        <f>'table 2a'!C24</f>
        <v>26042364.920000002</v>
      </c>
      <c r="D25" s="2">
        <f>+table4!$C24</f>
        <v>0</v>
      </c>
      <c r="E25" s="2">
        <f>+table5!$C24</f>
        <v>0</v>
      </c>
      <c r="F25" s="2"/>
      <c r="G25" s="36">
        <f>+B25/table9!C25*100</f>
        <v>1.0869891625881671</v>
      </c>
      <c r="H25" s="36">
        <f>(+C25/table9!C25)*100</f>
        <v>1.0869891625881671</v>
      </c>
      <c r="I25" s="36">
        <f>(+D25/table9!C25)*100</f>
        <v>0</v>
      </c>
      <c r="J25" s="36">
        <f>(E25/table9!C25)*100</f>
        <v>0</v>
      </c>
    </row>
    <row r="26" spans="1:10">
      <c r="A26" s="3" t="s">
        <v>13</v>
      </c>
      <c r="B26" s="1">
        <f t="shared" si="0"/>
        <v>261538914.44999999</v>
      </c>
      <c r="C26" s="40">
        <f>'table 2a'!C25</f>
        <v>219821368</v>
      </c>
      <c r="D26" s="2">
        <f>+table4!$C25</f>
        <v>11980732</v>
      </c>
      <c r="E26" s="2">
        <f>+table5!$C25</f>
        <v>29736814.449999999</v>
      </c>
      <c r="F26" s="2"/>
      <c r="G26" s="36">
        <f>+B26/table9!C26*100</f>
        <v>1.6222779760440422</v>
      </c>
      <c r="H26" s="36">
        <f>(+C26/table9!C26)*100</f>
        <v>1.3635116774886218</v>
      </c>
      <c r="I26" s="36">
        <f>(+D26/table9!C26)*100</f>
        <v>7.4314285892632642E-2</v>
      </c>
      <c r="J26" s="36">
        <f>(E26/table9!C26)*100</f>
        <v>0.18445201266278802</v>
      </c>
    </row>
    <row r="27" spans="1:10">
      <c r="A27" s="3" t="s">
        <v>14</v>
      </c>
      <c r="B27" s="1">
        <f t="shared" si="0"/>
        <v>589212633</v>
      </c>
      <c r="C27" s="40">
        <f>'table 2a'!C26</f>
        <v>482384818</v>
      </c>
      <c r="D27" s="2">
        <f>+table4!$C26</f>
        <v>67217121</v>
      </c>
      <c r="E27" s="2">
        <f>+table5!$C26</f>
        <v>39610694</v>
      </c>
      <c r="F27" s="2"/>
      <c r="G27" s="36">
        <f>+B27/table9!C27*100</f>
        <v>2.2039347706509194</v>
      </c>
      <c r="H27" s="36">
        <f>(+C27/table9!C27)*100</f>
        <v>1.8043480632980853</v>
      </c>
      <c r="I27" s="36">
        <f>(+D27/table9!C27)*100</f>
        <v>0.25142392042865463</v>
      </c>
      <c r="J27" s="36">
        <f>(E27/table9!C27)*100</f>
        <v>0.14816278692417945</v>
      </c>
    </row>
    <row r="28" spans="1:10">
      <c r="A28" s="3" t="s">
        <v>15</v>
      </c>
      <c r="B28" s="1">
        <f t="shared" si="0"/>
        <v>17362758</v>
      </c>
      <c r="C28" s="40">
        <f>'table 2a'!C27</f>
        <v>17362758</v>
      </c>
      <c r="D28" s="2">
        <f>+table4!$C27</f>
        <v>0</v>
      </c>
      <c r="E28" s="2">
        <f>+table5!$C27</f>
        <v>0</v>
      </c>
      <c r="F28" s="2"/>
      <c r="G28" s="36">
        <f>+B28/table9!C28*100</f>
        <v>1.1123289577077553</v>
      </c>
      <c r="H28" s="36">
        <f>(+C28/table9!C28)*100</f>
        <v>1.1123289577077553</v>
      </c>
      <c r="I28" s="36">
        <f>(+D28/table9!C28)*100</f>
        <v>0</v>
      </c>
      <c r="J28" s="36">
        <f>(E28/table9!C28)*100</f>
        <v>0</v>
      </c>
    </row>
    <row r="29" spans="1:10">
      <c r="A29" s="3"/>
      <c r="B29" s="1"/>
      <c r="C29" s="2"/>
      <c r="D29" s="2"/>
      <c r="E29" s="2"/>
      <c r="F29" s="2"/>
      <c r="G29" s="36"/>
      <c r="H29" s="36"/>
      <c r="I29" s="36"/>
      <c r="J29" s="36"/>
    </row>
    <row r="30" spans="1:10">
      <c r="A30" s="3" t="s">
        <v>16</v>
      </c>
      <c r="B30" s="1">
        <f t="shared" si="0"/>
        <v>1822959970</v>
      </c>
      <c r="C30" s="40">
        <f>'table 2a'!C29</f>
        <v>1419639451</v>
      </c>
      <c r="D30" s="2">
        <f>+table4!$C29</f>
        <v>98516217</v>
      </c>
      <c r="E30" s="2">
        <f>+table5!$C29</f>
        <v>304804302</v>
      </c>
      <c r="F30" s="2"/>
      <c r="G30" s="36">
        <f>+B30/table9!C30*100</f>
        <v>1.9164502052457681</v>
      </c>
      <c r="H30" s="36">
        <f>(+C30/table9!C30)*100</f>
        <v>1.4924454524604507</v>
      </c>
      <c r="I30" s="36">
        <f>(+D30/table9!C30)*100</f>
        <v>0.1035686067696191</v>
      </c>
      <c r="J30" s="36">
        <f>(E30/table9!C30)*100</f>
        <v>0.32043614601569836</v>
      </c>
    </row>
    <row r="31" spans="1:10">
      <c r="A31" s="3" t="s">
        <v>17</v>
      </c>
      <c r="B31" s="1">
        <f t="shared" si="0"/>
        <v>879998355.12999988</v>
      </c>
      <c r="C31" s="40">
        <f>'table 2a'!C30</f>
        <v>633292019.12999988</v>
      </c>
      <c r="D31" s="2">
        <f>+table4!$C30</f>
        <v>100950351</v>
      </c>
      <c r="E31" s="2">
        <f>+table5!$C30</f>
        <v>145755985</v>
      </c>
      <c r="F31" s="2"/>
      <c r="G31" s="36">
        <f>+B31/table9!C31*100</f>
        <v>1.8437492803674658</v>
      </c>
      <c r="H31" s="36">
        <f>(+C31/table9!C31)*100</f>
        <v>1.326856689818364</v>
      </c>
      <c r="I31" s="36">
        <f>(+D31/table9!C31)*100</f>
        <v>0.21150850558305534</v>
      </c>
      <c r="J31" s="36">
        <f>(E31/table9!C31)*100</f>
        <v>0.30538408496604663</v>
      </c>
    </row>
    <row r="32" spans="1:10">
      <c r="A32" s="3" t="s">
        <v>18</v>
      </c>
      <c r="B32" s="1">
        <f t="shared" si="0"/>
        <v>55920340.259999998</v>
      </c>
      <c r="C32" s="40">
        <f>'table 2a'!C31</f>
        <v>44860051</v>
      </c>
      <c r="D32" s="2">
        <f>+table4!$C31</f>
        <v>2996262.26</v>
      </c>
      <c r="E32" s="2">
        <f>+table5!$C31</f>
        <v>8064027</v>
      </c>
      <c r="F32" s="2"/>
      <c r="G32" s="36">
        <f>+B32/table9!C32*100</f>
        <v>1.2699298297207031</v>
      </c>
      <c r="H32" s="36">
        <f>(+C32/table9!C32)*100</f>
        <v>1.0187548334437131</v>
      </c>
      <c r="I32" s="36">
        <f>(+D32/table9!C32)*100</f>
        <v>6.804398549702903E-2</v>
      </c>
      <c r="J32" s="36">
        <f>(E32/table9!C32)*100</f>
        <v>0.18313101077996108</v>
      </c>
    </row>
    <row r="33" spans="1:10">
      <c r="A33" s="3" t="s">
        <v>19</v>
      </c>
      <c r="B33" s="1">
        <f t="shared" si="0"/>
        <v>94697279.659999996</v>
      </c>
      <c r="C33" s="40">
        <f>'table 2a'!C32</f>
        <v>85757054.439999998</v>
      </c>
      <c r="D33" s="2">
        <f>+table4!$C32</f>
        <v>2860136.22</v>
      </c>
      <c r="E33" s="2">
        <f>+table5!$C32</f>
        <v>6080089</v>
      </c>
      <c r="F33" s="2"/>
      <c r="G33" s="36">
        <f>+B33/table9!C33*100</f>
        <v>1.3178474622757559</v>
      </c>
      <c r="H33" s="36">
        <f>(+C33/table9!C33)*100</f>
        <v>1.1934315005854927</v>
      </c>
      <c r="I33" s="36">
        <f>(+D33/table9!C33)*100</f>
        <v>3.9802867334974651E-2</v>
      </c>
      <c r="J33" s="36">
        <f>(E33/table9!C33)*100</f>
        <v>8.4613094355288687E-2</v>
      </c>
    </row>
    <row r="34" spans="1:10">
      <c r="A34" s="3" t="s">
        <v>20</v>
      </c>
      <c r="B34" s="1">
        <f t="shared" si="0"/>
        <v>9296661.1199999992</v>
      </c>
      <c r="C34" s="40">
        <f>'table 2a'!C33</f>
        <v>9104448.1199999992</v>
      </c>
      <c r="D34" s="2">
        <f>+table4!$C33</f>
        <v>192213</v>
      </c>
      <c r="E34" s="2">
        <f>+table5!$C33</f>
        <v>0</v>
      </c>
      <c r="F34" s="2"/>
      <c r="G34" s="36">
        <f>+B34/table9!C34*100</f>
        <v>1.0603326086159028</v>
      </c>
      <c r="H34" s="36">
        <f>(+C34/table9!C34)*100</f>
        <v>1.0384097151093907</v>
      </c>
      <c r="I34" s="36">
        <f>(+D34/table9!C34)*100</f>
        <v>2.1922893506511779E-2</v>
      </c>
      <c r="J34" s="36">
        <f>(E34/table9!C34)*100</f>
        <v>0</v>
      </c>
    </row>
    <row r="35" spans="1:10">
      <c r="A35" s="3"/>
      <c r="B35" s="1"/>
      <c r="C35" s="2"/>
      <c r="D35" s="2"/>
      <c r="E35" s="2"/>
      <c r="F35" s="2"/>
      <c r="G35" s="36"/>
      <c r="H35" s="36"/>
      <c r="I35" s="36"/>
      <c r="J35" s="36"/>
    </row>
    <row r="36" spans="1:10">
      <c r="A36" s="3" t="s">
        <v>21</v>
      </c>
      <c r="B36" s="1">
        <f t="shared" si="0"/>
        <v>39113823.600000001</v>
      </c>
      <c r="C36" s="40">
        <f>'table 2a'!C35</f>
        <v>34960007</v>
      </c>
      <c r="D36" s="2">
        <f>+table4!$C35</f>
        <v>792159</v>
      </c>
      <c r="E36" s="2">
        <f>+table5!$C35</f>
        <v>3361657.6</v>
      </c>
      <c r="F36" s="2"/>
      <c r="G36" s="36">
        <f>+B36/table9!C36*100</f>
        <v>0.84209902233755018</v>
      </c>
      <c r="H36" s="36">
        <f>(+C36/table9!C36)*100</f>
        <v>0.75266964479570619</v>
      </c>
      <c r="I36" s="36">
        <f>(+D36/table9!C36)*100</f>
        <v>1.7054745817176805E-2</v>
      </c>
      <c r="J36" s="36">
        <f>(E36/table9!C36)*100</f>
        <v>7.2374631724667168E-2</v>
      </c>
    </row>
    <row r="37" spans="1:10">
      <c r="A37" s="3" t="s">
        <v>22</v>
      </c>
      <c r="B37" s="1">
        <f t="shared" si="0"/>
        <v>98641671</v>
      </c>
      <c r="C37" s="40">
        <f>'table 2a'!C36</f>
        <v>92951603</v>
      </c>
      <c r="D37" s="2">
        <f>+table4!$C36</f>
        <v>0</v>
      </c>
      <c r="E37" s="2">
        <f>+table5!$C36</f>
        <v>5690068</v>
      </c>
      <c r="F37" s="2"/>
      <c r="G37" s="36">
        <f>+B37/table9!C37*100</f>
        <v>1.3163618874827985</v>
      </c>
      <c r="H37" s="36">
        <f>(+C37/table9!C37)*100</f>
        <v>1.2404285767789938</v>
      </c>
      <c r="I37" s="36">
        <f>(+D37/table9!C37)*100</f>
        <v>0</v>
      </c>
      <c r="J37" s="36">
        <f>(E37/table9!C37)*100</f>
        <v>7.5933310703804602E-2</v>
      </c>
    </row>
    <row r="38" spans="1:10">
      <c r="A38" s="3" t="s">
        <v>23</v>
      </c>
      <c r="B38" s="1">
        <f t="shared" si="0"/>
        <v>49395332</v>
      </c>
      <c r="C38" s="40">
        <f>'table 2a'!C37</f>
        <v>39173593</v>
      </c>
      <c r="D38" s="2">
        <f>+table4!$C37</f>
        <v>0</v>
      </c>
      <c r="E38" s="2">
        <f>+table5!$C37</f>
        <v>10221739</v>
      </c>
      <c r="F38" s="2"/>
      <c r="G38" s="36">
        <f>+B38/table9!C38*100</f>
        <v>1.2044444210035135</v>
      </c>
      <c r="H38" s="36">
        <f>(+C38/table9!C38)*100</f>
        <v>0.95519988689441915</v>
      </c>
      <c r="I38" s="36">
        <f>(+D38/table9!C38)*100</f>
        <v>0</v>
      </c>
      <c r="J38" s="36">
        <f>(E38/table9!C38)*100</f>
        <v>0.24924453410909422</v>
      </c>
    </row>
    <row r="39" spans="1:10">
      <c r="A39" s="12" t="s">
        <v>24</v>
      </c>
      <c r="B39" s="14">
        <f t="shared" si="0"/>
        <v>74454423.159999996</v>
      </c>
      <c r="C39" s="41">
        <f>'table 2a'!C38</f>
        <v>73923044</v>
      </c>
      <c r="D39" s="13">
        <f>+table4!$C38</f>
        <v>531379.16</v>
      </c>
      <c r="E39" s="13">
        <f>+table5!$C38</f>
        <v>0</v>
      </c>
      <c r="F39" s="13"/>
      <c r="G39" s="35">
        <f>+B39/table9!C39*100</f>
        <v>0.94626981838290447</v>
      </c>
      <c r="H39" s="35">
        <f>(+C39/table9!C39)*100</f>
        <v>0.93951631684619785</v>
      </c>
      <c r="I39" s="35">
        <f>(+D39/table9!C39)*100</f>
        <v>6.753501536706558E-3</v>
      </c>
      <c r="J39" s="35">
        <f>(E39/table9!C39)*100</f>
        <v>0</v>
      </c>
    </row>
  </sheetData>
  <sheetProtection password="CAF5" sheet="1" objects="1" scenarios="1"/>
  <mergeCells count="5">
    <mergeCell ref="A1:J1"/>
    <mergeCell ref="A3:J3"/>
    <mergeCell ref="A4:J4"/>
    <mergeCell ref="B6:E6"/>
    <mergeCell ref="G6:J6"/>
  </mergeCells>
  <phoneticPr fontId="0" type="noConversion"/>
  <pageMargins left="0.7" right="0.7" top="0.72" bottom="0.75" header="0.48" footer="0.3"/>
  <pageSetup orientation="landscape" r:id="rId1"/>
  <headerFooter>
    <oddFooter>&amp;L&amp;"Arial,Italic"&amp;9MSDE - LFRO     12 / 2013&amp;C&amp;9- 21 -&amp;R&amp;"Arial,Italic"&amp;9Selected Financial Data Part 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zoomScaleNormal="100" workbookViewId="0">
      <selection sqref="A1:L1"/>
    </sheetView>
  </sheetViews>
  <sheetFormatPr defaultRowHeight="12.75"/>
  <cols>
    <col min="1" max="1" width="14.140625" style="83" customWidth="1"/>
    <col min="2" max="3" width="17.7109375" style="83" bestFit="1" customWidth="1"/>
    <col min="4" max="4" width="15" style="83" bestFit="1" customWidth="1"/>
    <col min="5" max="5" width="17.7109375" style="83" bestFit="1" customWidth="1"/>
    <col min="6" max="7" width="16" style="83" bestFit="1" customWidth="1"/>
    <col min="8" max="8" width="2.7109375" style="83" customWidth="1"/>
    <col min="9" max="12" width="9.140625" style="83"/>
    <col min="15" max="15" width="15" bestFit="1" customWidth="1"/>
  </cols>
  <sheetData>
    <row r="1" spans="1:57">
      <c r="A1" s="441" t="s">
        <v>111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</row>
    <row r="3" spans="1:57">
      <c r="A3" s="441" t="s">
        <v>261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</row>
    <row r="4" spans="1:57">
      <c r="A4" s="441" t="s">
        <v>133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</row>
    <row r="5" spans="1:57" ht="13.5" thickBot="1">
      <c r="A5" s="23"/>
      <c r="B5" s="23"/>
      <c r="C5" s="23"/>
      <c r="D5" s="23"/>
      <c r="E5" s="23"/>
      <c r="F5" s="23"/>
      <c r="G5" s="23"/>
      <c r="H5" s="23"/>
      <c r="I5" s="47"/>
      <c r="J5" s="23"/>
      <c r="K5" s="23"/>
      <c r="L5" s="23"/>
    </row>
    <row r="6" spans="1:57" ht="15" customHeight="1" thickTop="1">
      <c r="A6" s="99" t="s">
        <v>77</v>
      </c>
      <c r="B6" s="100" t="s">
        <v>43</v>
      </c>
      <c r="C6" s="439" t="s">
        <v>80</v>
      </c>
      <c r="D6" s="439"/>
      <c r="E6" s="440"/>
      <c r="F6" s="440"/>
      <c r="G6" s="99"/>
      <c r="H6" s="99"/>
      <c r="I6" s="439" t="s">
        <v>82</v>
      </c>
      <c r="J6" s="439"/>
      <c r="K6" s="439"/>
      <c r="L6" s="43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</row>
    <row r="7" spans="1:57">
      <c r="A7" s="32" t="s">
        <v>33</v>
      </c>
      <c r="B7" s="101" t="s">
        <v>83</v>
      </c>
      <c r="C7" s="438" t="s">
        <v>77</v>
      </c>
      <c r="D7" s="438"/>
      <c r="E7" s="102"/>
      <c r="F7" s="102"/>
      <c r="G7" s="101" t="s">
        <v>79</v>
      </c>
      <c r="H7" s="101"/>
      <c r="I7" s="103"/>
      <c r="J7" s="103"/>
      <c r="K7" s="103"/>
      <c r="L7" s="103" t="s">
        <v>79</v>
      </c>
    </row>
    <row r="8" spans="1:57" ht="13.5" thickBot="1">
      <c r="A8" s="52" t="s">
        <v>132</v>
      </c>
      <c r="B8" s="104" t="s">
        <v>84</v>
      </c>
      <c r="C8" s="49" t="s">
        <v>194</v>
      </c>
      <c r="D8" s="49" t="s">
        <v>201</v>
      </c>
      <c r="E8" s="49" t="s">
        <v>44</v>
      </c>
      <c r="F8" s="49" t="s">
        <v>51</v>
      </c>
      <c r="G8" s="49" t="s">
        <v>81</v>
      </c>
      <c r="H8" s="49"/>
      <c r="I8" s="104" t="s">
        <v>77</v>
      </c>
      <c r="J8" s="104" t="s">
        <v>44</v>
      </c>
      <c r="K8" s="105" t="s">
        <v>51</v>
      </c>
      <c r="L8" s="49" t="s">
        <v>81</v>
      </c>
      <c r="O8" s="3"/>
    </row>
    <row r="9" spans="1:57">
      <c r="A9" s="32" t="s">
        <v>0</v>
      </c>
      <c r="B9" s="118">
        <f t="shared" ref="B9:G9" si="0">SUM(B11:B38)</f>
        <v>11425385736.790001</v>
      </c>
      <c r="C9" s="118">
        <f t="shared" si="0"/>
        <v>5475890767.1499996</v>
      </c>
      <c r="D9" s="118">
        <f t="shared" si="0"/>
        <v>90602439.23999998</v>
      </c>
      <c r="E9" s="118">
        <f t="shared" si="0"/>
        <v>5015097117.7300005</v>
      </c>
      <c r="F9" s="118">
        <f t="shared" si="0"/>
        <v>805478144.25999987</v>
      </c>
      <c r="G9" s="118">
        <f t="shared" si="0"/>
        <v>38317268.409999996</v>
      </c>
      <c r="H9" s="106"/>
      <c r="I9" s="107">
        <f>IF(B9&lt;&gt;0,((+C9+D9)/B9),(IF(C9&lt;&gt;0,1,0)))</f>
        <v>0.48720396270436322</v>
      </c>
      <c r="J9" s="107">
        <f>IF($B9&lt;&gt;0,(E9/$B9),(IF(E9&lt;&gt;0,1,0)))</f>
        <v>0.43894335239652121</v>
      </c>
      <c r="K9" s="107">
        <f>IF($B9&lt;&gt;0,(F9/$B9),(IF(F9&lt;&gt;0,1,0)))</f>
        <v>7.0498989077133908E-2</v>
      </c>
      <c r="L9" s="107">
        <f>IF($B9&lt;&gt;0,(G9/$B9),(IF(G9&lt;&gt;0,1,0)))</f>
        <v>3.3536958219815304E-3</v>
      </c>
      <c r="O9" s="20"/>
    </row>
    <row r="10" spans="1:57">
      <c r="A10" s="32"/>
      <c r="B10" s="108"/>
      <c r="C10" s="109"/>
      <c r="D10" s="50"/>
      <c r="E10" s="103"/>
      <c r="F10" s="103"/>
      <c r="G10" s="103"/>
      <c r="H10" s="103"/>
      <c r="I10" s="110"/>
      <c r="J10" s="110"/>
      <c r="K10" s="110"/>
      <c r="L10" s="110"/>
      <c r="O10" s="3"/>
    </row>
    <row r="11" spans="1:57">
      <c r="A11" s="23" t="s">
        <v>1</v>
      </c>
      <c r="B11" s="119">
        <f t="shared" ref="B11:B38" si="1">SUM(C11:G11)</f>
        <v>117740169.86999999</v>
      </c>
      <c r="C11" s="138">
        <f>'table 2a'!C11</f>
        <v>29391958</v>
      </c>
      <c r="D11" s="138">
        <f>'table 2a'!D11</f>
        <v>589590.4</v>
      </c>
      <c r="E11" s="138">
        <f>state1!C12-state1!I12</f>
        <v>75256531.170000002</v>
      </c>
      <c r="F11" s="172">
        <f>'fed1'!B12-'table 6'!I12</f>
        <v>12347750.319999998</v>
      </c>
      <c r="G11" s="138">
        <f>'table 2a'!G11</f>
        <v>154339.98000000001</v>
      </c>
      <c r="H11" s="87"/>
      <c r="I11" s="89">
        <f t="shared" ref="I11:I38" si="2">IF(B11&lt;&gt;0,((+C11+D11)/B11*100),(IF(C11&lt;&gt;0,1,0)))</f>
        <v>25.46416268390254</v>
      </c>
      <c r="J11" s="89">
        <f>IF($B11&lt;&gt;0,(E11/$B11*100),(IF(E11&lt;&gt;0,1,0)))</f>
        <v>63.917464407510806</v>
      </c>
      <c r="K11" s="89">
        <f t="shared" ref="K11:L15" si="3">IF($B11&lt;&gt;0,(F11/$B11*100),(IF(F11&lt;&gt;0,1,0)))</f>
        <v>10.487287672196731</v>
      </c>
      <c r="L11" s="89">
        <f t="shared" si="3"/>
        <v>0.13108523638993458</v>
      </c>
      <c r="M11" s="18"/>
      <c r="O11" s="20"/>
    </row>
    <row r="12" spans="1:57">
      <c r="A12" s="83" t="s">
        <v>2</v>
      </c>
      <c r="B12" s="91">
        <f t="shared" si="1"/>
        <v>956123050.23000002</v>
      </c>
      <c r="C12" s="138">
        <f>'table 2a'!C12</f>
        <v>584579700</v>
      </c>
      <c r="D12" s="138">
        <f>'table 2a'!D12</f>
        <v>2224486.9300000002</v>
      </c>
      <c r="E12" s="138">
        <f>state1!C13-state1!I13</f>
        <v>311924666.19000006</v>
      </c>
      <c r="F12" s="172">
        <f>'fed1'!B13-'table 6'!I13</f>
        <v>56986988.109999999</v>
      </c>
      <c r="G12" s="138">
        <f>'table 2a'!G12</f>
        <v>407209</v>
      </c>
      <c r="H12" s="90"/>
      <c r="I12" s="89">
        <f t="shared" si="2"/>
        <v>61.373291522345518</v>
      </c>
      <c r="J12" s="89">
        <f>IF($B12&lt;&gt;0,(E12/$B12*100),(IF(E12&lt;&gt;0,1,0)))</f>
        <v>32.62390401684857</v>
      </c>
      <c r="K12" s="89">
        <f t="shared" si="3"/>
        <v>5.9602148589861423</v>
      </c>
      <c r="L12" s="89">
        <f t="shared" si="3"/>
        <v>4.2589601819770367E-2</v>
      </c>
      <c r="O12" s="20"/>
    </row>
    <row r="13" spans="1:57">
      <c r="A13" s="83" t="s">
        <v>3</v>
      </c>
      <c r="B13" s="91">
        <f t="shared" si="1"/>
        <v>1295012724.9100003</v>
      </c>
      <c r="C13" s="138">
        <f>'table 2a'!C13</f>
        <v>232551111.04000002</v>
      </c>
      <c r="D13" s="138">
        <f>'table 2a'!D13</f>
        <v>9860154.1799999997</v>
      </c>
      <c r="E13" s="138">
        <f>state1!C14-state1!I14</f>
        <v>873768627.57000017</v>
      </c>
      <c r="F13" s="172">
        <f>'fed1'!B14-'table 6'!I14</f>
        <v>178832832.12</v>
      </c>
      <c r="G13" s="138">
        <f>'table 2a'!G13</f>
        <v>0</v>
      </c>
      <c r="H13" s="90"/>
      <c r="I13" s="89">
        <f>IF(B13&lt;&gt;0,((+C13+D13)/B13*100),(IF(C13&lt;&gt;0,1,0)))</f>
        <v>18.71883268458593</v>
      </c>
      <c r="J13" s="89">
        <f>IF($B13&lt;&gt;0,(E13/$B13*100),(IF(E13&lt;&gt;0,1,0)))</f>
        <v>67.471817902849153</v>
      </c>
      <c r="K13" s="89">
        <f t="shared" si="3"/>
        <v>13.809349412564915</v>
      </c>
      <c r="L13" s="89">
        <f t="shared" si="3"/>
        <v>0</v>
      </c>
      <c r="O13" s="20"/>
    </row>
    <row r="14" spans="1:57">
      <c r="A14" s="83" t="s">
        <v>4</v>
      </c>
      <c r="B14" s="91">
        <f t="shared" si="1"/>
        <v>1367291939.8699999</v>
      </c>
      <c r="C14" s="138">
        <f>'table 2a'!C14</f>
        <v>689746187</v>
      </c>
      <c r="D14" s="138">
        <f>'table 2a'!D14</f>
        <v>3847570.3199999984</v>
      </c>
      <c r="E14" s="138">
        <f>state1!C15-state1!I15</f>
        <v>558637608.49999988</v>
      </c>
      <c r="F14" s="172">
        <f>'fed1'!B15-'table 6'!I15</f>
        <v>94037693.049999997</v>
      </c>
      <c r="G14" s="138">
        <f>'table 2a'!G14</f>
        <v>21022881</v>
      </c>
      <c r="H14" s="90"/>
      <c r="I14" s="89">
        <f t="shared" si="2"/>
        <v>50.727554013515643</v>
      </c>
      <c r="J14" s="89">
        <f>IF($B14&lt;&gt;0,(E14/$B14*100),(IF(E14&lt;&gt;0,1,0)))</f>
        <v>40.857229696908355</v>
      </c>
      <c r="K14" s="89">
        <f t="shared" si="3"/>
        <v>6.8776601622431102</v>
      </c>
      <c r="L14" s="89">
        <f t="shared" si="3"/>
        <v>1.5375561273328961</v>
      </c>
      <c r="O14" s="20"/>
    </row>
    <row r="15" spans="1:57">
      <c r="A15" s="83" t="s">
        <v>5</v>
      </c>
      <c r="B15" s="91">
        <f t="shared" si="1"/>
        <v>203779481.84999999</v>
      </c>
      <c r="C15" s="138">
        <f>'table 2a'!C15</f>
        <v>110284424</v>
      </c>
      <c r="D15" s="138">
        <f>'table 2a'!D15</f>
        <v>2154340.44</v>
      </c>
      <c r="E15" s="138">
        <f>state1!C16-state1!I16</f>
        <v>82239127.88000001</v>
      </c>
      <c r="F15" s="172">
        <f>'fed1'!B16-'table 6'!I16</f>
        <v>9101589.5299999993</v>
      </c>
      <c r="G15" s="138">
        <f>'table 2a'!G15</f>
        <v>0</v>
      </c>
      <c r="H15" s="90"/>
      <c r="I15" s="89">
        <f t="shared" si="2"/>
        <v>55.176685807241888</v>
      </c>
      <c r="J15" s="89">
        <f>IF($B15&lt;&gt;0,(E15/$B15*100),(IF(E15&lt;&gt;0,1,0)))</f>
        <v>40.356922656489722</v>
      </c>
      <c r="K15" s="89">
        <f t="shared" si="3"/>
        <v>4.4663915362684001</v>
      </c>
      <c r="L15" s="89">
        <f t="shared" si="3"/>
        <v>0</v>
      </c>
      <c r="O15" s="20"/>
    </row>
    <row r="16" spans="1:57">
      <c r="B16" s="91"/>
      <c r="C16" s="138"/>
      <c r="D16" s="138"/>
      <c r="E16" s="138"/>
      <c r="F16" s="172"/>
      <c r="G16" s="138"/>
      <c r="H16" s="90"/>
      <c r="I16" s="89"/>
      <c r="J16" s="89"/>
      <c r="K16" s="89"/>
      <c r="L16" s="89"/>
      <c r="O16" s="3"/>
    </row>
    <row r="17" spans="1:15">
      <c r="A17" s="83" t="s">
        <v>6</v>
      </c>
      <c r="B17" s="91">
        <f t="shared" si="1"/>
        <v>65049955.880000003</v>
      </c>
      <c r="C17" s="138">
        <f>'table 2a'!C17</f>
        <v>13206304.5</v>
      </c>
      <c r="D17" s="138">
        <f>'table 2a'!D17</f>
        <v>573311.82000000007</v>
      </c>
      <c r="E17" s="138">
        <f>state1!C18-state1!I18</f>
        <v>44955074.630000003</v>
      </c>
      <c r="F17" s="172">
        <f>'fed1'!B18-'table 6'!I18</f>
        <v>6315264.9299999997</v>
      </c>
      <c r="G17" s="138">
        <f>'table 2a'!G17</f>
        <v>0</v>
      </c>
      <c r="H17" s="90"/>
      <c r="I17" s="89">
        <f t="shared" si="2"/>
        <v>21.183129386620578</v>
      </c>
      <c r="J17" s="89">
        <f>IF($B17&lt;&gt;0,(E17/$B17*100),(IF(E17&lt;&gt;0,1,0)))</f>
        <v>69.108539770465399</v>
      </c>
      <c r="K17" s="89">
        <f t="shared" ref="K17:L21" si="4">IF($B17&lt;&gt;0,(F17/$B17*100),(IF(F17&lt;&gt;0,1,0)))</f>
        <v>9.708330842914016</v>
      </c>
      <c r="L17" s="89">
        <f t="shared" si="4"/>
        <v>0</v>
      </c>
      <c r="O17" s="20"/>
    </row>
    <row r="18" spans="1:15">
      <c r="A18" s="83" t="s">
        <v>7</v>
      </c>
      <c r="B18" s="91">
        <f t="shared" si="1"/>
        <v>328293350.56</v>
      </c>
      <c r="C18" s="138">
        <f>'table 2a'!C18</f>
        <v>170799564</v>
      </c>
      <c r="D18" s="138">
        <f>'table 2a'!D18</f>
        <v>1601884.93</v>
      </c>
      <c r="E18" s="138">
        <f>state1!C19-state1!I19</f>
        <v>139726051.83999997</v>
      </c>
      <c r="F18" s="172">
        <f>'fed1'!B19-'table 6'!I19</f>
        <v>14500598.82</v>
      </c>
      <c r="G18" s="138">
        <f>'table 2a'!G18</f>
        <v>1665250.97</v>
      </c>
      <c r="H18" s="90"/>
      <c r="I18" s="89">
        <f t="shared" si="2"/>
        <v>52.514450455947127</v>
      </c>
      <c r="J18" s="89">
        <f>IF($B18&lt;&gt;0,(E18/$B18*100),(IF(E18&lt;&gt;0,1,0)))</f>
        <v>42.561340825714709</v>
      </c>
      <c r="K18" s="89">
        <f t="shared" si="4"/>
        <v>4.4169639120819841</v>
      </c>
      <c r="L18" s="89">
        <f t="shared" si="4"/>
        <v>0.50724480625618185</v>
      </c>
      <c r="O18" s="20"/>
    </row>
    <row r="19" spans="1:15">
      <c r="A19" s="83" t="s">
        <v>8</v>
      </c>
      <c r="B19" s="91">
        <f t="shared" si="1"/>
        <v>181683495</v>
      </c>
      <c r="C19" s="138">
        <f>'table 2a'!C19</f>
        <v>69615833</v>
      </c>
      <c r="D19" s="138">
        <f>'table 2a'!D19</f>
        <v>791434.42000000016</v>
      </c>
      <c r="E19" s="138">
        <f>state1!C20-state1!I20</f>
        <v>97833610.640000001</v>
      </c>
      <c r="F19" s="172">
        <f>'fed1'!B20-'table 6'!I20</f>
        <v>13442616.939999999</v>
      </c>
      <c r="G19" s="138">
        <f>'table 2a'!G19</f>
        <v>0</v>
      </c>
      <c r="H19" s="90"/>
      <c r="I19" s="89">
        <f>IF(B19&lt;&gt;0,((+C19+D19)/B19*100),(IF(C19&lt;&gt;0,1,0)))</f>
        <v>38.752704212344661</v>
      </c>
      <c r="J19" s="89">
        <f>IF($B19&lt;&gt;0,(E19/$B19*100),(IF(E19&lt;&gt;0,1,0)))</f>
        <v>53.848375516994537</v>
      </c>
      <c r="K19" s="89">
        <f t="shared" si="4"/>
        <v>7.3989202706607999</v>
      </c>
      <c r="L19" s="89">
        <f t="shared" si="4"/>
        <v>0</v>
      </c>
      <c r="O19" s="20"/>
    </row>
    <row r="20" spans="1:15">
      <c r="A20" s="83" t="s">
        <v>9</v>
      </c>
      <c r="B20" s="91">
        <f t="shared" si="1"/>
        <v>332243914.91999996</v>
      </c>
      <c r="C20" s="138">
        <f>'table 2a'!C20</f>
        <v>153957200</v>
      </c>
      <c r="D20" s="138">
        <f>'table 2a'!D20</f>
        <v>3971274.74</v>
      </c>
      <c r="E20" s="138">
        <f>state1!C21-state1!I21</f>
        <v>155834157.65999997</v>
      </c>
      <c r="F20" s="172">
        <f>'fed1'!B21-'table 6'!I21</f>
        <v>18481282.52</v>
      </c>
      <c r="G20" s="138">
        <f>'table 2a'!G20</f>
        <v>0</v>
      </c>
      <c r="H20" s="90"/>
      <c r="I20" s="89">
        <f t="shared" si="2"/>
        <v>47.533895324471828</v>
      </c>
      <c r="J20" s="89">
        <f>IF($B20&lt;&gt;0,(E20/$B20*100),(IF(E20&lt;&gt;0,1,0)))</f>
        <v>46.90354003850539</v>
      </c>
      <c r="K20" s="89">
        <f t="shared" si="4"/>
        <v>5.5625646370227892</v>
      </c>
      <c r="L20" s="89">
        <f t="shared" si="4"/>
        <v>0</v>
      </c>
      <c r="O20" s="20"/>
    </row>
    <row r="21" spans="1:15">
      <c r="A21" s="83" t="s">
        <v>10</v>
      </c>
      <c r="B21" s="91">
        <f t="shared" si="1"/>
        <v>58289297.050000004</v>
      </c>
      <c r="C21" s="138">
        <f>'table 2a'!C21</f>
        <v>17963318</v>
      </c>
      <c r="D21" s="138">
        <f>'table 2a'!D21</f>
        <v>756514.33000000007</v>
      </c>
      <c r="E21" s="138">
        <f>state1!C22-state1!I22</f>
        <v>32879478.250000007</v>
      </c>
      <c r="F21" s="172">
        <f>'fed1'!B22-'table 6'!I22</f>
        <v>6689986.4699999988</v>
      </c>
      <c r="G21" s="138">
        <f>'table 2a'!G21</f>
        <v>0</v>
      </c>
      <c r="H21" s="90"/>
      <c r="I21" s="89">
        <f t="shared" si="2"/>
        <v>32.115385289244962</v>
      </c>
      <c r="J21" s="89">
        <f>IF($B21&lt;&gt;0,(E21/$B21*100),(IF(E21&lt;&gt;0,1,0)))</f>
        <v>56.407402240236834</v>
      </c>
      <c r="K21" s="89">
        <f t="shared" si="4"/>
        <v>11.477212470518202</v>
      </c>
      <c r="L21" s="89">
        <f t="shared" si="4"/>
        <v>0</v>
      </c>
      <c r="O21" s="20"/>
    </row>
    <row r="22" spans="1:15">
      <c r="B22" s="91"/>
      <c r="C22" s="138"/>
      <c r="D22" s="138"/>
      <c r="E22" s="138"/>
      <c r="F22" s="172"/>
      <c r="G22" s="138"/>
      <c r="H22" s="90"/>
      <c r="I22" s="89"/>
      <c r="J22" s="89"/>
      <c r="K22" s="89"/>
      <c r="L22" s="89"/>
      <c r="O22" s="3"/>
    </row>
    <row r="23" spans="1:15">
      <c r="A23" s="83" t="s">
        <v>11</v>
      </c>
      <c r="B23" s="91">
        <f t="shared" si="1"/>
        <v>483792536.88</v>
      </c>
      <c r="C23" s="138">
        <f>'table 2a'!C23</f>
        <v>224522588</v>
      </c>
      <c r="D23" s="138">
        <f>'table 2a'!D23</f>
        <v>19749338.639999997</v>
      </c>
      <c r="E23" s="138">
        <f>state1!C24-state1!I24</f>
        <v>223071256.49000001</v>
      </c>
      <c r="F23" s="172">
        <f>'fed1'!B24-'table 6'!I24</f>
        <v>16449353.75</v>
      </c>
      <c r="G23" s="138">
        <f>'table 2a'!G23</f>
        <v>0</v>
      </c>
      <c r="H23" s="90"/>
      <c r="I23" s="89">
        <f t="shared" si="2"/>
        <v>50.491048955678544</v>
      </c>
      <c r="J23" s="89">
        <f>IF($B23&lt;&gt;0,(E23/$B23*100),(IF(E23&lt;&gt;0,1,0)))</f>
        <v>46.108866814812124</v>
      </c>
      <c r="K23" s="89">
        <f t="shared" ref="K23:L27" si="5">IF($B23&lt;&gt;0,(F23/$B23*100),(IF(F23&lt;&gt;0,1,0)))</f>
        <v>3.4000842295093321</v>
      </c>
      <c r="L23" s="89">
        <f t="shared" si="5"/>
        <v>0</v>
      </c>
      <c r="O23" s="20"/>
    </row>
    <row r="24" spans="1:15">
      <c r="A24" s="83" t="s">
        <v>12</v>
      </c>
      <c r="B24" s="91">
        <f t="shared" si="1"/>
        <v>53334838.090000004</v>
      </c>
      <c r="C24" s="138">
        <f>'table 2a'!C24</f>
        <v>26042364.920000002</v>
      </c>
      <c r="D24" s="138">
        <f>'table 2a'!D24</f>
        <v>193131.23</v>
      </c>
      <c r="E24" s="138">
        <f>state1!C25-state1!I25</f>
        <v>21676320.640000001</v>
      </c>
      <c r="F24" s="172">
        <f>'fed1'!B25-'table 6'!I25</f>
        <v>5412234.3700000001</v>
      </c>
      <c r="G24" s="138">
        <f>'table 2a'!G24</f>
        <v>10786.93</v>
      </c>
      <c r="H24" s="90"/>
      <c r="I24" s="89">
        <f t="shared" si="2"/>
        <v>49.190167420643235</v>
      </c>
      <c r="J24" s="89">
        <f>IF($B24&lt;&gt;0,(E24/$B24*100),(IF(E24&lt;&gt;0,1,0)))</f>
        <v>40.641954520274801</v>
      </c>
      <c r="K24" s="89">
        <f t="shared" si="5"/>
        <v>10.147653135961736</v>
      </c>
      <c r="L24" s="89">
        <f t="shared" si="5"/>
        <v>2.0224923120226914E-2</v>
      </c>
      <c r="O24" s="20"/>
    </row>
    <row r="25" spans="1:15">
      <c r="A25" s="83" t="s">
        <v>13</v>
      </c>
      <c r="B25" s="91">
        <f t="shared" si="1"/>
        <v>467247428.16000003</v>
      </c>
      <c r="C25" s="138">
        <f>'table 2a'!C25</f>
        <v>219821368</v>
      </c>
      <c r="D25" s="138">
        <f>'table 2a'!D25</f>
        <v>4725718.4999999991</v>
      </c>
      <c r="E25" s="138">
        <f>state1!C26-state1!I26</f>
        <v>207389969.13</v>
      </c>
      <c r="F25" s="172">
        <f>'fed1'!B26-'table 6'!I26</f>
        <v>27292402.599999998</v>
      </c>
      <c r="G25" s="138">
        <f>'table 2a'!G25</f>
        <v>8017969.9299999997</v>
      </c>
      <c r="H25" s="90"/>
      <c r="I25" s="89">
        <f>IF(B25&lt;&gt;0,((+C25+D25)/B25*100),(IF(C25&lt;&gt;0,1,0)))</f>
        <v>48.057425887662262</v>
      </c>
      <c r="J25" s="89">
        <f>IF($B25&lt;&gt;0,(E25/$B25*100),(IF(E25&lt;&gt;0,1,0)))</f>
        <v>44.385470444790386</v>
      </c>
      <c r="K25" s="89">
        <f t="shared" si="5"/>
        <v>5.8411027980349273</v>
      </c>
      <c r="L25" s="89">
        <f t="shared" si="5"/>
        <v>1.7160008695124156</v>
      </c>
      <c r="O25" s="20"/>
    </row>
    <row r="26" spans="1:15">
      <c r="A26" s="83" t="s">
        <v>14</v>
      </c>
      <c r="B26" s="91">
        <f t="shared" si="1"/>
        <v>733461910.04999995</v>
      </c>
      <c r="C26" s="138">
        <f>'table 2a'!C26</f>
        <v>482384818</v>
      </c>
      <c r="D26" s="138">
        <f>'table 2a'!D26</f>
        <v>6675077</v>
      </c>
      <c r="E26" s="138">
        <f>state1!C27-state1!I27</f>
        <v>220478587</v>
      </c>
      <c r="F26" s="172">
        <f>'fed1'!B27-'table 6'!I27</f>
        <v>22844236.050000004</v>
      </c>
      <c r="G26" s="138">
        <f>'table 2a'!G26</f>
        <v>1079192</v>
      </c>
      <c r="H26" s="90"/>
      <c r="I26" s="89">
        <f t="shared" si="2"/>
        <v>66.678294850602512</v>
      </c>
      <c r="J26" s="89">
        <f>IF($B26&lt;&gt;0,(E26/$B26*100),(IF(E26&lt;&gt;0,1,0)))</f>
        <v>30.059991388642121</v>
      </c>
      <c r="K26" s="89">
        <f t="shared" si="5"/>
        <v>3.114577013064348</v>
      </c>
      <c r="L26" s="89">
        <f t="shared" si="5"/>
        <v>0.14713674769101939</v>
      </c>
      <c r="O26" s="20"/>
    </row>
    <row r="27" spans="1:15">
      <c r="A27" s="83" t="s">
        <v>15</v>
      </c>
      <c r="B27" s="91">
        <f t="shared" si="1"/>
        <v>30569751.570000004</v>
      </c>
      <c r="C27" s="138">
        <f>'table 2a'!C27</f>
        <v>17362758</v>
      </c>
      <c r="D27" s="138">
        <f>'table 2a'!D27</f>
        <v>207097.62</v>
      </c>
      <c r="E27" s="138">
        <f>state1!C28-state1!I28</f>
        <v>9868928.9000000004</v>
      </c>
      <c r="F27" s="172">
        <f>'fed1'!B28-'table 6'!I28</f>
        <v>3130967.05</v>
      </c>
      <c r="G27" s="138">
        <f>'table 2a'!G27</f>
        <v>0</v>
      </c>
      <c r="H27" s="90"/>
      <c r="I27" s="89">
        <f t="shared" si="2"/>
        <v>57.4746431280861</v>
      </c>
      <c r="J27" s="89">
        <f>IF($B27&lt;&gt;0,(E27/$B27*100),(IF(E27&lt;&gt;0,1,0)))</f>
        <v>32.283314038066941</v>
      </c>
      <c r="K27" s="89">
        <f t="shared" si="5"/>
        <v>10.242042833846947</v>
      </c>
      <c r="L27" s="89">
        <f t="shared" si="5"/>
        <v>0</v>
      </c>
      <c r="O27" s="20"/>
    </row>
    <row r="28" spans="1:15">
      <c r="B28" s="91"/>
      <c r="C28" s="138"/>
      <c r="D28" s="138"/>
      <c r="E28" s="138"/>
      <c r="F28" s="172"/>
      <c r="G28" s="138"/>
      <c r="H28" s="90"/>
      <c r="I28" s="89"/>
      <c r="J28" s="89"/>
      <c r="K28" s="89"/>
      <c r="L28" s="89"/>
      <c r="O28" s="3"/>
    </row>
    <row r="29" spans="1:15">
      <c r="A29" s="83" t="s">
        <v>16</v>
      </c>
      <c r="B29" s="91">
        <f t="shared" si="1"/>
        <v>2128151436.53</v>
      </c>
      <c r="C29" s="138">
        <f>'table 2a'!C29</f>
        <v>1419639451</v>
      </c>
      <c r="D29" s="138">
        <f>'table 2a'!D29</f>
        <v>13231594.470000001</v>
      </c>
      <c r="E29" s="138">
        <f>state1!C30-state1!I30</f>
        <v>592605300.98000002</v>
      </c>
      <c r="F29" s="172">
        <f>'fed1'!B30-'table 6'!I30</f>
        <v>102490977.84999999</v>
      </c>
      <c r="G29" s="138">
        <f>'table 2a'!G29</f>
        <v>184112.23</v>
      </c>
      <c r="H29" s="90"/>
      <c r="I29" s="89">
        <f t="shared" si="2"/>
        <v>67.329374257610596</v>
      </c>
      <c r="J29" s="89">
        <f>IF($B29&lt;&gt;0,(E29/$B29*100),(IF(E29&lt;&gt;0,1,0)))</f>
        <v>27.846011839564227</v>
      </c>
      <c r="K29" s="89">
        <f t="shared" ref="K29:L33" si="6">IF($B29&lt;&gt;0,(F29/$B29*100),(IF(F29&lt;&gt;0,1,0)))</f>
        <v>4.8159626279750984</v>
      </c>
      <c r="L29" s="89">
        <f t="shared" si="6"/>
        <v>8.651274850073604E-3</v>
      </c>
      <c r="O29" s="20"/>
    </row>
    <row r="30" spans="1:15">
      <c r="A30" s="83" t="s">
        <v>17</v>
      </c>
      <c r="B30" s="91">
        <f t="shared" si="1"/>
        <v>1693447004.8899999</v>
      </c>
      <c r="C30" s="138">
        <f>'table 2a'!C30</f>
        <v>633292019.12999988</v>
      </c>
      <c r="D30" s="138">
        <f>'table 2a'!D30</f>
        <v>14948441.909999995</v>
      </c>
      <c r="E30" s="138">
        <f>state1!C31-state1!I31</f>
        <v>907497663.09000003</v>
      </c>
      <c r="F30" s="172">
        <f>'fed1'!B31-'table 6'!I31</f>
        <v>137708880.75999999</v>
      </c>
      <c r="G30" s="138">
        <f>'table 2a'!G30</f>
        <v>0</v>
      </c>
      <c r="H30" s="90"/>
      <c r="I30" s="89">
        <f t="shared" si="2"/>
        <v>38.27934734114146</v>
      </c>
      <c r="J30" s="89">
        <f>IF($B30&lt;&gt;0,(E30/$B30*100),(IF(E30&lt;&gt;0,1,0)))</f>
        <v>53.588784323897265</v>
      </c>
      <c r="K30" s="89">
        <f t="shared" si="6"/>
        <v>8.1318683349612737</v>
      </c>
      <c r="L30" s="89">
        <f t="shared" si="6"/>
        <v>0</v>
      </c>
      <c r="O30" s="20"/>
    </row>
    <row r="31" spans="1:15">
      <c r="A31" s="83" t="s">
        <v>18</v>
      </c>
      <c r="B31" s="91">
        <f t="shared" si="1"/>
        <v>84204950.670000017</v>
      </c>
      <c r="C31" s="138">
        <f>'table 2a'!C31</f>
        <v>44860051</v>
      </c>
      <c r="D31" s="138">
        <f>'table 2a'!D31</f>
        <v>979119.04999999993</v>
      </c>
      <c r="E31" s="138">
        <f>state1!C32-state1!I32</f>
        <v>32576122.470000006</v>
      </c>
      <c r="F31" s="172">
        <f>'fed1'!B32-'table 6'!I32</f>
        <v>5789658.1499999994</v>
      </c>
      <c r="G31" s="138">
        <f>'table 2a'!G31</f>
        <v>0</v>
      </c>
      <c r="H31" s="90"/>
      <c r="I31" s="89">
        <f>IF(B31&lt;&gt;0,((+C31+D31)/B31*100),(IF(C31&lt;&gt;0,1,0)))</f>
        <v>54.437618792325082</v>
      </c>
      <c r="J31" s="89">
        <f>IF($B31&lt;&gt;0,(E31/$B31*100),(IF(E31&lt;&gt;0,1,0)))</f>
        <v>38.686706910697133</v>
      </c>
      <c r="K31" s="89">
        <f t="shared" si="6"/>
        <v>6.8756742969777669</v>
      </c>
      <c r="L31" s="89">
        <f t="shared" si="6"/>
        <v>0</v>
      </c>
      <c r="O31" s="20"/>
    </row>
    <row r="32" spans="1:15">
      <c r="A32" s="83" t="s">
        <v>19</v>
      </c>
      <c r="B32" s="91">
        <f t="shared" si="1"/>
        <v>201226546.28999999</v>
      </c>
      <c r="C32" s="138">
        <f>'table 2a'!C32</f>
        <v>85757054.439999998</v>
      </c>
      <c r="D32" s="138">
        <f>'table 2a'!D32</f>
        <v>1089041.55</v>
      </c>
      <c r="E32" s="138">
        <f>state1!C33-state1!I33</f>
        <v>94520965.960000008</v>
      </c>
      <c r="F32" s="172">
        <f>'fed1'!B33-'table 6'!I33</f>
        <v>16028916.029999999</v>
      </c>
      <c r="G32" s="138">
        <f>'table 2a'!G32</f>
        <v>3830568.3099999996</v>
      </c>
      <c r="H32" s="90"/>
      <c r="I32" s="89">
        <f t="shared" si="2"/>
        <v>43.158369306224998</v>
      </c>
      <c r="J32" s="89">
        <f>IF($B32&lt;&gt;0,(E32/$B32*100),(IF(E32&lt;&gt;0,1,0)))</f>
        <v>46.972413780724544</v>
      </c>
      <c r="K32" s="89">
        <f t="shared" si="6"/>
        <v>7.9656070859059218</v>
      </c>
      <c r="L32" s="89">
        <f t="shared" si="6"/>
        <v>1.9036098271445416</v>
      </c>
      <c r="O32" s="20"/>
    </row>
    <row r="33" spans="1:256">
      <c r="A33" s="83" t="s">
        <v>20</v>
      </c>
      <c r="B33" s="91">
        <f t="shared" si="1"/>
        <v>38429631.670000002</v>
      </c>
      <c r="C33" s="138">
        <f>'table 2a'!C33</f>
        <v>9104448.1199999992</v>
      </c>
      <c r="D33" s="138">
        <f>'table 2a'!D33</f>
        <v>239114.41</v>
      </c>
      <c r="E33" s="138">
        <f>state1!C34-state1!I34</f>
        <v>23645498.469999999</v>
      </c>
      <c r="F33" s="172">
        <f>'fed1'!B34-'table 6'!I34</f>
        <v>5440570.6699999999</v>
      </c>
      <c r="G33" s="138">
        <f>'table 2a'!G33</f>
        <v>0</v>
      </c>
      <c r="H33" s="90"/>
      <c r="I33" s="89">
        <f t="shared" si="2"/>
        <v>24.313432432125101</v>
      </c>
      <c r="J33" s="89">
        <f>IF($B33&lt;&gt;0,(E33/$B33*100),(IF(E33&lt;&gt;0,1,0)))</f>
        <v>61.529339320883466</v>
      </c>
      <c r="K33" s="89">
        <f t="shared" si="6"/>
        <v>14.157228246991419</v>
      </c>
      <c r="L33" s="89">
        <f t="shared" si="6"/>
        <v>0</v>
      </c>
      <c r="O33" s="20"/>
    </row>
    <row r="34" spans="1:256">
      <c r="B34" s="91"/>
      <c r="C34" s="64"/>
      <c r="D34" s="138"/>
      <c r="E34" s="172"/>
      <c r="F34" s="172"/>
      <c r="G34" s="138"/>
      <c r="H34" s="90"/>
      <c r="I34" s="89"/>
      <c r="J34" s="89"/>
      <c r="K34" s="89"/>
      <c r="L34" s="89"/>
      <c r="O34" s="3"/>
    </row>
    <row r="35" spans="1:256">
      <c r="A35" s="83" t="s">
        <v>21</v>
      </c>
      <c r="B35" s="91">
        <f t="shared" si="1"/>
        <v>51286492.159999996</v>
      </c>
      <c r="C35" s="138">
        <f>'table 2a'!C35</f>
        <v>34960007</v>
      </c>
      <c r="D35" s="138">
        <f>'table 2a'!D35</f>
        <v>409495.33999999997</v>
      </c>
      <c r="E35" s="138">
        <f>state1!C36-state1!I36</f>
        <v>12034422.939999999</v>
      </c>
      <c r="F35" s="172">
        <f>'fed1'!B36-'table 6'!I36</f>
        <v>3879469.3299999996</v>
      </c>
      <c r="G35" s="138">
        <f>'table 2a'!G35</f>
        <v>3097.55</v>
      </c>
      <c r="H35" s="90"/>
      <c r="I35" s="89">
        <f t="shared" si="2"/>
        <v>68.964557430944424</v>
      </c>
      <c r="J35" s="89">
        <f>IF($B35&lt;&gt;0,(E35/$B35*100),(IF(E35&lt;&gt;0,1,0)))</f>
        <v>23.465092723549606</v>
      </c>
      <c r="K35" s="89">
        <f t="shared" ref="K35:L38" si="7">IF($B35&lt;&gt;0,(F35/$B35*100),(IF(F35&lt;&gt;0,1,0)))</f>
        <v>7.5643101460265676</v>
      </c>
      <c r="L35" s="89">
        <f t="shared" si="7"/>
        <v>6.0396994794194173E-3</v>
      </c>
      <c r="O35" s="20"/>
    </row>
    <row r="36" spans="1:256">
      <c r="A36" s="83" t="s">
        <v>22</v>
      </c>
      <c r="B36" s="91">
        <f t="shared" si="1"/>
        <v>272377626.25</v>
      </c>
      <c r="C36" s="138">
        <f>'table 2a'!C36</f>
        <v>92951603</v>
      </c>
      <c r="D36" s="138">
        <f>'table 2a'!D36</f>
        <v>934040.31</v>
      </c>
      <c r="E36" s="138">
        <f>state1!C37-state1!I37</f>
        <v>157543175.24000001</v>
      </c>
      <c r="F36" s="172">
        <f>'fed1'!B37-'table 6'!I37</f>
        <v>20563174.799999997</v>
      </c>
      <c r="G36" s="138">
        <f>'table 2a'!G36</f>
        <v>385632.9</v>
      </c>
      <c r="H36" s="90"/>
      <c r="I36" s="89">
        <f t="shared" si="2"/>
        <v>34.468926322100948</v>
      </c>
      <c r="J36" s="89">
        <f>IF($B36&lt;&gt;0,(E36/$B36*100),(IF(E36&lt;&gt;0,1,0)))</f>
        <v>57.83998392562539</v>
      </c>
      <c r="K36" s="89">
        <f t="shared" si="7"/>
        <v>7.5495095111542758</v>
      </c>
      <c r="L36" s="89">
        <f t="shared" si="7"/>
        <v>0.14158024111938233</v>
      </c>
      <c r="O36" s="20"/>
    </row>
    <row r="37" spans="1:256">
      <c r="A37" s="83" t="s">
        <v>23</v>
      </c>
      <c r="B37" s="91">
        <f t="shared" si="1"/>
        <v>181839345.94999999</v>
      </c>
      <c r="C37" s="138">
        <f>'table 2a'!C37</f>
        <v>39173593</v>
      </c>
      <c r="D37" s="138">
        <f>'table 2a'!D37</f>
        <v>583485.42999999993</v>
      </c>
      <c r="E37" s="138">
        <f>state1!C38-state1!I38</f>
        <v>120326814.14</v>
      </c>
      <c r="F37" s="172">
        <f>'fed1'!B38-'table 6'!I38</f>
        <v>20217272.740000002</v>
      </c>
      <c r="G37" s="138">
        <f>'table 2a'!G37</f>
        <v>1538180.64</v>
      </c>
      <c r="H37" s="90"/>
      <c r="I37" s="89">
        <f t="shared" si="2"/>
        <v>21.863848124999265</v>
      </c>
      <c r="J37" s="89">
        <f>IF($B37&lt;&gt;0,(E37/$B37*100),(IF(E37&lt;&gt;0,1,0)))</f>
        <v>66.172045170623321</v>
      </c>
      <c r="K37" s="89">
        <f t="shared" si="7"/>
        <v>11.118205817545729</v>
      </c>
      <c r="L37" s="89">
        <f t="shared" si="7"/>
        <v>0.84590088683169296</v>
      </c>
      <c r="O37" s="20"/>
    </row>
    <row r="38" spans="1:256">
      <c r="A38" s="121" t="s">
        <v>24</v>
      </c>
      <c r="B38" s="94">
        <f t="shared" si="1"/>
        <v>100508857.48999999</v>
      </c>
      <c r="C38" s="139">
        <f>'table 2a'!C38</f>
        <v>73923044</v>
      </c>
      <c r="D38" s="139">
        <f>'table 2a'!D38</f>
        <v>267181.26999999996</v>
      </c>
      <c r="E38" s="139">
        <f>state1!C39-state1!I39</f>
        <v>18807157.949999999</v>
      </c>
      <c r="F38" s="139">
        <f>'fed1'!B39-'table 6'!I39</f>
        <v>7493427.2999999989</v>
      </c>
      <c r="G38" s="139">
        <f>'table 2a'!G38</f>
        <v>18046.97</v>
      </c>
      <c r="H38" s="93"/>
      <c r="I38" s="95">
        <f t="shared" si="2"/>
        <v>73.814614077551795</v>
      </c>
      <c r="J38" s="95">
        <f>IF($B38&lt;&gt;0,(E38/$B38*100),(IF(E38&lt;&gt;0,1,0)))</f>
        <v>18.71194083752389</v>
      </c>
      <c r="K38" s="95">
        <f t="shared" si="7"/>
        <v>7.4554894833478214</v>
      </c>
      <c r="L38" s="95">
        <f t="shared" si="7"/>
        <v>1.7955601576503406E-2</v>
      </c>
      <c r="O38" s="20"/>
    </row>
    <row r="39" spans="1:256">
      <c r="A39" s="84"/>
      <c r="B39" s="91"/>
      <c r="C39" s="88"/>
      <c r="D39" s="88"/>
      <c r="E39" s="88"/>
      <c r="F39" s="88"/>
      <c r="G39" s="88"/>
      <c r="H39" s="87"/>
      <c r="I39" s="89"/>
      <c r="J39" s="89"/>
      <c r="K39" s="89"/>
      <c r="L39" s="89"/>
      <c r="O39" s="20"/>
    </row>
    <row r="40" spans="1:256">
      <c r="A40" s="133" t="s">
        <v>220</v>
      </c>
      <c r="C40" s="86"/>
      <c r="D40" s="90"/>
      <c r="E40" s="86"/>
      <c r="F40" s="86"/>
      <c r="G40" s="86"/>
      <c r="H40" s="86"/>
      <c r="I40" s="140"/>
      <c r="J40" s="140"/>
      <c r="K40" s="140"/>
      <c r="L40" s="86"/>
    </row>
    <row r="41" spans="1:256">
      <c r="A41" s="53" t="s">
        <v>286</v>
      </c>
      <c r="B41" s="53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</row>
    <row r="42" spans="1:256">
      <c r="A42" s="53" t="s">
        <v>200</v>
      </c>
      <c r="C42" s="86"/>
      <c r="D42" s="90"/>
      <c r="E42" s="86"/>
      <c r="F42" s="86"/>
      <c r="G42" s="86"/>
      <c r="H42" s="86"/>
      <c r="I42" s="86"/>
      <c r="J42" s="86"/>
      <c r="K42" s="86"/>
      <c r="L42" s="86"/>
    </row>
    <row r="43" spans="1:256">
      <c r="A43" s="97"/>
      <c r="C43" s="86"/>
      <c r="D43" s="90"/>
      <c r="E43" s="86"/>
      <c r="F43" s="86"/>
      <c r="G43" s="86"/>
      <c r="H43" s="86"/>
      <c r="I43" s="86"/>
      <c r="J43" s="86"/>
      <c r="K43" s="86"/>
      <c r="L43" s="86"/>
    </row>
    <row r="44" spans="1:256">
      <c r="C44" s="86"/>
      <c r="D44" s="90"/>
      <c r="E44" s="86"/>
      <c r="F44" s="86"/>
      <c r="G44" s="86"/>
      <c r="H44" s="86"/>
      <c r="I44" s="86"/>
      <c r="J44" s="86"/>
      <c r="K44" s="86"/>
      <c r="L44" s="86"/>
    </row>
    <row r="45" spans="1:256">
      <c r="D45" s="96"/>
    </row>
    <row r="46" spans="1:256">
      <c r="D46" s="96"/>
    </row>
  </sheetData>
  <sheetProtection password="CAF5" sheet="1" objects="1" scenarios="1"/>
  <mergeCells count="6">
    <mergeCell ref="A1:L1"/>
    <mergeCell ref="C7:D7"/>
    <mergeCell ref="C6:F6"/>
    <mergeCell ref="I6:L6"/>
    <mergeCell ref="A3:L3"/>
    <mergeCell ref="A4:L4"/>
  </mergeCells>
  <phoneticPr fontId="0" type="noConversion"/>
  <printOptions horizontalCentered="1"/>
  <pageMargins left="0.7" right="0.72" top="0.83" bottom="1" header="0.67" footer="0.5"/>
  <pageSetup scale="81" orientation="landscape" r:id="rId1"/>
  <headerFooter alignWithMargins="0">
    <oddFooter>&amp;L&amp;"Arial,Italic"&amp;9MSDE - LFRO  12 / 2013&amp;C- 3 -&amp;R&amp;"Arial,Italic"&amp;9Selected Financial Data-Part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5"/>
  <sheetViews>
    <sheetView zoomScaleNormal="100" workbookViewId="0">
      <selection sqref="A1:K1"/>
    </sheetView>
  </sheetViews>
  <sheetFormatPr defaultRowHeight="12.75"/>
  <cols>
    <col min="1" max="1" width="14.140625" customWidth="1"/>
    <col min="2" max="2" width="14.85546875" customWidth="1"/>
    <col min="3" max="3" width="14.85546875" style="55" customWidth="1"/>
    <col min="4" max="4" width="13.28515625" style="55" customWidth="1"/>
    <col min="5" max="5" width="18.140625" style="55" customWidth="1"/>
    <col min="6" max="7" width="13.28515625" style="55" customWidth="1"/>
    <col min="8" max="11" width="9.140625" style="55"/>
  </cols>
  <sheetData>
    <row r="1" spans="1:58">
      <c r="A1" s="449" t="s">
        <v>87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</row>
    <row r="3" spans="1:58">
      <c r="A3" s="441" t="s">
        <v>267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</row>
    <row r="4" spans="1:58">
      <c r="A4" s="449"/>
      <c r="B4" s="449"/>
      <c r="C4" s="449"/>
      <c r="D4" s="449"/>
      <c r="E4" s="449"/>
      <c r="F4" s="449"/>
      <c r="G4" s="449"/>
      <c r="H4" s="449"/>
      <c r="I4" s="449"/>
      <c r="J4" s="449"/>
    </row>
    <row r="5" spans="1:58" ht="13.5" thickBot="1">
      <c r="B5" s="11"/>
      <c r="C5" s="187"/>
      <c r="D5" s="187"/>
      <c r="E5" s="187"/>
      <c r="F5" s="187"/>
      <c r="G5" s="187"/>
      <c r="H5" s="187"/>
      <c r="I5" s="187"/>
      <c r="J5" s="187"/>
      <c r="K5" s="187"/>
    </row>
    <row r="6" spans="1:58" ht="15" customHeight="1" thickTop="1">
      <c r="A6" s="6" t="s">
        <v>77</v>
      </c>
      <c r="B6" s="17" t="s">
        <v>43</v>
      </c>
      <c r="C6" s="451" t="s">
        <v>80</v>
      </c>
      <c r="D6" s="451"/>
      <c r="E6" s="451"/>
      <c r="F6" s="451"/>
      <c r="G6" s="190"/>
      <c r="H6" s="451" t="s">
        <v>82</v>
      </c>
      <c r="I6" s="451"/>
      <c r="J6" s="451"/>
      <c r="K6" s="451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</row>
    <row r="7" spans="1:58">
      <c r="A7" s="3" t="s">
        <v>33</v>
      </c>
      <c r="B7" s="9" t="s">
        <v>83</v>
      </c>
      <c r="C7" s="450" t="s">
        <v>77</v>
      </c>
      <c r="D7" s="450"/>
      <c r="E7" s="452" t="s">
        <v>44</v>
      </c>
      <c r="F7" s="452" t="s">
        <v>51</v>
      </c>
      <c r="G7" s="101" t="s">
        <v>79</v>
      </c>
      <c r="H7" s="65"/>
      <c r="I7" s="65"/>
      <c r="J7" s="65"/>
      <c r="K7" s="65" t="s">
        <v>79</v>
      </c>
    </row>
    <row r="8" spans="1:58" ht="13.5" thickBot="1">
      <c r="A8" s="7" t="s">
        <v>132</v>
      </c>
      <c r="B8" s="195" t="s">
        <v>84</v>
      </c>
      <c r="C8" s="80" t="s">
        <v>78</v>
      </c>
      <c r="D8" s="80" t="s">
        <v>113</v>
      </c>
      <c r="E8" s="453"/>
      <c r="F8" s="453"/>
      <c r="G8" s="49" t="s">
        <v>81</v>
      </c>
      <c r="H8" s="188" t="s">
        <v>77</v>
      </c>
      <c r="I8" s="188" t="s">
        <v>44</v>
      </c>
      <c r="J8" s="189" t="s">
        <v>51</v>
      </c>
      <c r="K8" s="80" t="s">
        <v>81</v>
      </c>
    </row>
    <row r="9" spans="1:58">
      <c r="A9" s="3" t="s">
        <v>0</v>
      </c>
      <c r="B9" s="60">
        <f t="shared" ref="B9:G9" si="0">SUM(B11:B38)</f>
        <v>844902477.80999994</v>
      </c>
      <c r="C9" s="141">
        <f t="shared" si="0"/>
        <v>406844766.87000006</v>
      </c>
      <c r="D9" s="141">
        <f t="shared" si="0"/>
        <v>25780222.690000005</v>
      </c>
      <c r="E9" s="141">
        <f t="shared" si="0"/>
        <v>317021571.26000005</v>
      </c>
      <c r="F9" s="141">
        <f t="shared" si="0"/>
        <v>2520396</v>
      </c>
      <c r="G9" s="141">
        <f t="shared" si="0"/>
        <v>92735520.989999995</v>
      </c>
      <c r="H9" s="142">
        <f>IF(B9&lt;&gt;0,((+C9+D9)/B9),(IF(C9&lt;&gt;0,1,0)))</f>
        <v>0.51204133130414131</v>
      </c>
      <c r="I9" s="142">
        <f>IF($B9&lt;&gt;0,(E9/$B9),(IF(E9&lt;&gt;0,1,0)))</f>
        <v>0.37521676120742925</v>
      </c>
      <c r="J9" s="142">
        <f>IF($B9&lt;&gt;0,(F9/$B9),(IF(F9&lt;&gt;0,1,0)))</f>
        <v>2.9830614374962003E-3</v>
      </c>
      <c r="K9" s="142">
        <f>IF($B9&lt;&gt;0,(G9/$B9),(IF(G9&lt;&gt;0,1,0)))</f>
        <v>0.10975884605093345</v>
      </c>
    </row>
    <row r="10" spans="1:58">
      <c r="A10" s="3"/>
      <c r="B10" s="61"/>
      <c r="C10" s="143"/>
      <c r="D10" s="74"/>
      <c r="E10" s="73"/>
      <c r="F10" s="70"/>
      <c r="G10" s="70"/>
      <c r="H10" s="144"/>
      <c r="I10" s="144"/>
      <c r="J10" s="144"/>
      <c r="K10" s="144"/>
    </row>
    <row r="11" spans="1:58">
      <c r="A11" t="s">
        <v>1</v>
      </c>
      <c r="B11" s="111">
        <f t="shared" ref="B11:B38" si="1">SUM(C11:G11)</f>
        <v>2071219.2200000002</v>
      </c>
      <c r="C11" s="321">
        <v>336192.55</v>
      </c>
      <c r="D11" s="321">
        <v>0</v>
      </c>
      <c r="E11" s="129">
        <v>876576</v>
      </c>
      <c r="F11" s="321">
        <v>0</v>
      </c>
      <c r="G11" s="321">
        <v>858450.67</v>
      </c>
      <c r="H11" s="136">
        <f t="shared" ref="H11:H38" si="2">IF(B11&lt;&gt;0,((+C11+D11)/B11*100),(IF(C11&lt;&gt;0,1,0)))</f>
        <v>16.231625641249117</v>
      </c>
      <c r="I11" s="136">
        <f>IF($B11&lt;&gt;0,(E11/$B11*100),(IF(E11&lt;&gt;0,1,0)))</f>
        <v>42.321739366632563</v>
      </c>
      <c r="J11" s="136">
        <f t="shared" ref="J11:K15" si="3">IF($B11&lt;&gt;0,(F11/$B11*100),(IF(F11&lt;&gt;0,1,0)))</f>
        <v>0</v>
      </c>
      <c r="K11" s="136">
        <f t="shared" si="3"/>
        <v>41.446634992118312</v>
      </c>
    </row>
    <row r="12" spans="1:58">
      <c r="A12" t="s">
        <v>2</v>
      </c>
      <c r="B12" s="111">
        <f t="shared" si="1"/>
        <v>104581021</v>
      </c>
      <c r="C12" s="321">
        <v>9255647</v>
      </c>
      <c r="D12" s="321">
        <v>93419</v>
      </c>
      <c r="E12" s="129">
        <v>21756730</v>
      </c>
      <c r="F12" s="321">
        <v>0</v>
      </c>
      <c r="G12" s="321">
        <v>73475225</v>
      </c>
      <c r="H12" s="136">
        <f t="shared" si="2"/>
        <v>8.9395436290490995</v>
      </c>
      <c r="I12" s="136">
        <f>IF($B12&lt;&gt;0,(E12/$B12*100),(IF(E12&lt;&gt;0,1,0)))</f>
        <v>20.803707777915076</v>
      </c>
      <c r="J12" s="136">
        <f t="shared" si="3"/>
        <v>0</v>
      </c>
      <c r="K12" s="136">
        <f t="shared" si="3"/>
        <v>70.256748593035823</v>
      </c>
    </row>
    <row r="13" spans="1:58">
      <c r="A13" t="s">
        <v>3</v>
      </c>
      <c r="B13" s="111">
        <f t="shared" si="1"/>
        <v>63179534.090000004</v>
      </c>
      <c r="C13" s="321">
        <v>15965483.140000001</v>
      </c>
      <c r="D13" s="321">
        <v>720941.47</v>
      </c>
      <c r="E13" s="129">
        <v>38052744.090000004</v>
      </c>
      <c r="F13" s="321">
        <v>0</v>
      </c>
      <c r="G13" s="321">
        <v>8440365.3900000006</v>
      </c>
      <c r="H13" s="136">
        <f>IF(B13&lt;&gt;0,((+C13+D13)/B13*100),(IF(C13&lt;&gt;0,1,0)))</f>
        <v>26.411123238468313</v>
      </c>
      <c r="I13" s="136">
        <f>IF($B13&lt;&gt;0,(E13/$B13*100),(IF(E13&lt;&gt;0,1,0)))</f>
        <v>60.22954211057241</v>
      </c>
      <c r="J13" s="136">
        <f t="shared" si="3"/>
        <v>0</v>
      </c>
      <c r="K13" s="136">
        <f t="shared" si="3"/>
        <v>13.359334650959278</v>
      </c>
    </row>
    <row r="14" spans="1:58">
      <c r="A14" t="s">
        <v>4</v>
      </c>
      <c r="B14" s="111">
        <f t="shared" si="1"/>
        <v>92210405</v>
      </c>
      <c r="C14" s="321">
        <v>47527623</v>
      </c>
      <c r="D14" s="321">
        <v>0</v>
      </c>
      <c r="E14" s="129">
        <v>44493485</v>
      </c>
      <c r="F14" s="321">
        <v>0</v>
      </c>
      <c r="G14" s="321">
        <v>189297</v>
      </c>
      <c r="H14" s="136">
        <f t="shared" si="2"/>
        <v>51.542581338841323</v>
      </c>
      <c r="I14" s="136">
        <f>IF($B14&lt;&gt;0,(E14/$B14*100),(IF(E14&lt;&gt;0,1,0)))</f>
        <v>48.25213054860783</v>
      </c>
      <c r="J14" s="136">
        <f t="shared" si="3"/>
        <v>0</v>
      </c>
      <c r="K14" s="136">
        <f t="shared" si="3"/>
        <v>0.20528811255085583</v>
      </c>
    </row>
    <row r="15" spans="1:58">
      <c r="A15" t="s">
        <v>5</v>
      </c>
      <c r="B15" s="111">
        <f t="shared" si="1"/>
        <v>10954908</v>
      </c>
      <c r="C15" s="321">
        <v>7374031</v>
      </c>
      <c r="D15" s="321">
        <v>81</v>
      </c>
      <c r="E15" s="129">
        <v>3580796</v>
      </c>
      <c r="F15" s="321">
        <v>0</v>
      </c>
      <c r="G15" s="321">
        <v>0</v>
      </c>
      <c r="H15" s="136">
        <f t="shared" si="2"/>
        <v>67.3133174646469</v>
      </c>
      <c r="I15" s="136">
        <f>IF($B15&lt;&gt;0,(E15/$B15*100),(IF(E15&lt;&gt;0,1,0)))</f>
        <v>32.686682535353107</v>
      </c>
      <c r="J15" s="136">
        <f t="shared" si="3"/>
        <v>0</v>
      </c>
      <c r="K15" s="136">
        <f t="shared" si="3"/>
        <v>0</v>
      </c>
    </row>
    <row r="16" spans="1:58">
      <c r="B16" s="111"/>
      <c r="C16" s="335"/>
      <c r="D16" s="335"/>
      <c r="E16" s="338"/>
      <c r="F16" s="335"/>
      <c r="G16" s="335"/>
      <c r="H16" s="136"/>
      <c r="I16" s="136"/>
      <c r="J16" s="136"/>
      <c r="K16" s="136"/>
    </row>
    <row r="17" spans="1:11">
      <c r="A17" t="s">
        <v>6</v>
      </c>
      <c r="B17" s="111">
        <f t="shared" si="1"/>
        <v>1082784.56</v>
      </c>
      <c r="C17" s="321">
        <v>0</v>
      </c>
      <c r="D17" s="321">
        <v>2122.12</v>
      </c>
      <c r="E17" s="129">
        <v>589097.5</v>
      </c>
      <c r="F17" s="321">
        <v>0</v>
      </c>
      <c r="G17" s="321">
        <v>491564.93999999994</v>
      </c>
      <c r="H17" s="136">
        <f t="shared" si="2"/>
        <v>0.19598727931621038</v>
      </c>
      <c r="I17" s="136">
        <f>IF($B17&lt;&gt;0,(E17/$B17*100),(IF(E17&lt;&gt;0,1,0)))</f>
        <v>54.405790566500137</v>
      </c>
      <c r="J17" s="136">
        <f t="shared" ref="J17:K21" si="4">IF($B17&lt;&gt;0,(F17/$B17*100),(IF(F17&lt;&gt;0,1,0)))</f>
        <v>0</v>
      </c>
      <c r="K17" s="136">
        <f t="shared" si="4"/>
        <v>45.398222154183649</v>
      </c>
    </row>
    <row r="18" spans="1:11">
      <c r="A18" t="s">
        <v>7</v>
      </c>
      <c r="B18" s="111">
        <f t="shared" si="1"/>
        <v>10935582.6</v>
      </c>
      <c r="C18" s="321">
        <v>6450524.5999999996</v>
      </c>
      <c r="D18" s="321">
        <v>0</v>
      </c>
      <c r="E18" s="129">
        <v>4485058</v>
      </c>
      <c r="F18" s="321">
        <v>0</v>
      </c>
      <c r="G18" s="321">
        <v>0</v>
      </c>
      <c r="H18" s="136">
        <f t="shared" si="2"/>
        <v>58.986565562588311</v>
      </c>
      <c r="I18" s="136">
        <f>IF($B18&lt;&gt;0,(E18/$B18*100),(IF(E18&lt;&gt;0,1,0)))</f>
        <v>41.013434437411682</v>
      </c>
      <c r="J18" s="136">
        <f t="shared" si="4"/>
        <v>0</v>
      </c>
      <c r="K18" s="136">
        <f t="shared" si="4"/>
        <v>0</v>
      </c>
    </row>
    <row r="19" spans="1:11">
      <c r="A19" t="s">
        <v>8</v>
      </c>
      <c r="B19" s="111">
        <f t="shared" si="1"/>
        <v>5298914.75</v>
      </c>
      <c r="C19" s="321">
        <v>3505941.59</v>
      </c>
      <c r="D19" s="321">
        <v>56.66</v>
      </c>
      <c r="E19" s="129">
        <v>1717961.5</v>
      </c>
      <c r="F19" s="321">
        <v>74955</v>
      </c>
      <c r="G19" s="321">
        <v>0</v>
      </c>
      <c r="H19" s="136">
        <f>IF(B19&lt;&gt;0,((+C19+D19)/B19*100),(IF(C19&lt;&gt;0,1,0)))</f>
        <v>66.164458486523117</v>
      </c>
      <c r="I19" s="136">
        <f>IF($B19&lt;&gt;0,(E19/$B19*100),(IF(E19&lt;&gt;0,1,0)))</f>
        <v>32.421006584414293</v>
      </c>
      <c r="J19" s="136">
        <f t="shared" si="4"/>
        <v>1.4145349290625973</v>
      </c>
      <c r="K19" s="136">
        <f t="shared" si="4"/>
        <v>0</v>
      </c>
    </row>
    <row r="20" spans="1:11">
      <c r="A20" t="s">
        <v>9</v>
      </c>
      <c r="B20" s="111">
        <f t="shared" si="1"/>
        <v>35146426.670000002</v>
      </c>
      <c r="C20" s="321">
        <v>19183060.350000001</v>
      </c>
      <c r="D20" s="321">
        <v>25.32</v>
      </c>
      <c r="E20" s="129">
        <v>15963341</v>
      </c>
      <c r="F20" s="321">
        <v>0</v>
      </c>
      <c r="G20" s="321">
        <v>0</v>
      </c>
      <c r="H20" s="136">
        <f t="shared" si="2"/>
        <v>54.580472291295955</v>
      </c>
      <c r="I20" s="136">
        <f>IF($B20&lt;&gt;0,(E20/$B20*100),(IF(E20&lt;&gt;0,1,0)))</f>
        <v>45.419527708704052</v>
      </c>
      <c r="J20" s="136">
        <f t="shared" si="4"/>
        <v>0</v>
      </c>
      <c r="K20" s="136">
        <f t="shared" si="4"/>
        <v>0</v>
      </c>
    </row>
    <row r="21" spans="1:11">
      <c r="A21" t="s">
        <v>10</v>
      </c>
      <c r="B21" s="111">
        <f t="shared" si="1"/>
        <v>2138394</v>
      </c>
      <c r="C21" s="321">
        <v>1203005</v>
      </c>
      <c r="D21" s="321">
        <v>0</v>
      </c>
      <c r="E21" s="129">
        <v>935389</v>
      </c>
      <c r="F21" s="321">
        <v>0</v>
      </c>
      <c r="G21" s="321">
        <v>0</v>
      </c>
      <c r="H21" s="136">
        <f t="shared" si="2"/>
        <v>56.25740625908977</v>
      </c>
      <c r="I21" s="136">
        <f>IF($B21&lt;&gt;0,(E21/$B21*100),(IF(E21&lt;&gt;0,1,0)))</f>
        <v>43.742593740910237</v>
      </c>
      <c r="J21" s="136">
        <f t="shared" si="4"/>
        <v>0</v>
      </c>
      <c r="K21" s="136">
        <f t="shared" si="4"/>
        <v>0</v>
      </c>
    </row>
    <row r="22" spans="1:11">
      <c r="B22" s="111"/>
      <c r="C22" s="335"/>
      <c r="D22" s="335"/>
      <c r="E22" s="338"/>
      <c r="F22" s="335"/>
      <c r="G22" s="335"/>
      <c r="H22" s="136"/>
      <c r="I22" s="136"/>
      <c r="J22" s="136"/>
      <c r="K22" s="136"/>
    </row>
    <row r="23" spans="1:11">
      <c r="A23" t="s">
        <v>11</v>
      </c>
      <c r="B23" s="111">
        <f t="shared" si="1"/>
        <v>30418222</v>
      </c>
      <c r="C23" s="321">
        <v>10006688</v>
      </c>
      <c r="D23" s="321">
        <v>0</v>
      </c>
      <c r="E23" s="129">
        <v>20411534</v>
      </c>
      <c r="F23" s="321">
        <v>0</v>
      </c>
      <c r="G23" s="321">
        <v>0</v>
      </c>
      <c r="H23" s="136">
        <f t="shared" si="2"/>
        <v>32.897018109736983</v>
      </c>
      <c r="I23" s="136">
        <f>IF($B23&lt;&gt;0,(E23/$B23*100),(IF(E23&lt;&gt;0,1,0)))</f>
        <v>67.10298189026301</v>
      </c>
      <c r="J23" s="136">
        <f t="shared" ref="J23:K27" si="5">IF($B23&lt;&gt;0,(F23/$B23*100),(IF(F23&lt;&gt;0,1,0)))</f>
        <v>0</v>
      </c>
      <c r="K23" s="136">
        <f t="shared" si="5"/>
        <v>0</v>
      </c>
    </row>
    <row r="24" spans="1:11">
      <c r="A24" t="s">
        <v>12</v>
      </c>
      <c r="B24" s="111">
        <f t="shared" si="1"/>
        <v>0</v>
      </c>
      <c r="C24" s="321">
        <v>0</v>
      </c>
      <c r="D24" s="321">
        <v>0</v>
      </c>
      <c r="E24" s="129">
        <v>0</v>
      </c>
      <c r="F24" s="321">
        <v>0</v>
      </c>
      <c r="G24" s="321">
        <v>0</v>
      </c>
      <c r="H24" s="136">
        <f t="shared" si="2"/>
        <v>0</v>
      </c>
      <c r="I24" s="136">
        <f>IF($B24&lt;&gt;0,(E24/$B24*100),(IF(E24&lt;&gt;0,1,0)))</f>
        <v>0</v>
      </c>
      <c r="J24" s="136">
        <f t="shared" si="5"/>
        <v>0</v>
      </c>
      <c r="K24" s="136">
        <f t="shared" si="5"/>
        <v>0</v>
      </c>
    </row>
    <row r="25" spans="1:11">
      <c r="A25" t="s">
        <v>13</v>
      </c>
      <c r="B25" s="111">
        <f t="shared" si="1"/>
        <v>35158834</v>
      </c>
      <c r="C25" s="321">
        <v>11980732</v>
      </c>
      <c r="D25" s="321">
        <v>9285165</v>
      </c>
      <c r="E25" s="129">
        <v>13892937</v>
      </c>
      <c r="F25" s="321">
        <v>0</v>
      </c>
      <c r="G25" s="321">
        <v>0</v>
      </c>
      <c r="H25" s="136">
        <f>IF(B25&lt;&gt;0,((+C25+D25)/B25*100),(IF(C25&lt;&gt;0,1,0)))</f>
        <v>60.485216887454229</v>
      </c>
      <c r="I25" s="136">
        <f>IF($B25&lt;&gt;0,(E25/$B25*100),(IF(E25&lt;&gt;0,1,0)))</f>
        <v>39.514783112545771</v>
      </c>
      <c r="J25" s="136">
        <f t="shared" si="5"/>
        <v>0</v>
      </c>
      <c r="K25" s="136">
        <f t="shared" si="5"/>
        <v>0</v>
      </c>
    </row>
    <row r="26" spans="1:11">
      <c r="A26" t="s">
        <v>14</v>
      </c>
      <c r="B26" s="111">
        <f t="shared" si="1"/>
        <v>98706387</v>
      </c>
      <c r="C26" s="321">
        <v>67217121</v>
      </c>
      <c r="D26" s="321">
        <v>1036</v>
      </c>
      <c r="E26" s="129">
        <v>31488230</v>
      </c>
      <c r="F26" s="321">
        <v>0</v>
      </c>
      <c r="G26" s="321">
        <v>0</v>
      </c>
      <c r="H26" s="136">
        <v>0</v>
      </c>
      <c r="I26" s="136">
        <f>IF($B26&lt;&gt;0,(E26/$B26*100),(IF(E26&lt;&gt;0,1,0)))</f>
        <v>31.900904244423412</v>
      </c>
      <c r="J26" s="136">
        <f t="shared" si="5"/>
        <v>0</v>
      </c>
      <c r="K26" s="136">
        <f t="shared" si="5"/>
        <v>0</v>
      </c>
    </row>
    <row r="27" spans="1:11">
      <c r="A27" t="s">
        <v>15</v>
      </c>
      <c r="B27" s="111">
        <f>SUM(C27:G27)</f>
        <v>113362</v>
      </c>
      <c r="C27" s="321">
        <v>0</v>
      </c>
      <c r="D27" s="321">
        <v>0</v>
      </c>
      <c r="E27" s="129">
        <v>104177</v>
      </c>
      <c r="F27" s="321">
        <v>0</v>
      </c>
      <c r="G27" s="321">
        <v>9185</v>
      </c>
      <c r="H27" s="136">
        <f>IF(B27&lt;&gt;0,((+C28+D27)/B27*100),(IF(C28&lt;&gt;0,1,0)))</f>
        <v>0</v>
      </c>
      <c r="I27" s="136">
        <f>IF($B27&lt;&gt;0,(E27/$B27*100),(IF(E27&lt;&gt;0,1,0)))</f>
        <v>91.897637656357517</v>
      </c>
      <c r="J27" s="136">
        <f t="shared" si="5"/>
        <v>0</v>
      </c>
      <c r="K27" s="136">
        <f t="shared" si="5"/>
        <v>8.1023623436424899</v>
      </c>
    </row>
    <row r="28" spans="1:11">
      <c r="B28" s="111"/>
      <c r="C28" s="337"/>
      <c r="D28" s="337"/>
      <c r="E28" s="338"/>
      <c r="F28" s="335"/>
      <c r="G28" s="335"/>
      <c r="H28" s="136"/>
      <c r="I28" s="136"/>
      <c r="J28" s="136"/>
      <c r="K28" s="136"/>
    </row>
    <row r="29" spans="1:11">
      <c r="A29" t="s">
        <v>16</v>
      </c>
      <c r="B29" s="111">
        <f t="shared" si="1"/>
        <v>155978938</v>
      </c>
      <c r="C29" s="321">
        <v>98516217</v>
      </c>
      <c r="D29" s="321">
        <v>96045</v>
      </c>
      <c r="E29" s="129">
        <v>54921235</v>
      </c>
      <c r="F29" s="321">
        <v>2445441</v>
      </c>
      <c r="G29" s="321">
        <v>0</v>
      </c>
      <c r="H29" s="136">
        <f>IF(B29&lt;&gt;0,((+C30+D30)/B29*100),(IF(C30&lt;&gt;0,1,0)))</f>
        <v>74.708504554634175</v>
      </c>
      <c r="I29" s="136">
        <f>IF($B29&lt;&gt;0,(E29/$B29*100),(IF(E29&lt;&gt;0,1,0)))</f>
        <v>35.210673764171929</v>
      </c>
      <c r="J29" s="136">
        <f t="shared" ref="J29:K33" si="6">IF($B29&lt;&gt;0,(F29/$B29*100),(IF(F29&lt;&gt;0,1,0)))</f>
        <v>1.5678020579932401</v>
      </c>
      <c r="K29" s="136">
        <f t="shared" si="6"/>
        <v>0</v>
      </c>
    </row>
    <row r="30" spans="1:11">
      <c r="A30" t="s">
        <v>17</v>
      </c>
      <c r="B30" s="111">
        <f t="shared" si="1"/>
        <v>165762560</v>
      </c>
      <c r="C30" s="321">
        <v>100950351</v>
      </c>
      <c r="D30" s="321">
        <v>15579181</v>
      </c>
      <c r="E30" s="129">
        <v>49233028</v>
      </c>
      <c r="F30" s="321">
        <v>0</v>
      </c>
      <c r="G30" s="321">
        <v>0</v>
      </c>
      <c r="H30" s="136">
        <f>IF(B30&lt;&gt;0,((+C31+D31)/B30*100),(IF(C31&lt;&gt;0,1,0)))</f>
        <v>1.8084265288856542</v>
      </c>
      <c r="I30" s="136">
        <f>IF($B30&lt;&gt;0,(E30/$B30*100),(IF(E30&lt;&gt;0,1,0)))</f>
        <v>29.700933672839032</v>
      </c>
      <c r="J30" s="136">
        <f t="shared" si="6"/>
        <v>0</v>
      </c>
      <c r="K30" s="136">
        <f t="shared" si="6"/>
        <v>0</v>
      </c>
    </row>
    <row r="31" spans="1:11">
      <c r="A31" t="s">
        <v>18</v>
      </c>
      <c r="B31" s="111">
        <f t="shared" si="1"/>
        <v>3408520.04</v>
      </c>
      <c r="C31" s="321">
        <v>2996262.26</v>
      </c>
      <c r="D31" s="321">
        <v>1431.85</v>
      </c>
      <c r="E31" s="129">
        <v>410825.93</v>
      </c>
      <c r="F31" s="321">
        <v>0</v>
      </c>
      <c r="G31" s="321">
        <v>0</v>
      </c>
      <c r="H31" s="136">
        <f>IF(B31&lt;&gt;0,((+C32+D32)/B31*100),(IF(C32&lt;&gt;0,1,0)))</f>
        <v>83.932078920680183</v>
      </c>
      <c r="I31" s="136">
        <f>IF($B31&lt;&gt;0,(E31/$B31*100),(IF(E31&lt;&gt;0,1,0)))</f>
        <v>12.05291226628669</v>
      </c>
      <c r="J31" s="136">
        <f t="shared" si="6"/>
        <v>0</v>
      </c>
      <c r="K31" s="136">
        <f t="shared" si="6"/>
        <v>0</v>
      </c>
    </row>
    <row r="32" spans="1:11">
      <c r="A32" t="s">
        <v>19</v>
      </c>
      <c r="B32" s="111">
        <f t="shared" si="1"/>
        <v>4151411.79</v>
      </c>
      <c r="C32" s="321">
        <v>2860136.22</v>
      </c>
      <c r="D32" s="321">
        <v>705.51</v>
      </c>
      <c r="E32" s="129">
        <v>1040570.06</v>
      </c>
      <c r="F32" s="321">
        <v>0</v>
      </c>
      <c r="G32" s="321">
        <v>250000</v>
      </c>
      <c r="H32" s="136">
        <f>IF(B32&lt;&gt;0,((+C32+D32)/B32*100),(IF(C32&lt;&gt;0,1,0)))</f>
        <v>68.912501932264348</v>
      </c>
      <c r="I32" s="136">
        <f>IF($B32&lt;&gt;0,(E32/$B32*100),(IF(E32&lt;&gt;0,1,0)))</f>
        <v>25.065450324791801</v>
      </c>
      <c r="J32" s="136">
        <f t="shared" si="6"/>
        <v>0</v>
      </c>
      <c r="K32" s="136">
        <f t="shared" si="6"/>
        <v>6.0220477429438528</v>
      </c>
    </row>
    <row r="33" spans="1:11">
      <c r="A33" t="s">
        <v>20</v>
      </c>
      <c r="B33" s="111">
        <f t="shared" si="1"/>
        <v>305240</v>
      </c>
      <c r="C33" s="321">
        <v>192213</v>
      </c>
      <c r="D33" s="321">
        <v>0</v>
      </c>
      <c r="E33" s="129">
        <v>113027</v>
      </c>
      <c r="F33" s="321">
        <v>0</v>
      </c>
      <c r="G33" s="321">
        <v>0</v>
      </c>
      <c r="H33" s="136">
        <f t="shared" si="2"/>
        <v>62.971104704494827</v>
      </c>
      <c r="I33" s="136">
        <f>IF($B33&lt;&gt;0,(E33/$B33*100),(IF(E33&lt;&gt;0,1,0)))</f>
        <v>37.02889529550518</v>
      </c>
      <c r="J33" s="136">
        <f t="shared" si="6"/>
        <v>0</v>
      </c>
      <c r="K33" s="136">
        <f t="shared" si="6"/>
        <v>0</v>
      </c>
    </row>
    <row r="34" spans="1:11">
      <c r="B34" s="111"/>
      <c r="C34" s="335"/>
      <c r="D34" s="335"/>
      <c r="E34" s="338"/>
      <c r="F34" s="335"/>
      <c r="G34" s="335"/>
      <c r="H34" s="136"/>
      <c r="I34" s="136"/>
      <c r="J34" s="136"/>
      <c r="K34" s="136"/>
    </row>
    <row r="35" spans="1:11">
      <c r="A35" t="s">
        <v>21</v>
      </c>
      <c r="B35" s="111">
        <f t="shared" si="1"/>
        <v>1209590.1299999999</v>
      </c>
      <c r="C35" s="321">
        <v>792159</v>
      </c>
      <c r="D35" s="321">
        <v>0</v>
      </c>
      <c r="E35" s="129">
        <v>417431.13</v>
      </c>
      <c r="F35" s="321">
        <v>0</v>
      </c>
      <c r="G35" s="321">
        <v>0</v>
      </c>
      <c r="H35" s="136">
        <f t="shared" si="2"/>
        <v>65.489869696605425</v>
      </c>
      <c r="I35" s="136">
        <f>IF($B35&lt;&gt;0,(E35/$B35*100),(IF(E35&lt;&gt;0,1,0)))</f>
        <v>34.51013030339459</v>
      </c>
      <c r="J35" s="136">
        <f t="shared" ref="J35:K38" si="7">IF($B35&lt;&gt;0,(F35/$B35*100),(IF(F35&lt;&gt;0,1,0)))</f>
        <v>0</v>
      </c>
      <c r="K35" s="136">
        <f t="shared" si="7"/>
        <v>0</v>
      </c>
    </row>
    <row r="36" spans="1:11">
      <c r="A36" t="s">
        <v>22</v>
      </c>
      <c r="B36" s="111">
        <f t="shared" si="1"/>
        <v>14438889.27</v>
      </c>
      <c r="C36" s="321">
        <v>0</v>
      </c>
      <c r="D36" s="321">
        <v>0</v>
      </c>
      <c r="E36" s="129">
        <v>7888132.7000000002</v>
      </c>
      <c r="F36" s="321">
        <v>0</v>
      </c>
      <c r="G36" s="321">
        <v>6550756.5700000003</v>
      </c>
      <c r="H36" s="136">
        <f t="shared" si="2"/>
        <v>0</v>
      </c>
      <c r="I36" s="136">
        <f>IF($B36&lt;&gt;0,(E36/$B36*100),(IF(E36&lt;&gt;0,1,0)))</f>
        <v>54.631160004733523</v>
      </c>
      <c r="J36" s="136">
        <f t="shared" si="7"/>
        <v>0</v>
      </c>
      <c r="K36" s="136">
        <f t="shared" si="7"/>
        <v>45.368839995266477</v>
      </c>
    </row>
    <row r="37" spans="1:11">
      <c r="A37" t="s">
        <v>23</v>
      </c>
      <c r="B37" s="111">
        <f t="shared" si="1"/>
        <v>6810888.7699999996</v>
      </c>
      <c r="C37" s="321">
        <v>0</v>
      </c>
      <c r="D37" s="321">
        <v>0</v>
      </c>
      <c r="E37" s="129">
        <v>4340212.3499999996</v>
      </c>
      <c r="F37" s="321">
        <v>0</v>
      </c>
      <c r="G37" s="321">
        <v>2470676.42</v>
      </c>
      <c r="H37" s="136">
        <f t="shared" si="2"/>
        <v>0</v>
      </c>
      <c r="I37" s="136">
        <f>IF($B37&lt;&gt;0,(E37/$B37*100),(IF(E37&lt;&gt;0,1,0)))</f>
        <v>63.724610642848603</v>
      </c>
      <c r="J37" s="136">
        <f t="shared" si="7"/>
        <v>0</v>
      </c>
      <c r="K37" s="136">
        <f t="shared" si="7"/>
        <v>36.275389357151404</v>
      </c>
    </row>
    <row r="38" spans="1:11">
      <c r="A38" s="12" t="s">
        <v>24</v>
      </c>
      <c r="B38" s="113">
        <f t="shared" si="1"/>
        <v>840444.92</v>
      </c>
      <c r="C38" s="323">
        <v>531379.16</v>
      </c>
      <c r="D38" s="323">
        <v>12.76</v>
      </c>
      <c r="E38" s="131">
        <v>309053</v>
      </c>
      <c r="F38" s="323">
        <v>0</v>
      </c>
      <c r="G38" s="323">
        <v>0</v>
      </c>
      <c r="H38" s="324">
        <f t="shared" si="2"/>
        <v>63.227453382667839</v>
      </c>
      <c r="I38" s="324">
        <f>IF($B38&lt;&gt;0,(E38/$B38*100),(IF(E38&lt;&gt;0,1,0)))</f>
        <v>36.772546617332161</v>
      </c>
      <c r="J38" s="324">
        <f t="shared" si="7"/>
        <v>0</v>
      </c>
      <c r="K38" s="324">
        <f t="shared" si="7"/>
        <v>0</v>
      </c>
    </row>
    <row r="39" spans="1:11">
      <c r="A39" s="21" t="s">
        <v>206</v>
      </c>
      <c r="B39" s="3"/>
      <c r="C39" s="321"/>
      <c r="D39" s="321"/>
      <c r="E39" s="321"/>
      <c r="F39" s="321"/>
      <c r="G39" s="321"/>
      <c r="H39" s="325"/>
      <c r="I39" s="325"/>
      <c r="J39" s="325"/>
      <c r="K39" s="77"/>
    </row>
    <row r="40" spans="1:11">
      <c r="A40" s="21"/>
      <c r="C40" s="77"/>
      <c r="D40" s="326"/>
      <c r="E40" s="77"/>
      <c r="F40" s="77"/>
      <c r="G40" s="77"/>
      <c r="H40" s="77"/>
      <c r="I40" s="77"/>
      <c r="J40" s="77"/>
      <c r="K40" s="77"/>
    </row>
    <row r="41" spans="1:11">
      <c r="C41" s="77"/>
      <c r="D41" s="326"/>
      <c r="E41" s="77"/>
      <c r="F41" s="77"/>
      <c r="G41" s="77"/>
      <c r="H41" s="77"/>
      <c r="I41" s="77"/>
      <c r="J41" s="77"/>
      <c r="K41" s="77"/>
    </row>
    <row r="42" spans="1:11">
      <c r="D42" s="145"/>
    </row>
    <row r="43" spans="1:11">
      <c r="D43" s="145"/>
    </row>
    <row r="44" spans="1:11">
      <c r="D44" s="145"/>
    </row>
    <row r="45" spans="1:11">
      <c r="D45" s="145"/>
    </row>
  </sheetData>
  <sheetProtection password="CAF5" sheet="1" objects="1" scenarios="1"/>
  <mergeCells count="8">
    <mergeCell ref="A1:K1"/>
    <mergeCell ref="A3:K3"/>
    <mergeCell ref="C7:D7"/>
    <mergeCell ref="A4:J4"/>
    <mergeCell ref="C6:F6"/>
    <mergeCell ref="H6:K6"/>
    <mergeCell ref="E7:E8"/>
    <mergeCell ref="F7:F8"/>
  </mergeCells>
  <phoneticPr fontId="0" type="noConversion"/>
  <printOptions horizontalCentered="1"/>
  <pageMargins left="0.5" right="0.52" top="0.83" bottom="1" header="0.67" footer="0.5"/>
  <pageSetup scale="93" orientation="landscape" r:id="rId1"/>
  <headerFooter alignWithMargins="0">
    <oddFooter>&amp;L&amp;"Arial,Italic"&amp;9MSDE - LFRO  12 / 2013&amp;C- 4 -&amp;R&amp;"Arial,Italic"&amp;9Selected Financial Data-Part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3"/>
  <sheetViews>
    <sheetView zoomScaleNormal="100" workbookViewId="0">
      <selection sqref="A1:K1"/>
    </sheetView>
  </sheetViews>
  <sheetFormatPr defaultRowHeight="12.75"/>
  <cols>
    <col min="1" max="1" width="15.7109375" style="86" customWidth="1"/>
    <col min="2" max="3" width="14.85546875" style="86" customWidth="1"/>
    <col min="4" max="4" width="13.28515625" style="86" customWidth="1"/>
    <col min="5" max="5" width="14.85546875" style="86" customWidth="1"/>
    <col min="6" max="7" width="13.28515625" style="86" customWidth="1"/>
    <col min="8" max="8" width="2.7109375" style="86" customWidth="1"/>
    <col min="9" max="11" width="9.140625" style="86"/>
    <col min="12" max="12" width="11.5703125" style="86" customWidth="1"/>
    <col min="13" max="13" width="9.140625" style="86"/>
  </cols>
  <sheetData>
    <row r="1" spans="1:56">
      <c r="A1" s="446" t="s">
        <v>88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77"/>
      <c r="M1" s="77"/>
    </row>
    <row r="2" spans="1:56">
      <c r="A2" s="14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56">
      <c r="A3" s="446" t="s">
        <v>268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77"/>
      <c r="M3" s="77"/>
    </row>
    <row r="4" spans="1:56">
      <c r="A4" s="446"/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77"/>
      <c r="M4" s="77"/>
    </row>
    <row r="5" spans="1:56" ht="13.5" thickBot="1">
      <c r="A5" s="7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77"/>
    </row>
    <row r="6" spans="1:56" ht="15" customHeight="1" thickTop="1">
      <c r="A6" s="122" t="s">
        <v>77</v>
      </c>
      <c r="B6" s="124" t="s">
        <v>43</v>
      </c>
      <c r="C6" s="455" t="s">
        <v>80</v>
      </c>
      <c r="D6" s="455"/>
      <c r="E6" s="455"/>
      <c r="F6" s="455"/>
      <c r="G6" s="148"/>
      <c r="H6" s="148"/>
      <c r="I6" s="455" t="s">
        <v>82</v>
      </c>
      <c r="J6" s="455"/>
      <c r="K6" s="455"/>
      <c r="L6" s="455"/>
      <c r="M6" s="14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</row>
    <row r="7" spans="1:56">
      <c r="A7" s="148" t="s">
        <v>33</v>
      </c>
      <c r="B7" s="125" t="s">
        <v>83</v>
      </c>
      <c r="C7" s="454" t="s">
        <v>77</v>
      </c>
      <c r="D7" s="454"/>
      <c r="E7" s="135"/>
      <c r="F7" s="135"/>
      <c r="G7" s="125" t="s">
        <v>79</v>
      </c>
      <c r="H7" s="125"/>
      <c r="I7" s="124"/>
      <c r="J7" s="124"/>
      <c r="K7" s="124"/>
      <c r="L7" s="124" t="s">
        <v>79</v>
      </c>
      <c r="M7" s="77"/>
    </row>
    <row r="8" spans="1:56" ht="13.5" thickBot="1">
      <c r="A8" s="150" t="s">
        <v>132</v>
      </c>
      <c r="B8" s="126" t="s">
        <v>84</v>
      </c>
      <c r="C8" s="151" t="s">
        <v>78</v>
      </c>
      <c r="D8" s="151" t="s">
        <v>204</v>
      </c>
      <c r="E8" s="151" t="s">
        <v>44</v>
      </c>
      <c r="F8" s="151" t="s">
        <v>51</v>
      </c>
      <c r="G8" s="151" t="s">
        <v>81</v>
      </c>
      <c r="H8" s="151"/>
      <c r="I8" s="126" t="s">
        <v>77</v>
      </c>
      <c r="J8" s="126" t="s">
        <v>44</v>
      </c>
      <c r="K8" s="152" t="s">
        <v>51</v>
      </c>
      <c r="L8" s="151" t="s">
        <v>81</v>
      </c>
      <c r="M8" s="77"/>
    </row>
    <row r="9" spans="1:56">
      <c r="A9" s="148" t="s">
        <v>0</v>
      </c>
      <c r="B9" s="82">
        <f t="shared" ref="B9:G9" si="0">SUM(B11:B38)</f>
        <v>768194547.76999998</v>
      </c>
      <c r="C9" s="311">
        <f>SUM(C11:C38)</f>
        <v>754707380.11000001</v>
      </c>
      <c r="D9" s="311">
        <f>SUM(D11:D38)</f>
        <v>12213557.66</v>
      </c>
      <c r="E9" s="311">
        <f t="shared" si="0"/>
        <v>0</v>
      </c>
      <c r="F9" s="311">
        <f t="shared" si="0"/>
        <v>0</v>
      </c>
      <c r="G9" s="311">
        <f t="shared" si="0"/>
        <v>1273610</v>
      </c>
      <c r="H9" s="82"/>
      <c r="I9" s="153">
        <f>IF(B9&lt;&gt;0,((+C9+D9)/B9),(IF(C9&lt;&gt;0,1,0)))</f>
        <v>0.99834207362744609</v>
      </c>
      <c r="J9" s="153">
        <f>IF($B9&lt;&gt;0,(E9/$B9),(IF(E9&lt;&gt;0,1,0)))</f>
        <v>0</v>
      </c>
      <c r="K9" s="153">
        <f>IF($B9&lt;&gt;0,(F9/$B9),(IF(F9&lt;&gt;0,1,0)))</f>
        <v>0</v>
      </c>
      <c r="L9" s="153">
        <f>IF($B9&lt;&gt;0,(G9/$B9),(IF(G9&lt;&gt;0,1,0)))</f>
        <v>1.6579263725539004E-3</v>
      </c>
      <c r="M9" s="77"/>
    </row>
    <row r="10" spans="1:56">
      <c r="A10" s="148"/>
      <c r="B10" s="135"/>
      <c r="C10" s="276"/>
      <c r="D10" s="196"/>
      <c r="E10" s="225"/>
      <c r="F10" s="225"/>
      <c r="G10" s="225"/>
      <c r="H10" s="124"/>
      <c r="I10" s="154"/>
      <c r="J10" s="154"/>
      <c r="K10" s="136"/>
      <c r="L10" s="136"/>
      <c r="M10" s="77"/>
    </row>
    <row r="11" spans="1:56">
      <c r="A11" s="77" t="s">
        <v>1</v>
      </c>
      <c r="B11" s="123">
        <f t="shared" ref="B11:B33" si="1">SUM(C11:G11)</f>
        <v>0</v>
      </c>
      <c r="C11" s="130">
        <v>0</v>
      </c>
      <c r="D11" s="130">
        <v>0</v>
      </c>
      <c r="E11" s="130">
        <v>0</v>
      </c>
      <c r="F11" s="130">
        <v>0</v>
      </c>
      <c r="G11" s="130">
        <v>0</v>
      </c>
      <c r="H11" s="87"/>
      <c r="I11" s="89">
        <f t="shared" ref="I11:I38" si="2">IF(B11&lt;&gt;0,((+C11+D11)/B11*100),(IF(C11&lt;&gt;0,1,0)))</f>
        <v>0</v>
      </c>
      <c r="J11" s="89">
        <f>IF($B11&lt;&gt;0,(E11/$B11*100),(IF(E11&lt;&gt;0,1,0)))</f>
        <v>0</v>
      </c>
      <c r="K11" s="89">
        <f t="shared" ref="K11:L15" si="3">IF($B11&lt;&gt;0,(F11/$B11*100),(IF(F11&lt;&gt;0,1,0)))</f>
        <v>0</v>
      </c>
      <c r="L11" s="89">
        <f t="shared" si="3"/>
        <v>0</v>
      </c>
    </row>
    <row r="12" spans="1:56">
      <c r="A12" s="86" t="s">
        <v>2</v>
      </c>
      <c r="B12" s="87">
        <f t="shared" si="1"/>
        <v>58599882</v>
      </c>
      <c r="C12" s="322">
        <v>58599882</v>
      </c>
      <c r="D12" s="130">
        <v>0</v>
      </c>
      <c r="E12" s="130">
        <v>0</v>
      </c>
      <c r="F12" s="130">
        <v>0</v>
      </c>
      <c r="G12" s="130">
        <v>0</v>
      </c>
      <c r="H12" s="90"/>
      <c r="I12" s="89">
        <f t="shared" si="2"/>
        <v>100</v>
      </c>
      <c r="J12" s="89">
        <f>IF($B12&lt;&gt;0,(E12/$B12*100),(IF(E12&lt;&gt;0,1,0)))</f>
        <v>0</v>
      </c>
      <c r="K12" s="89">
        <f t="shared" si="3"/>
        <v>0</v>
      </c>
      <c r="L12" s="89">
        <f t="shared" si="3"/>
        <v>0</v>
      </c>
    </row>
    <row r="13" spans="1:56">
      <c r="A13" s="86" t="s">
        <v>205</v>
      </c>
      <c r="B13" s="87">
        <f t="shared" si="1"/>
        <v>11628341.039999999</v>
      </c>
      <c r="C13" s="130">
        <v>11628341.039999999</v>
      </c>
      <c r="D13" s="130">
        <v>0</v>
      </c>
      <c r="E13" s="130">
        <v>0</v>
      </c>
      <c r="F13" s="130">
        <v>0</v>
      </c>
      <c r="G13" s="130">
        <v>0</v>
      </c>
      <c r="H13" s="90"/>
      <c r="I13" s="89">
        <f t="shared" si="2"/>
        <v>100</v>
      </c>
      <c r="J13" s="89">
        <f>IF($B13&lt;&gt;0,(E13/$B13*100),(IF(E13&lt;&gt;0,1,0)))</f>
        <v>0</v>
      </c>
      <c r="K13" s="89">
        <f t="shared" si="3"/>
        <v>0</v>
      </c>
      <c r="L13" s="89">
        <f t="shared" si="3"/>
        <v>0</v>
      </c>
    </row>
    <row r="14" spans="1:56">
      <c r="A14" s="86" t="s">
        <v>4</v>
      </c>
      <c r="B14" s="87">
        <f t="shared" si="1"/>
        <v>33248500</v>
      </c>
      <c r="C14" s="322">
        <v>33248500</v>
      </c>
      <c r="D14" s="130">
        <v>0</v>
      </c>
      <c r="E14" s="130">
        <v>0</v>
      </c>
      <c r="F14" s="130">
        <v>0</v>
      </c>
      <c r="G14" s="130">
        <v>0</v>
      </c>
      <c r="H14" s="90"/>
      <c r="I14" s="89">
        <f t="shared" si="2"/>
        <v>100</v>
      </c>
      <c r="J14" s="89">
        <f>IF($B14&lt;&gt;0,(E14/$B14*100),(IF(E14&lt;&gt;0,1,0)))</f>
        <v>0</v>
      </c>
      <c r="K14" s="89">
        <f t="shared" si="3"/>
        <v>0</v>
      </c>
      <c r="L14" s="89">
        <f t="shared" si="3"/>
        <v>0</v>
      </c>
    </row>
    <row r="15" spans="1:56">
      <c r="A15" s="86" t="s">
        <v>5</v>
      </c>
      <c r="B15" s="87">
        <f t="shared" si="1"/>
        <v>6857928</v>
      </c>
      <c r="C15" s="322">
        <v>6857928</v>
      </c>
      <c r="D15" s="130">
        <v>0</v>
      </c>
      <c r="E15" s="130">
        <v>0</v>
      </c>
      <c r="F15" s="130">
        <v>0</v>
      </c>
      <c r="G15" s="130">
        <v>0</v>
      </c>
      <c r="H15" s="90"/>
      <c r="I15" s="89">
        <f t="shared" si="2"/>
        <v>100</v>
      </c>
      <c r="J15" s="89">
        <f>IF($B15&lt;&gt;0,(E15/$B15*100),(IF(E15&lt;&gt;0,1,0)))</f>
        <v>0</v>
      </c>
      <c r="K15" s="89">
        <f t="shared" si="3"/>
        <v>0</v>
      </c>
      <c r="L15" s="89">
        <f t="shared" si="3"/>
        <v>0</v>
      </c>
    </row>
    <row r="16" spans="1:56">
      <c r="B16" s="87"/>
      <c r="C16" s="335"/>
      <c r="D16" s="340"/>
      <c r="E16" s="340"/>
      <c r="F16" s="340"/>
      <c r="G16" s="340"/>
      <c r="H16" s="90"/>
      <c r="I16" s="89"/>
      <c r="J16" s="89"/>
      <c r="K16" s="89"/>
      <c r="L16" s="89"/>
    </row>
    <row r="17" spans="1:12">
      <c r="A17" s="86" t="s">
        <v>6</v>
      </c>
      <c r="B17" s="87">
        <f t="shared" si="1"/>
        <v>1942238.66</v>
      </c>
      <c r="C17" s="130">
        <v>0</v>
      </c>
      <c r="D17" s="321">
        <v>1942238.66</v>
      </c>
      <c r="E17" s="130">
        <v>0</v>
      </c>
      <c r="F17" s="130">
        <v>0</v>
      </c>
      <c r="G17" s="130">
        <v>0</v>
      </c>
      <c r="H17" s="90"/>
      <c r="I17" s="89">
        <f t="shared" si="2"/>
        <v>100</v>
      </c>
      <c r="J17" s="89">
        <f>IF($B17&lt;&gt;0,(E17/$B17*100),(IF(E17&lt;&gt;0,1,0)))</f>
        <v>0</v>
      </c>
      <c r="K17" s="89">
        <f t="shared" ref="K17:L21" si="4">IF($B17&lt;&gt;0,(F17/$B17*100),(IF(F17&lt;&gt;0,1,0)))</f>
        <v>0</v>
      </c>
      <c r="L17" s="89">
        <f t="shared" si="4"/>
        <v>0</v>
      </c>
    </row>
    <row r="18" spans="1:12">
      <c r="A18" s="86" t="s">
        <v>7</v>
      </c>
      <c r="B18" s="87">
        <f t="shared" si="1"/>
        <v>12933278.02</v>
      </c>
      <c r="C18" s="321">
        <v>12933278.02</v>
      </c>
      <c r="D18" s="130">
        <v>0</v>
      </c>
      <c r="E18" s="130">
        <v>0</v>
      </c>
      <c r="F18" s="130">
        <v>0</v>
      </c>
      <c r="G18" s="130">
        <v>0</v>
      </c>
      <c r="H18" s="90"/>
      <c r="I18" s="89">
        <f t="shared" si="2"/>
        <v>100</v>
      </c>
      <c r="J18" s="89">
        <f>IF($B18&lt;&gt;0,(E18/$B18*100),(IF(E18&lt;&gt;0,1,0)))</f>
        <v>0</v>
      </c>
      <c r="K18" s="89">
        <f t="shared" si="4"/>
        <v>0</v>
      </c>
      <c r="L18" s="89">
        <f t="shared" si="4"/>
        <v>0</v>
      </c>
    </row>
    <row r="19" spans="1:12">
      <c r="A19" s="86" t="s">
        <v>8</v>
      </c>
      <c r="B19" s="87">
        <f t="shared" si="1"/>
        <v>7873631</v>
      </c>
      <c r="C19" s="130">
        <v>0</v>
      </c>
      <c r="D19" s="130">
        <v>7873631</v>
      </c>
      <c r="E19" s="130">
        <v>0</v>
      </c>
      <c r="F19" s="130">
        <v>0</v>
      </c>
      <c r="G19" s="130">
        <v>0</v>
      </c>
      <c r="H19" s="90"/>
      <c r="I19" s="89">
        <f>IF(B19&lt;&gt;0,((+C19+D19)/B19*100),(IF(C19&lt;&gt;0,1,0)))</f>
        <v>100</v>
      </c>
      <c r="J19" s="89">
        <f>IF($B19&lt;&gt;0,(E19/$B19*100),(IF(E19&lt;&gt;0,1,0)))</f>
        <v>0</v>
      </c>
      <c r="K19" s="89">
        <f t="shared" si="4"/>
        <v>0</v>
      </c>
      <c r="L19" s="89">
        <f t="shared" si="4"/>
        <v>0</v>
      </c>
    </row>
    <row r="20" spans="1:12">
      <c r="A20" s="86" t="s">
        <v>9</v>
      </c>
      <c r="B20" s="87">
        <f t="shared" si="1"/>
        <v>14491431</v>
      </c>
      <c r="C20" s="321">
        <v>14491431</v>
      </c>
      <c r="D20" s="130">
        <v>0</v>
      </c>
      <c r="E20" s="130">
        <v>0</v>
      </c>
      <c r="F20" s="130">
        <v>0</v>
      </c>
      <c r="G20" s="130">
        <v>0</v>
      </c>
      <c r="H20" s="90"/>
      <c r="I20" s="89">
        <f t="shared" si="2"/>
        <v>100</v>
      </c>
      <c r="J20" s="89">
        <f>IF($B20&lt;&gt;0,(E20/$B20*100),(IF(E20&lt;&gt;0,1,0)))</f>
        <v>0</v>
      </c>
      <c r="K20" s="89">
        <f t="shared" si="4"/>
        <v>0</v>
      </c>
      <c r="L20" s="89">
        <f t="shared" si="4"/>
        <v>0</v>
      </c>
    </row>
    <row r="21" spans="1:12">
      <c r="A21" s="86" t="s">
        <v>10</v>
      </c>
      <c r="B21" s="87">
        <f t="shared" si="1"/>
        <v>2607727</v>
      </c>
      <c r="C21" s="321">
        <v>2607727</v>
      </c>
      <c r="D21" s="130">
        <v>0</v>
      </c>
      <c r="E21" s="130">
        <v>0</v>
      </c>
      <c r="F21" s="130">
        <v>0</v>
      </c>
      <c r="G21" s="130">
        <v>0</v>
      </c>
      <c r="H21" s="90"/>
      <c r="I21" s="89">
        <f t="shared" si="2"/>
        <v>100</v>
      </c>
      <c r="J21" s="89">
        <f>IF($B21&lt;&gt;0,(E21/$B21*100),(IF(E21&lt;&gt;0,1,0)))</f>
        <v>0</v>
      </c>
      <c r="K21" s="89">
        <f t="shared" si="4"/>
        <v>0</v>
      </c>
      <c r="L21" s="89">
        <f t="shared" si="4"/>
        <v>0</v>
      </c>
    </row>
    <row r="22" spans="1:12">
      <c r="B22" s="87"/>
      <c r="C22" s="335"/>
      <c r="D22" s="340"/>
      <c r="E22" s="340"/>
      <c r="F22" s="340"/>
      <c r="G22" s="340"/>
      <c r="H22" s="90"/>
      <c r="I22" s="89"/>
      <c r="J22" s="89"/>
      <c r="K22" s="89"/>
      <c r="L22" s="89"/>
    </row>
    <row r="23" spans="1:12">
      <c r="A23" s="86" t="s">
        <v>11</v>
      </c>
      <c r="B23" s="87">
        <f t="shared" si="1"/>
        <v>61014917</v>
      </c>
      <c r="C23" s="321">
        <v>61014917</v>
      </c>
      <c r="D23" s="130">
        <v>0</v>
      </c>
      <c r="E23" s="130">
        <v>0</v>
      </c>
      <c r="F23" s="130">
        <v>0</v>
      </c>
      <c r="G23" s="130">
        <v>0</v>
      </c>
      <c r="H23" s="90"/>
      <c r="I23" s="89">
        <f t="shared" si="2"/>
        <v>100</v>
      </c>
      <c r="J23" s="89">
        <f>IF($B23&lt;&gt;0,(E23/$B23*100),(IF(E23&lt;&gt;0,1,0)))</f>
        <v>0</v>
      </c>
      <c r="K23" s="89">
        <f t="shared" ref="K23:L27" si="5">IF($B23&lt;&gt;0,(F23/$B23*100),(IF(F23&lt;&gt;0,1,0)))</f>
        <v>0</v>
      </c>
      <c r="L23" s="89">
        <f t="shared" si="5"/>
        <v>0</v>
      </c>
    </row>
    <row r="24" spans="1:12">
      <c r="A24" s="86" t="s">
        <v>12</v>
      </c>
      <c r="B24" s="87">
        <f t="shared" si="1"/>
        <v>0</v>
      </c>
      <c r="C24" s="130">
        <v>0</v>
      </c>
      <c r="D24" s="130">
        <v>0</v>
      </c>
      <c r="E24" s="130">
        <v>0</v>
      </c>
      <c r="F24" s="130">
        <v>0</v>
      </c>
      <c r="G24" s="130">
        <v>0</v>
      </c>
      <c r="H24" s="90"/>
      <c r="I24" s="89">
        <f t="shared" si="2"/>
        <v>0</v>
      </c>
      <c r="J24" s="89">
        <f>IF($B24&lt;&gt;0,(E24/$B24*100),(IF(E24&lt;&gt;0,1,0)))</f>
        <v>0</v>
      </c>
      <c r="K24" s="89">
        <f t="shared" si="5"/>
        <v>0</v>
      </c>
      <c r="L24" s="89">
        <f t="shared" si="5"/>
        <v>0</v>
      </c>
    </row>
    <row r="25" spans="1:12">
      <c r="A25" s="86" t="s">
        <v>13</v>
      </c>
      <c r="B25" s="87">
        <f t="shared" si="1"/>
        <v>29736814.449999999</v>
      </c>
      <c r="C25" s="388">
        <v>29736814.449999999</v>
      </c>
      <c r="D25" s="130">
        <v>0</v>
      </c>
      <c r="E25" s="130">
        <v>0</v>
      </c>
      <c r="F25" s="130">
        <v>0</v>
      </c>
      <c r="G25" s="130">
        <v>0</v>
      </c>
      <c r="H25" s="90"/>
      <c r="I25" s="89">
        <f>IF(B25&lt;&gt;0,((+C25+D25)/B25*100),(IF(C25&lt;&gt;0,1,0)))</f>
        <v>100</v>
      </c>
      <c r="J25" s="89">
        <f>IF($B25&lt;&gt;0,(E25/$B25*100),(IF(E25&lt;&gt;0,1,0)))</f>
        <v>0</v>
      </c>
      <c r="K25" s="89">
        <f t="shared" si="5"/>
        <v>0</v>
      </c>
      <c r="L25" s="89">
        <f t="shared" si="5"/>
        <v>0</v>
      </c>
    </row>
    <row r="26" spans="1:12">
      <c r="A26" s="86" t="s">
        <v>14</v>
      </c>
      <c r="B26" s="87">
        <f t="shared" si="1"/>
        <v>39610694</v>
      </c>
      <c r="C26" s="146">
        <v>39610694</v>
      </c>
      <c r="D26" s="130">
        <v>0</v>
      </c>
      <c r="E26" s="130">
        <v>0</v>
      </c>
      <c r="F26" s="130">
        <v>0</v>
      </c>
      <c r="G26" s="130">
        <v>0</v>
      </c>
      <c r="H26" s="90"/>
      <c r="I26" s="89">
        <f t="shared" si="2"/>
        <v>100</v>
      </c>
      <c r="J26" s="89">
        <f>IF($B26&lt;&gt;0,(E26/$B26*100),(IF(E26&lt;&gt;0,1,0)))</f>
        <v>0</v>
      </c>
      <c r="K26" s="89">
        <f t="shared" si="5"/>
        <v>0</v>
      </c>
      <c r="L26" s="89">
        <f t="shared" si="5"/>
        <v>0</v>
      </c>
    </row>
    <row r="27" spans="1:12">
      <c r="A27" s="86" t="s">
        <v>15</v>
      </c>
      <c r="B27" s="87">
        <f t="shared" si="1"/>
        <v>0</v>
      </c>
      <c r="C27" s="130">
        <v>0</v>
      </c>
      <c r="D27" s="390">
        <v>0</v>
      </c>
      <c r="E27" s="130">
        <v>0</v>
      </c>
      <c r="F27" s="130">
        <v>0</v>
      </c>
      <c r="G27" s="130">
        <v>0</v>
      </c>
      <c r="H27" s="90"/>
      <c r="I27" s="89">
        <f t="shared" si="2"/>
        <v>0</v>
      </c>
      <c r="J27" s="89">
        <f>IF($B27&lt;&gt;0,(E27/$B27*100),(IF(E27&lt;&gt;0,1,0)))</f>
        <v>0</v>
      </c>
      <c r="K27" s="89">
        <f t="shared" si="5"/>
        <v>0</v>
      </c>
      <c r="L27" s="89">
        <f t="shared" si="5"/>
        <v>0</v>
      </c>
    </row>
    <row r="28" spans="1:12">
      <c r="B28" s="87"/>
      <c r="C28" s="335"/>
      <c r="D28" s="340"/>
      <c r="E28" s="340"/>
      <c r="F28" s="340"/>
      <c r="G28" s="340"/>
      <c r="H28" s="90"/>
      <c r="I28" s="89"/>
      <c r="J28" s="89"/>
      <c r="K28" s="89"/>
      <c r="L28" s="89"/>
    </row>
    <row r="29" spans="1:12">
      <c r="A29" s="86" t="s">
        <v>16</v>
      </c>
      <c r="B29" s="87">
        <f t="shared" si="1"/>
        <v>307201990</v>
      </c>
      <c r="C29" s="321">
        <v>304804302</v>
      </c>
      <c r="D29" s="322">
        <v>2397688</v>
      </c>
      <c r="E29" s="130">
        <v>0</v>
      </c>
      <c r="F29" s="130">
        <v>0</v>
      </c>
      <c r="G29" s="130">
        <v>0</v>
      </c>
      <c r="H29" s="90"/>
      <c r="I29" s="89">
        <f t="shared" si="2"/>
        <v>100</v>
      </c>
      <c r="J29" s="89">
        <f>IF($B29&lt;&gt;0,(E29/$B29*100),(IF(E29&lt;&gt;0,1,0)))</f>
        <v>0</v>
      </c>
      <c r="K29" s="89">
        <f t="shared" ref="K29:L33" si="6">IF($B29&lt;&gt;0,(F29/$B29*100),(IF(F29&lt;&gt;0,1,0)))</f>
        <v>0</v>
      </c>
      <c r="L29" s="89">
        <f t="shared" si="6"/>
        <v>0</v>
      </c>
    </row>
    <row r="30" spans="1:12">
      <c r="A30" s="86" t="s">
        <v>17</v>
      </c>
      <c r="B30" s="87">
        <f t="shared" si="1"/>
        <v>145755985</v>
      </c>
      <c r="C30" s="321">
        <v>145755985</v>
      </c>
      <c r="D30" s="130">
        <v>0</v>
      </c>
      <c r="E30" s="130">
        <v>0</v>
      </c>
      <c r="F30" s="130">
        <v>0</v>
      </c>
      <c r="G30" s="130">
        <v>0</v>
      </c>
      <c r="H30" s="90"/>
      <c r="I30" s="89">
        <f t="shared" si="2"/>
        <v>100</v>
      </c>
      <c r="J30" s="89">
        <f>IF($B30&lt;&gt;0,(E30/$B30*100),(IF(E30&lt;&gt;0,1,0)))</f>
        <v>0</v>
      </c>
      <c r="K30" s="89">
        <f t="shared" si="6"/>
        <v>0</v>
      </c>
      <c r="L30" s="89">
        <f t="shared" si="6"/>
        <v>0</v>
      </c>
    </row>
    <row r="31" spans="1:12">
      <c r="A31" s="86" t="s">
        <v>18</v>
      </c>
      <c r="B31" s="87">
        <f t="shared" si="1"/>
        <v>8064027</v>
      </c>
      <c r="C31" s="321">
        <v>8064027</v>
      </c>
      <c r="D31" s="130">
        <v>0</v>
      </c>
      <c r="E31" s="130">
        <v>0</v>
      </c>
      <c r="F31" s="130">
        <v>0</v>
      </c>
      <c r="G31" s="130">
        <v>0</v>
      </c>
      <c r="H31" s="90"/>
      <c r="I31" s="89">
        <f>IF(B31&lt;&gt;0,((+C31+D31)/B31*100),(IF(C31&lt;&gt;0,1,0)))</f>
        <v>100</v>
      </c>
      <c r="J31" s="89">
        <f>IF($B31&lt;&gt;0,(E31/$B31*100),(IF(E31&lt;&gt;0,1,0)))</f>
        <v>0</v>
      </c>
      <c r="K31" s="89">
        <f t="shared" si="6"/>
        <v>0</v>
      </c>
      <c r="L31" s="89">
        <f t="shared" si="6"/>
        <v>0</v>
      </c>
    </row>
    <row r="32" spans="1:12">
      <c r="A32" s="86" t="s">
        <v>19</v>
      </c>
      <c r="B32" s="87">
        <f t="shared" si="1"/>
        <v>6080089</v>
      </c>
      <c r="C32" s="321">
        <v>6080089</v>
      </c>
      <c r="D32" s="130">
        <v>0</v>
      </c>
      <c r="E32" s="130">
        <v>0</v>
      </c>
      <c r="F32" s="130">
        <v>0</v>
      </c>
      <c r="G32" s="130">
        <v>0</v>
      </c>
      <c r="H32" s="90"/>
      <c r="I32" s="89">
        <f t="shared" si="2"/>
        <v>100</v>
      </c>
      <c r="J32" s="89">
        <f>IF($B32&lt;&gt;0,(E32/$B32*100),(IF(E32&lt;&gt;0,1,0)))</f>
        <v>0</v>
      </c>
      <c r="K32" s="89">
        <f t="shared" si="6"/>
        <v>0</v>
      </c>
      <c r="L32" s="89">
        <f t="shared" si="6"/>
        <v>0</v>
      </c>
    </row>
    <row r="33" spans="1:12">
      <c r="A33" s="86" t="s">
        <v>20</v>
      </c>
      <c r="B33" s="123">
        <f t="shared" si="1"/>
        <v>1273610</v>
      </c>
      <c r="C33" s="321">
        <v>0</v>
      </c>
      <c r="D33" s="130">
        <v>0</v>
      </c>
      <c r="E33" s="130">
        <v>0</v>
      </c>
      <c r="F33" s="130">
        <v>0</v>
      </c>
      <c r="G33" s="130">
        <v>1273610</v>
      </c>
      <c r="H33" s="90"/>
      <c r="I33" s="89">
        <f t="shared" si="2"/>
        <v>0</v>
      </c>
      <c r="J33" s="89">
        <f>IF($B33&lt;&gt;0,(E33/$B33*100),(IF(E33&lt;&gt;0,1,0)))</f>
        <v>0</v>
      </c>
      <c r="K33" s="89">
        <f t="shared" si="6"/>
        <v>0</v>
      </c>
      <c r="L33" s="89">
        <f t="shared" si="6"/>
        <v>100</v>
      </c>
    </row>
    <row r="34" spans="1:12">
      <c r="B34" s="87"/>
      <c r="C34" s="335"/>
      <c r="D34" s="340"/>
      <c r="E34" s="340"/>
      <c r="F34" s="340"/>
      <c r="G34" s="340"/>
      <c r="H34" s="90"/>
      <c r="I34" s="89"/>
      <c r="J34" s="89"/>
      <c r="K34" s="89"/>
      <c r="L34" s="89"/>
    </row>
    <row r="35" spans="1:12">
      <c r="A35" s="86" t="s">
        <v>21</v>
      </c>
      <c r="B35" s="87">
        <f>SUM(C35:G35)</f>
        <v>3361657.6</v>
      </c>
      <c r="C35" s="321">
        <v>3361657.6</v>
      </c>
      <c r="D35" s="130">
        <v>0</v>
      </c>
      <c r="E35" s="130">
        <v>0</v>
      </c>
      <c r="F35" s="130">
        <v>0</v>
      </c>
      <c r="G35" s="130">
        <v>0</v>
      </c>
      <c r="H35" s="90"/>
      <c r="I35" s="89">
        <f t="shared" si="2"/>
        <v>100</v>
      </c>
      <c r="J35" s="89">
        <f>IF($B35&lt;&gt;0,(E35/$B35*100),(IF(E35&lt;&gt;0,1,0)))</f>
        <v>0</v>
      </c>
      <c r="K35" s="89">
        <f t="shared" ref="K35:L38" si="7">IF($B35&lt;&gt;0,(F35/$B35*100),(IF(F35&lt;&gt;0,1,0)))</f>
        <v>0</v>
      </c>
      <c r="L35" s="89">
        <f t="shared" si="7"/>
        <v>0</v>
      </c>
    </row>
    <row r="36" spans="1:12">
      <c r="A36" s="86" t="s">
        <v>22</v>
      </c>
      <c r="B36" s="87">
        <f>SUM(C36:G36)</f>
        <v>5690068</v>
      </c>
      <c r="C36" s="321">
        <v>5690068</v>
      </c>
      <c r="D36" s="130">
        <v>0</v>
      </c>
      <c r="E36" s="130">
        <v>0</v>
      </c>
      <c r="F36" s="130">
        <v>0</v>
      </c>
      <c r="G36" s="130">
        <v>0</v>
      </c>
      <c r="H36" s="90"/>
      <c r="I36" s="89">
        <f t="shared" si="2"/>
        <v>100</v>
      </c>
      <c r="J36" s="89">
        <f>IF($B36&lt;&gt;0,(E36/$B36*100),(IF(E36&lt;&gt;0,1,0)))</f>
        <v>0</v>
      </c>
      <c r="K36" s="89">
        <f t="shared" si="7"/>
        <v>0</v>
      </c>
      <c r="L36" s="89">
        <f t="shared" si="7"/>
        <v>0</v>
      </c>
    </row>
    <row r="37" spans="1:12">
      <c r="A37" s="86" t="s">
        <v>23</v>
      </c>
      <c r="B37" s="90">
        <f>SUM(C37:G37)</f>
        <v>10221739</v>
      </c>
      <c r="C37" s="321">
        <v>10221739</v>
      </c>
      <c r="D37" s="130">
        <v>0</v>
      </c>
      <c r="E37" s="130">
        <v>0</v>
      </c>
      <c r="F37" s="130">
        <v>0</v>
      </c>
      <c r="G37" s="130">
        <v>0</v>
      </c>
      <c r="H37" s="90"/>
      <c r="I37" s="89">
        <f t="shared" si="2"/>
        <v>100</v>
      </c>
      <c r="J37" s="89">
        <f>IF($B37&lt;&gt;0,(E37/$B37*100),(IF(E37&lt;&gt;0,1,0)))</f>
        <v>0</v>
      </c>
      <c r="K37" s="89">
        <f t="shared" si="7"/>
        <v>0</v>
      </c>
      <c r="L37" s="89">
        <f t="shared" si="7"/>
        <v>0</v>
      </c>
    </row>
    <row r="38" spans="1:12">
      <c r="A38" s="92" t="s">
        <v>24</v>
      </c>
      <c r="B38" s="93">
        <f>SUM(C38:G38)</f>
        <v>0</v>
      </c>
      <c r="C38" s="323">
        <v>0</v>
      </c>
      <c r="D38" s="131">
        <v>0</v>
      </c>
      <c r="E38" s="131">
        <v>0</v>
      </c>
      <c r="F38" s="131">
        <v>0</v>
      </c>
      <c r="G38" s="131">
        <v>0</v>
      </c>
      <c r="H38" s="93"/>
      <c r="I38" s="95">
        <f t="shared" si="2"/>
        <v>0</v>
      </c>
      <c r="J38" s="95">
        <f>IF($B38&lt;&gt;0,(E38/$B38*100),(IF(E38&lt;&gt;0,1,0)))</f>
        <v>0</v>
      </c>
      <c r="K38" s="95">
        <f t="shared" si="7"/>
        <v>0</v>
      </c>
      <c r="L38" s="95">
        <f t="shared" si="7"/>
        <v>0</v>
      </c>
    </row>
    <row r="39" spans="1:12">
      <c r="D39" s="90"/>
      <c r="I39" s="140"/>
      <c r="J39" s="85"/>
      <c r="K39" s="85"/>
      <c r="L39" s="85"/>
    </row>
    <row r="40" spans="1:12">
      <c r="A40" s="86" t="s">
        <v>207</v>
      </c>
      <c r="D40" s="90"/>
      <c r="E40" s="130"/>
    </row>
    <row r="41" spans="1:12">
      <c r="A41" s="86" t="s">
        <v>208</v>
      </c>
      <c r="D41" s="90"/>
    </row>
    <row r="42" spans="1:12">
      <c r="A42" s="137" t="s">
        <v>264</v>
      </c>
      <c r="D42" s="90"/>
    </row>
    <row r="43" spans="1:12">
      <c r="D43" s="90"/>
    </row>
  </sheetData>
  <sheetProtection password="CAF5" sheet="1" objects="1" scenarios="1"/>
  <mergeCells count="6">
    <mergeCell ref="C7:D7"/>
    <mergeCell ref="A1:K1"/>
    <mergeCell ref="A3:K3"/>
    <mergeCell ref="A4:K4"/>
    <mergeCell ref="C6:F6"/>
    <mergeCell ref="I6:L6"/>
  </mergeCells>
  <phoneticPr fontId="0" type="noConversion"/>
  <printOptions horizontalCentered="1"/>
  <pageMargins left="0.59" right="0.59" top="0.83" bottom="1" header="0.67" footer="0.5"/>
  <pageSetup scale="90" orientation="landscape" r:id="rId1"/>
  <headerFooter alignWithMargins="0">
    <oddFooter>&amp;L&amp;"Arial,Italic"&amp;9MSDE - LFRO  12 / 2013&amp;C- 5 -&amp;R&amp;"Arial,Italic"&amp;9Selected Financial Data-Part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7"/>
  <sheetViews>
    <sheetView zoomScaleNormal="100" workbookViewId="0">
      <selection sqref="A1:P1"/>
    </sheetView>
  </sheetViews>
  <sheetFormatPr defaultRowHeight="12.75"/>
  <cols>
    <col min="1" max="1" width="14.140625" style="55" customWidth="1"/>
    <col min="2" max="2" width="14.42578125" style="55" customWidth="1"/>
    <col min="3" max="3" width="13.42578125" style="55" bestFit="1" customWidth="1"/>
    <col min="4" max="4" width="12.28515625" style="55" customWidth="1"/>
    <col min="5" max="5" width="14.42578125" style="55" customWidth="1"/>
    <col min="6" max="6" width="12.28515625" style="55" bestFit="1" customWidth="1"/>
    <col min="7" max="7" width="15.7109375" style="55" customWidth="1"/>
    <col min="8" max="8" width="13.28515625" style="55" customWidth="1"/>
    <col min="9" max="9" width="12.42578125" style="55" customWidth="1"/>
    <col min="10" max="10" width="0.85546875" style="55" customWidth="1"/>
    <col min="11" max="11" width="12.7109375" style="177" customWidth="1"/>
    <col min="12" max="12" width="1.140625" style="55" customWidth="1"/>
    <col min="13" max="13" width="8.85546875" style="55" customWidth="1"/>
    <col min="14" max="14" width="7.85546875" style="55" customWidth="1"/>
    <col min="15" max="15" width="8.7109375" style="55" customWidth="1"/>
    <col min="16" max="16" width="8.42578125" style="55" customWidth="1"/>
    <col min="18" max="18" width="11.28515625" bestFit="1" customWidth="1"/>
  </cols>
  <sheetData>
    <row r="1" spans="1:42">
      <c r="A1" s="447" t="s">
        <v>89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</row>
    <row r="2" spans="1:42">
      <c r="A2" s="81"/>
      <c r="B2" s="81"/>
      <c r="C2" s="81"/>
      <c r="D2" s="81"/>
      <c r="E2" s="81"/>
      <c r="F2" s="81"/>
      <c r="G2" s="81"/>
      <c r="H2" s="81"/>
      <c r="I2" s="81"/>
      <c r="J2" s="81"/>
      <c r="K2" s="155"/>
      <c r="L2" s="81"/>
      <c r="M2" s="81"/>
      <c r="N2" s="81"/>
      <c r="O2" s="81"/>
      <c r="P2" s="81"/>
    </row>
    <row r="3" spans="1:42">
      <c r="A3" s="446" t="s">
        <v>269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</row>
    <row r="4" spans="1:42">
      <c r="A4" s="459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</row>
    <row r="5" spans="1:42" ht="13.5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155"/>
      <c r="L5" s="81"/>
      <c r="M5" s="156"/>
      <c r="N5" s="156"/>
      <c r="O5" s="156"/>
      <c r="P5" s="156"/>
    </row>
    <row r="6" spans="1:42" ht="15" customHeight="1" thickTop="1">
      <c r="A6" s="157"/>
      <c r="B6" s="158"/>
      <c r="C6" s="462" t="s">
        <v>80</v>
      </c>
      <c r="D6" s="462"/>
      <c r="E6" s="462"/>
      <c r="F6" s="462"/>
      <c r="G6" s="462"/>
      <c r="H6" s="462"/>
      <c r="I6" s="462"/>
      <c r="J6" s="462"/>
      <c r="K6" s="159"/>
      <c r="L6" s="157"/>
      <c r="M6" s="460"/>
      <c r="N6" s="460"/>
      <c r="O6" s="460"/>
      <c r="P6" s="460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>
      <c r="A7" s="64" t="s">
        <v>77</v>
      </c>
      <c r="B7" s="160" t="s">
        <v>43</v>
      </c>
      <c r="C7" s="458" t="s">
        <v>77</v>
      </c>
      <c r="D7" s="458"/>
      <c r="E7" s="458"/>
      <c r="F7" s="458"/>
      <c r="G7" s="160"/>
      <c r="H7" s="458" t="s">
        <v>51</v>
      </c>
      <c r="I7" s="458"/>
      <c r="J7" s="160"/>
      <c r="K7" s="161"/>
      <c r="L7" s="160"/>
      <c r="M7" s="461" t="s">
        <v>82</v>
      </c>
      <c r="N7" s="461"/>
      <c r="O7" s="461"/>
      <c r="P7" s="461"/>
    </row>
    <row r="8" spans="1:42">
      <c r="A8" s="64" t="s">
        <v>33</v>
      </c>
      <c r="B8" s="160" t="s">
        <v>83</v>
      </c>
      <c r="C8" s="160" t="s">
        <v>90</v>
      </c>
      <c r="D8" s="160" t="s">
        <v>36</v>
      </c>
      <c r="E8" s="456" t="s">
        <v>182</v>
      </c>
      <c r="F8" s="160"/>
      <c r="G8" s="160"/>
      <c r="H8" s="160" t="s">
        <v>112</v>
      </c>
      <c r="I8" s="160" t="s">
        <v>143</v>
      </c>
      <c r="J8" s="160"/>
      <c r="K8" s="160" t="s">
        <v>79</v>
      </c>
      <c r="L8" s="160"/>
      <c r="M8" s="162"/>
      <c r="N8" s="162"/>
      <c r="O8" s="162"/>
      <c r="P8" s="162" t="s">
        <v>79</v>
      </c>
    </row>
    <row r="9" spans="1:42" ht="13.5" thickBot="1">
      <c r="A9" s="163" t="s">
        <v>132</v>
      </c>
      <c r="B9" s="69" t="s">
        <v>84</v>
      </c>
      <c r="C9" s="71" t="s">
        <v>91</v>
      </c>
      <c r="D9" s="71" t="s">
        <v>92</v>
      </c>
      <c r="E9" s="457"/>
      <c r="F9" s="71" t="s">
        <v>113</v>
      </c>
      <c r="G9" s="69" t="s">
        <v>44</v>
      </c>
      <c r="H9" s="69" t="s">
        <v>91</v>
      </c>
      <c r="I9" s="69" t="s">
        <v>73</v>
      </c>
      <c r="J9" s="69"/>
      <c r="K9" s="71" t="s">
        <v>202</v>
      </c>
      <c r="L9" s="71"/>
      <c r="M9" s="164" t="s">
        <v>77</v>
      </c>
      <c r="N9" s="164" t="s">
        <v>44</v>
      </c>
      <c r="O9" s="164" t="s">
        <v>51</v>
      </c>
      <c r="P9" s="164" t="s">
        <v>81</v>
      </c>
    </row>
    <row r="10" spans="1:42">
      <c r="A10" s="64" t="s">
        <v>0</v>
      </c>
      <c r="B10" s="141">
        <f t="shared" ref="B10:I10" si="0">SUM(B12:B39)</f>
        <v>338000837.90999997</v>
      </c>
      <c r="C10" s="141">
        <f t="shared" si="0"/>
        <v>96586556.090000004</v>
      </c>
      <c r="D10" s="141">
        <f t="shared" si="0"/>
        <v>8206914.3200000003</v>
      </c>
      <c r="E10" s="141">
        <f t="shared" si="0"/>
        <v>57621.399999999994</v>
      </c>
      <c r="F10" s="141">
        <f t="shared" si="0"/>
        <v>3682436.2800000003</v>
      </c>
      <c r="G10" s="165">
        <f t="shared" si="0"/>
        <v>7543783.3399999999</v>
      </c>
      <c r="H10" s="141">
        <f t="shared" si="0"/>
        <v>200005571.34</v>
      </c>
      <c r="I10" s="141">
        <f t="shared" si="0"/>
        <v>19088804.080000002</v>
      </c>
      <c r="J10" s="141"/>
      <c r="K10" s="166">
        <f>SUM(K12:K39)</f>
        <v>2829151.06</v>
      </c>
      <c r="L10" s="141"/>
      <c r="M10" s="167">
        <f>SUM(C10:F10)/B10</f>
        <v>0.32110431666710659</v>
      </c>
      <c r="N10" s="167">
        <f>+G10/B10</f>
        <v>2.2318830292393226E-2</v>
      </c>
      <c r="O10" s="167">
        <f>(+H10+I10)/B10</f>
        <v>0.64820660438226085</v>
      </c>
      <c r="P10" s="167">
        <f>+K10/B10</f>
        <v>8.3702486582394892E-3</v>
      </c>
      <c r="R10" s="59"/>
    </row>
    <row r="11" spans="1:42">
      <c r="A11" s="64"/>
      <c r="B11" s="143"/>
      <c r="C11" s="70"/>
      <c r="D11" s="70"/>
      <c r="E11" s="70"/>
      <c r="F11" s="70"/>
      <c r="G11" s="73"/>
      <c r="H11" s="143"/>
      <c r="I11" s="74"/>
      <c r="J11" s="74"/>
      <c r="K11" s="168"/>
      <c r="L11" s="70"/>
      <c r="M11" s="169"/>
      <c r="N11" s="169"/>
      <c r="O11" s="169"/>
      <c r="P11" s="169"/>
      <c r="R11" s="45"/>
    </row>
    <row r="12" spans="1:42">
      <c r="A12" s="81" t="s">
        <v>1</v>
      </c>
      <c r="B12" s="138">
        <f>SUM(C12:K12)</f>
        <v>5065760.0600000005</v>
      </c>
      <c r="C12" s="321">
        <v>823791.21</v>
      </c>
      <c r="D12" s="321">
        <v>428462.3</v>
      </c>
      <c r="E12" s="321">
        <v>0</v>
      </c>
      <c r="F12" s="321">
        <v>0</v>
      </c>
      <c r="G12" s="129">
        <v>194898.18</v>
      </c>
      <c r="H12" s="321">
        <f>'fed3'!F12+'fed3'!G12</f>
        <v>2731724.67</v>
      </c>
      <c r="I12" s="321">
        <v>274887.92</v>
      </c>
      <c r="J12" s="327"/>
      <c r="K12" s="328">
        <v>611995.78</v>
      </c>
      <c r="L12" s="170"/>
      <c r="M12" s="169">
        <f>SUM(C12:F12)/B12*100</f>
        <v>24.719953080446526</v>
      </c>
      <c r="N12" s="169">
        <f>+G12/B12*100</f>
        <v>3.8473630351927879</v>
      </c>
      <c r="O12" s="169">
        <f>(+H12+I12)/B12*100</f>
        <v>59.351658080702698</v>
      </c>
      <c r="P12" s="169">
        <f>+K12/B12*100</f>
        <v>12.08102580365798</v>
      </c>
      <c r="Q12" s="42"/>
      <c r="R12" s="58"/>
    </row>
    <row r="13" spans="1:42">
      <c r="A13" s="81" t="s">
        <v>2</v>
      </c>
      <c r="B13" s="138">
        <f t="shared" ref="B13:B39" si="1">SUM(C13:K13)</f>
        <v>24981336</v>
      </c>
      <c r="C13" s="321">
        <v>10797811</v>
      </c>
      <c r="D13" s="321">
        <v>89268</v>
      </c>
      <c r="E13" s="321">
        <v>6397</v>
      </c>
      <c r="F13" s="321">
        <v>135180</v>
      </c>
      <c r="G13" s="129">
        <v>611328</v>
      </c>
      <c r="H13" s="321">
        <f>'fed3'!F13+'fed3'!G13</f>
        <v>12350154</v>
      </c>
      <c r="I13" s="321">
        <v>991198</v>
      </c>
      <c r="J13" s="327"/>
      <c r="K13" s="362">
        <v>0</v>
      </c>
      <c r="L13" s="171"/>
      <c r="M13" s="169">
        <f t="shared" ref="M13:M39" si="2">SUM(C13:F13)/B13*100</f>
        <v>44.147582819429672</v>
      </c>
      <c r="N13" s="169">
        <f t="shared" ref="N13:N39" si="3">+G13/B13*100</f>
        <v>2.4471389360440932</v>
      </c>
      <c r="O13" s="169">
        <f t="shared" ref="O13:O39" si="4">(+H13+I13)/B13*100</f>
        <v>53.40527824452623</v>
      </c>
      <c r="P13" s="169">
        <f t="shared" ref="P13:P39" si="5">+K13/B13*100</f>
        <v>0</v>
      </c>
      <c r="R13" s="58"/>
    </row>
    <row r="14" spans="1:42">
      <c r="A14" s="81" t="s">
        <v>3</v>
      </c>
      <c r="B14" s="138">
        <f t="shared" si="1"/>
        <v>41146553.890000001</v>
      </c>
      <c r="C14" s="321">
        <v>0</v>
      </c>
      <c r="D14" s="321">
        <v>1516219.85</v>
      </c>
      <c r="E14" s="321">
        <v>0</v>
      </c>
      <c r="F14" s="373">
        <v>0</v>
      </c>
      <c r="G14" s="129">
        <v>760926.64</v>
      </c>
      <c r="H14" s="321">
        <f>'fed3'!F14+'fed3'!G14</f>
        <v>37902383.619999997</v>
      </c>
      <c r="I14" s="321">
        <v>0</v>
      </c>
      <c r="J14" s="343"/>
      <c r="K14" s="362">
        <v>967023.78</v>
      </c>
      <c r="L14" s="171"/>
      <c r="M14" s="169">
        <f t="shared" si="2"/>
        <v>3.6849254838045931</v>
      </c>
      <c r="N14" s="169">
        <f t="shared" si="3"/>
        <v>1.8493083091095288</v>
      </c>
      <c r="O14" s="169">
        <f t="shared" si="4"/>
        <v>92.115572354679145</v>
      </c>
      <c r="P14" s="169">
        <f t="shared" si="5"/>
        <v>2.3501938524067247</v>
      </c>
      <c r="R14" s="58"/>
    </row>
    <row r="15" spans="1:42">
      <c r="A15" s="81" t="s">
        <v>4</v>
      </c>
      <c r="B15" s="138">
        <f t="shared" si="1"/>
        <v>42623502</v>
      </c>
      <c r="C15" s="321">
        <v>12215763</v>
      </c>
      <c r="D15" s="321">
        <v>1052766</v>
      </c>
      <c r="E15" s="321">
        <v>5178</v>
      </c>
      <c r="F15" s="321">
        <v>52096</v>
      </c>
      <c r="G15" s="129">
        <v>868566</v>
      </c>
      <c r="H15" s="321">
        <f>'fed3'!F15+'fed3'!G15</f>
        <v>25953741</v>
      </c>
      <c r="I15" s="321">
        <v>2239074</v>
      </c>
      <c r="J15" s="343"/>
      <c r="K15" s="328">
        <v>236318</v>
      </c>
      <c r="L15" s="171"/>
      <c r="M15" s="169">
        <f t="shared" si="2"/>
        <v>31.263979670182895</v>
      </c>
      <c r="N15" s="169">
        <f t="shared" si="3"/>
        <v>2.0377631101264275</v>
      </c>
      <c r="O15" s="169">
        <f t="shared" si="4"/>
        <v>66.143826004723877</v>
      </c>
      <c r="P15" s="169">
        <f t="shared" si="5"/>
        <v>0.55443121496680403</v>
      </c>
      <c r="R15" s="58"/>
    </row>
    <row r="16" spans="1:42">
      <c r="A16" s="81" t="s">
        <v>5</v>
      </c>
      <c r="B16" s="138">
        <f t="shared" si="1"/>
        <v>5419271</v>
      </c>
      <c r="C16" s="321">
        <v>1039264</v>
      </c>
      <c r="D16" s="321">
        <v>0</v>
      </c>
      <c r="E16" s="321">
        <v>1570</v>
      </c>
      <c r="F16" s="373">
        <v>2587153</v>
      </c>
      <c r="G16" s="129">
        <v>38220</v>
      </c>
      <c r="H16" s="321">
        <f>'fed3'!F16+'fed3'!G16</f>
        <v>1537298</v>
      </c>
      <c r="I16" s="321">
        <v>215766</v>
      </c>
      <c r="J16" s="327"/>
      <c r="K16" s="328">
        <v>0</v>
      </c>
      <c r="L16" s="171"/>
      <c r="M16" s="169">
        <f t="shared" si="2"/>
        <v>66.946033885369445</v>
      </c>
      <c r="N16" s="169">
        <f t="shared" si="3"/>
        <v>0.70526091055420559</v>
      </c>
      <c r="O16" s="169">
        <f t="shared" si="4"/>
        <v>32.348705204076339</v>
      </c>
      <c r="P16" s="169">
        <f t="shared" si="5"/>
        <v>0</v>
      </c>
      <c r="R16" s="58"/>
    </row>
    <row r="17" spans="1:18">
      <c r="A17" s="81"/>
      <c r="B17" s="138"/>
      <c r="C17" s="335"/>
      <c r="D17" s="335"/>
      <c r="E17" s="335"/>
      <c r="F17" s="342"/>
      <c r="G17" s="338"/>
      <c r="H17" s="321"/>
      <c r="I17" s="335"/>
      <c r="J17" s="343"/>
      <c r="K17" s="344"/>
      <c r="L17" s="171"/>
      <c r="M17" s="169"/>
      <c r="N17" s="169"/>
      <c r="O17" s="169"/>
      <c r="P17" s="169"/>
      <c r="R17" s="40"/>
    </row>
    <row r="18" spans="1:18">
      <c r="A18" s="81" t="s">
        <v>6</v>
      </c>
      <c r="B18" s="138">
        <f t="shared" si="1"/>
        <v>2777889.77</v>
      </c>
      <c r="C18" s="321">
        <v>715091.97</v>
      </c>
      <c r="D18" s="321">
        <v>0</v>
      </c>
      <c r="E18" s="321">
        <v>254.7</v>
      </c>
      <c r="F18" s="373">
        <v>41191.31</v>
      </c>
      <c r="G18" s="129">
        <v>111423.14</v>
      </c>
      <c r="H18" s="321">
        <f>'fed3'!F18+'fed3'!G18</f>
        <v>1909928.65</v>
      </c>
      <c r="I18" s="321">
        <v>0</v>
      </c>
      <c r="J18" s="327"/>
      <c r="K18" s="328">
        <v>0</v>
      </c>
      <c r="L18" s="171"/>
      <c r="M18" s="169">
        <f t="shared" si="2"/>
        <v>27.234269270518968</v>
      </c>
      <c r="N18" s="169">
        <f t="shared" si="3"/>
        <v>4.0110713248351821</v>
      </c>
      <c r="O18" s="169">
        <f t="shared" si="4"/>
        <v>68.754659404645849</v>
      </c>
      <c r="P18" s="169">
        <f t="shared" si="5"/>
        <v>0</v>
      </c>
      <c r="R18" s="58"/>
    </row>
    <row r="19" spans="1:18">
      <c r="A19" s="81" t="s">
        <v>7</v>
      </c>
      <c r="B19" s="138">
        <f t="shared" si="1"/>
        <v>6485161.6799999997</v>
      </c>
      <c r="C19" s="321">
        <v>3076755.41</v>
      </c>
      <c r="D19" s="321">
        <v>120405.75</v>
      </c>
      <c r="E19" s="321">
        <v>0</v>
      </c>
      <c r="F19" s="386">
        <v>314305.21000000002</v>
      </c>
      <c r="G19" s="129">
        <v>96254.53</v>
      </c>
      <c r="H19" s="321">
        <f>'fed3'!F19+'fed3'!G19</f>
        <v>2457404.5499999998</v>
      </c>
      <c r="I19" s="321">
        <v>407462.95</v>
      </c>
      <c r="J19" s="327"/>
      <c r="K19" s="328">
        <v>12573.28</v>
      </c>
      <c r="L19" s="171"/>
      <c r="M19" s="169">
        <f t="shared" si="2"/>
        <v>54.146165404468384</v>
      </c>
      <c r="N19" s="169">
        <f t="shared" si="3"/>
        <v>1.4842271442028259</v>
      </c>
      <c r="O19" s="169">
        <f t="shared" si="4"/>
        <v>44.175729786894074</v>
      </c>
      <c r="P19" s="169">
        <f t="shared" si="5"/>
        <v>0.19387766443472851</v>
      </c>
      <c r="R19" s="58"/>
    </row>
    <row r="20" spans="1:18">
      <c r="A20" s="81" t="s">
        <v>8</v>
      </c>
      <c r="B20" s="138">
        <f t="shared" si="1"/>
        <v>6070591.4099999992</v>
      </c>
      <c r="C20" s="321">
        <v>1945951.54</v>
      </c>
      <c r="D20" s="321">
        <v>3737.95</v>
      </c>
      <c r="E20" s="321">
        <v>800.98</v>
      </c>
      <c r="F20" s="373">
        <v>49011.95</v>
      </c>
      <c r="G20" s="129">
        <v>298946.36</v>
      </c>
      <c r="H20" s="321">
        <f>'fed3'!F20+'fed3'!G20</f>
        <v>3482240.66</v>
      </c>
      <c r="I20" s="321">
        <v>289901.96999999997</v>
      </c>
      <c r="J20" s="327"/>
      <c r="K20" s="328">
        <v>0</v>
      </c>
      <c r="L20" s="171"/>
      <c r="M20" s="169">
        <f t="shared" si="2"/>
        <v>32.937522639165735</v>
      </c>
      <c r="N20" s="169">
        <f t="shared" si="3"/>
        <v>4.9245014169056063</v>
      </c>
      <c r="O20" s="169">
        <f t="shared" si="4"/>
        <v>62.137975943928666</v>
      </c>
      <c r="P20" s="169">
        <f t="shared" si="5"/>
        <v>0</v>
      </c>
      <c r="R20" s="58"/>
    </row>
    <row r="21" spans="1:18">
      <c r="A21" s="81" t="s">
        <v>9</v>
      </c>
      <c r="B21" s="138">
        <f t="shared" si="1"/>
        <v>11600891.239999998</v>
      </c>
      <c r="C21" s="321">
        <v>5134680.24</v>
      </c>
      <c r="D21" s="321">
        <v>339303.61</v>
      </c>
      <c r="E21" s="321">
        <v>2097.5</v>
      </c>
      <c r="F21" s="373">
        <v>73089.850000000006</v>
      </c>
      <c r="G21" s="129">
        <v>271337.38</v>
      </c>
      <c r="H21" s="321">
        <f>'fed3'!F21+'fed3'!G21</f>
        <v>5204229.46</v>
      </c>
      <c r="I21" s="321">
        <v>576153.19999999995</v>
      </c>
      <c r="J21" s="327"/>
      <c r="K21" s="387">
        <v>0</v>
      </c>
      <c r="L21" s="171"/>
      <c r="M21" s="169">
        <f t="shared" si="2"/>
        <v>47.834007622331619</v>
      </c>
      <c r="N21" s="169">
        <f t="shared" si="3"/>
        <v>2.3389356419826242</v>
      </c>
      <c r="O21" s="169">
        <f t="shared" si="4"/>
        <v>49.82705673568578</v>
      </c>
      <c r="P21" s="169">
        <f t="shared" si="5"/>
        <v>0</v>
      </c>
      <c r="R21" s="58"/>
    </row>
    <row r="22" spans="1:18">
      <c r="A22" s="81" t="s">
        <v>10</v>
      </c>
      <c r="B22" s="138">
        <f t="shared" si="1"/>
        <v>2521889</v>
      </c>
      <c r="C22" s="321">
        <v>482034</v>
      </c>
      <c r="D22" s="321">
        <v>0</v>
      </c>
      <c r="E22" s="321">
        <v>332</v>
      </c>
      <c r="F22" s="373">
        <v>0</v>
      </c>
      <c r="G22" s="129">
        <v>100933</v>
      </c>
      <c r="H22" s="321">
        <f>'fed3'!F22+'fed3'!G22</f>
        <v>1819163</v>
      </c>
      <c r="I22" s="321">
        <v>119427</v>
      </c>
      <c r="J22" s="327"/>
      <c r="K22" s="388">
        <v>0</v>
      </c>
      <c r="L22" s="171"/>
      <c r="M22" s="169">
        <f t="shared" si="2"/>
        <v>19.127170149043039</v>
      </c>
      <c r="N22" s="169">
        <f t="shared" si="3"/>
        <v>4.0022776577398922</v>
      </c>
      <c r="O22" s="169">
        <f t="shared" si="4"/>
        <v>76.870552193217065</v>
      </c>
      <c r="P22" s="169">
        <f t="shared" si="5"/>
        <v>0</v>
      </c>
      <c r="R22" s="58"/>
    </row>
    <row r="23" spans="1:18">
      <c r="A23" s="81"/>
      <c r="B23" s="138"/>
      <c r="C23" s="335"/>
      <c r="D23" s="335"/>
      <c r="E23" s="335"/>
      <c r="F23" s="342"/>
      <c r="G23" s="338"/>
      <c r="H23" s="321"/>
      <c r="I23" s="335"/>
      <c r="J23" s="343"/>
      <c r="K23" s="341"/>
      <c r="L23" s="171"/>
      <c r="M23" s="169"/>
      <c r="N23" s="169"/>
      <c r="O23" s="169"/>
      <c r="P23" s="169"/>
      <c r="R23" s="40"/>
    </row>
    <row r="24" spans="1:18">
      <c r="A24" s="81" t="s">
        <v>11</v>
      </c>
      <c r="B24" s="138">
        <f t="shared" si="1"/>
        <v>11028568</v>
      </c>
      <c r="C24" s="321">
        <v>5228250</v>
      </c>
      <c r="D24" s="389">
        <v>0</v>
      </c>
      <c r="E24" s="321">
        <v>5</v>
      </c>
      <c r="F24" s="373">
        <v>138713</v>
      </c>
      <c r="G24" s="129">
        <v>217590</v>
      </c>
      <c r="H24" s="329">
        <f>'fed3'!F24+'fed3'!G24</f>
        <v>0</v>
      </c>
      <c r="I24" s="321">
        <v>5444010</v>
      </c>
      <c r="J24" s="327"/>
      <c r="K24" s="388">
        <v>0</v>
      </c>
      <c r="L24" s="171"/>
      <c r="M24" s="169">
        <f t="shared" si="2"/>
        <v>48.664232745357324</v>
      </c>
      <c r="N24" s="169">
        <f t="shared" si="3"/>
        <v>1.9729669346011196</v>
      </c>
      <c r="O24" s="169">
        <f t="shared" si="4"/>
        <v>49.362800320041551</v>
      </c>
      <c r="P24" s="169">
        <f t="shared" si="5"/>
        <v>0</v>
      </c>
      <c r="R24" s="58"/>
    </row>
    <row r="25" spans="1:18">
      <c r="A25" s="81" t="s">
        <v>12</v>
      </c>
      <c r="B25" s="138">
        <f t="shared" si="1"/>
        <v>2702491</v>
      </c>
      <c r="C25" s="321">
        <v>856074</v>
      </c>
      <c r="D25" s="321">
        <v>73903</v>
      </c>
      <c r="E25" s="321">
        <v>251</v>
      </c>
      <c r="F25" s="373">
        <v>2279</v>
      </c>
      <c r="G25" s="129">
        <v>128871</v>
      </c>
      <c r="H25" s="321">
        <f>'fed3'!F25+'fed3'!G25</f>
        <v>1256671</v>
      </c>
      <c r="I25" s="321">
        <v>99531</v>
      </c>
      <c r="J25" s="327"/>
      <c r="K25" s="328">
        <v>284911</v>
      </c>
      <c r="L25" s="171"/>
      <c r="M25" s="169">
        <f t="shared" si="2"/>
        <v>34.505461812823803</v>
      </c>
      <c r="N25" s="169">
        <f t="shared" si="3"/>
        <v>4.7686005244790826</v>
      </c>
      <c r="O25" s="169">
        <f t="shared" si="4"/>
        <v>50.183404866103167</v>
      </c>
      <c r="P25" s="169">
        <f t="shared" si="5"/>
        <v>10.542532796593958</v>
      </c>
      <c r="R25" s="58"/>
    </row>
    <row r="26" spans="1:18">
      <c r="A26" s="81" t="s">
        <v>13</v>
      </c>
      <c r="B26" s="138">
        <f t="shared" si="1"/>
        <v>15358309</v>
      </c>
      <c r="C26" s="321">
        <v>7253840</v>
      </c>
      <c r="D26" s="321">
        <v>0</v>
      </c>
      <c r="E26" s="321">
        <v>0</v>
      </c>
      <c r="F26" s="373">
        <v>87328</v>
      </c>
      <c r="G26" s="129">
        <v>343783</v>
      </c>
      <c r="H26" s="321">
        <f>'fed3'!F26+'fed3'!G26</f>
        <v>6790184</v>
      </c>
      <c r="I26" s="321">
        <v>883174</v>
      </c>
      <c r="J26" s="327"/>
      <c r="K26" s="328">
        <v>0</v>
      </c>
      <c r="L26" s="171"/>
      <c r="M26" s="169">
        <f t="shared" si="2"/>
        <v>47.799324782435363</v>
      </c>
      <c r="N26" s="169">
        <f t="shared" si="3"/>
        <v>2.2384170028093586</v>
      </c>
      <c r="O26" s="169">
        <f t="shared" si="4"/>
        <v>49.962258214755281</v>
      </c>
      <c r="P26" s="169">
        <f t="shared" si="5"/>
        <v>0</v>
      </c>
      <c r="R26" s="58"/>
    </row>
    <row r="27" spans="1:18">
      <c r="A27" s="81" t="s">
        <v>14</v>
      </c>
      <c r="B27" s="138">
        <f t="shared" si="1"/>
        <v>11936884</v>
      </c>
      <c r="C27" s="321">
        <v>6164810</v>
      </c>
      <c r="D27" s="321">
        <v>0</v>
      </c>
      <c r="E27" s="321">
        <v>2756</v>
      </c>
      <c r="F27" s="373">
        <v>0</v>
      </c>
      <c r="G27" s="129">
        <v>191850</v>
      </c>
      <c r="H27" s="321">
        <f>'fed3'!F27+'fed3'!G27</f>
        <v>4841916</v>
      </c>
      <c r="I27" s="321">
        <v>735552</v>
      </c>
      <c r="J27" s="327"/>
      <c r="K27" s="328">
        <v>0</v>
      </c>
      <c r="L27" s="171"/>
      <c r="M27" s="169">
        <f t="shared" si="2"/>
        <v>51.668140529806607</v>
      </c>
      <c r="N27" s="169">
        <f t="shared" si="3"/>
        <v>1.6072033539071</v>
      </c>
      <c r="O27" s="169">
        <f t="shared" si="4"/>
        <v>46.724656116286297</v>
      </c>
      <c r="P27" s="169">
        <f t="shared" si="5"/>
        <v>0</v>
      </c>
      <c r="R27" s="58"/>
    </row>
    <row r="28" spans="1:18">
      <c r="A28" s="81" t="s">
        <v>15</v>
      </c>
      <c r="B28" s="138">
        <f t="shared" si="1"/>
        <v>1236107</v>
      </c>
      <c r="C28" s="321">
        <v>285192</v>
      </c>
      <c r="D28" s="321">
        <v>0</v>
      </c>
      <c r="E28" s="321">
        <v>0</v>
      </c>
      <c r="F28" s="321">
        <v>5616</v>
      </c>
      <c r="G28" s="129">
        <v>84725</v>
      </c>
      <c r="H28" s="321">
        <f>'fed3'!F28+'fed3'!G28</f>
        <v>799688</v>
      </c>
      <c r="I28" s="321">
        <v>60886</v>
      </c>
      <c r="J28" s="327"/>
      <c r="K28" s="328">
        <v>0</v>
      </c>
      <c r="L28" s="171"/>
      <c r="M28" s="169">
        <f t="shared" si="2"/>
        <v>23.52611869360824</v>
      </c>
      <c r="N28" s="169">
        <f t="shared" si="3"/>
        <v>6.8541800992956103</v>
      </c>
      <c r="O28" s="169">
        <f t="shared" si="4"/>
        <v>69.619701207096156</v>
      </c>
      <c r="P28" s="169">
        <f t="shared" si="5"/>
        <v>0</v>
      </c>
      <c r="R28" s="58"/>
    </row>
    <row r="29" spans="1:18">
      <c r="A29" s="81"/>
      <c r="B29" s="138"/>
      <c r="C29" s="335"/>
      <c r="D29" s="335"/>
      <c r="E29" s="335"/>
      <c r="F29" s="342"/>
      <c r="G29" s="338"/>
      <c r="H29" s="321"/>
      <c r="I29" s="335"/>
      <c r="J29" s="343"/>
      <c r="K29" s="344"/>
      <c r="L29" s="171"/>
      <c r="M29" s="169"/>
      <c r="N29" s="169"/>
      <c r="O29" s="169"/>
      <c r="P29" s="169"/>
      <c r="R29" s="40"/>
    </row>
    <row r="30" spans="1:18">
      <c r="A30" s="81" t="s">
        <v>16</v>
      </c>
      <c r="B30" s="138">
        <f t="shared" si="1"/>
        <v>50787368</v>
      </c>
      <c r="C30" s="321">
        <v>17907925</v>
      </c>
      <c r="D30" s="321">
        <v>0</v>
      </c>
      <c r="E30" s="321">
        <v>34610</v>
      </c>
      <c r="F30" s="373">
        <v>0</v>
      </c>
      <c r="G30" s="129">
        <v>1097324</v>
      </c>
      <c r="H30" s="321">
        <f>'fed3'!F30+'fed3'!G30</f>
        <v>29210879</v>
      </c>
      <c r="I30" s="321">
        <v>2536630</v>
      </c>
      <c r="J30" s="327"/>
      <c r="K30" s="328">
        <v>0</v>
      </c>
      <c r="L30" s="171"/>
      <c r="M30" s="169">
        <f t="shared" si="2"/>
        <v>35.328735680888208</v>
      </c>
      <c r="N30" s="169">
        <f t="shared" si="3"/>
        <v>2.1606238779690257</v>
      </c>
      <c r="O30" s="169">
        <f t="shared" si="4"/>
        <v>62.510640441142762</v>
      </c>
      <c r="P30" s="169">
        <f t="shared" si="5"/>
        <v>0</v>
      </c>
      <c r="R30" s="58"/>
    </row>
    <row r="31" spans="1:18">
      <c r="A31" s="81" t="s">
        <v>17</v>
      </c>
      <c r="B31" s="138">
        <f t="shared" si="1"/>
        <v>62960248</v>
      </c>
      <c r="C31" s="321">
        <v>15220813</v>
      </c>
      <c r="D31" s="321">
        <v>1101094</v>
      </c>
      <c r="E31" s="321">
        <v>0</v>
      </c>
      <c r="F31" s="321">
        <v>0</v>
      </c>
      <c r="G31" s="129">
        <v>1049917</v>
      </c>
      <c r="H31" s="321">
        <f>'fed3'!F31+'fed3'!G31</f>
        <v>42789086</v>
      </c>
      <c r="I31" s="321">
        <v>2799338</v>
      </c>
      <c r="J31" s="327"/>
      <c r="K31" s="328">
        <v>0</v>
      </c>
      <c r="L31" s="171"/>
      <c r="M31" s="169">
        <f t="shared" si="2"/>
        <v>25.924146613907872</v>
      </c>
      <c r="N31" s="169">
        <f t="shared" si="3"/>
        <v>1.6675871416516657</v>
      </c>
      <c r="O31" s="169">
        <f t="shared" si="4"/>
        <v>72.408266244440455</v>
      </c>
      <c r="P31" s="169">
        <f t="shared" si="5"/>
        <v>0</v>
      </c>
      <c r="R31" s="58"/>
    </row>
    <row r="32" spans="1:18">
      <c r="A32" s="81" t="s">
        <v>18</v>
      </c>
      <c r="B32" s="138">
        <f t="shared" si="1"/>
        <v>2333763.0499999998</v>
      </c>
      <c r="C32" s="321">
        <v>1162724.6599999999</v>
      </c>
      <c r="D32" s="321">
        <v>155120.32000000001</v>
      </c>
      <c r="E32" s="321">
        <v>613.72</v>
      </c>
      <c r="F32" s="373">
        <v>0</v>
      </c>
      <c r="G32" s="129">
        <v>63171</v>
      </c>
      <c r="H32" s="321">
        <f>'fed3'!F32+'fed3'!G32</f>
        <v>952133.35</v>
      </c>
      <c r="I32" s="321">
        <v>0</v>
      </c>
      <c r="J32" s="327"/>
      <c r="K32" s="328">
        <v>0</v>
      </c>
      <c r="L32" s="171"/>
      <c r="M32" s="169">
        <f t="shared" si="2"/>
        <v>56.49496850162231</v>
      </c>
      <c r="N32" s="169">
        <f t="shared" si="3"/>
        <v>2.7068300700021797</v>
      </c>
      <c r="O32" s="169">
        <f t="shared" si="4"/>
        <v>40.798201428375521</v>
      </c>
      <c r="P32" s="169">
        <f t="shared" si="5"/>
        <v>0</v>
      </c>
      <c r="R32" s="58"/>
    </row>
    <row r="33" spans="1:256">
      <c r="A33" s="81" t="s">
        <v>19</v>
      </c>
      <c r="B33" s="138">
        <f t="shared" si="1"/>
        <v>6855487.3599999985</v>
      </c>
      <c r="C33" s="321">
        <v>1916559.46</v>
      </c>
      <c r="D33" s="321">
        <v>1216181.02</v>
      </c>
      <c r="E33" s="321">
        <v>511.61</v>
      </c>
      <c r="F33" s="373">
        <v>0</v>
      </c>
      <c r="G33" s="129">
        <v>208450.09</v>
      </c>
      <c r="H33" s="321">
        <f>'fed3'!F33+'fed3'!G33</f>
        <v>3120700.94</v>
      </c>
      <c r="I33" s="321">
        <v>390801.52</v>
      </c>
      <c r="J33" s="327"/>
      <c r="K33" s="328">
        <v>2282.7199999999998</v>
      </c>
      <c r="L33" s="171"/>
      <c r="M33" s="169">
        <f t="shared" si="2"/>
        <v>45.704293881157419</v>
      </c>
      <c r="N33" s="169">
        <f t="shared" si="3"/>
        <v>3.0406312352970342</v>
      </c>
      <c r="O33" s="169">
        <f t="shared" si="4"/>
        <v>51.221777177924821</v>
      </c>
      <c r="P33" s="169">
        <f t="shared" si="5"/>
        <v>3.3297705620742336E-2</v>
      </c>
      <c r="R33" s="58"/>
    </row>
    <row r="34" spans="1:256">
      <c r="A34" s="81" t="s">
        <v>20</v>
      </c>
      <c r="B34" s="138">
        <f t="shared" si="1"/>
        <v>1566184</v>
      </c>
      <c r="C34" s="321">
        <v>235650</v>
      </c>
      <c r="D34" s="321">
        <v>0</v>
      </c>
      <c r="E34" s="321">
        <v>150</v>
      </c>
      <c r="F34" s="321">
        <v>0</v>
      </c>
      <c r="G34" s="129">
        <v>72367</v>
      </c>
      <c r="H34" s="321">
        <f>'fed3'!F34+'fed3'!G34</f>
        <v>1190191</v>
      </c>
      <c r="I34" s="321">
        <v>67826</v>
      </c>
      <c r="J34" s="327"/>
      <c r="K34" s="328">
        <v>0</v>
      </c>
      <c r="L34" s="171"/>
      <c r="M34" s="169">
        <f t="shared" si="2"/>
        <v>15.055702267421964</v>
      </c>
      <c r="N34" s="169">
        <f t="shared" si="3"/>
        <v>4.6205937488826345</v>
      </c>
      <c r="O34" s="169">
        <f t="shared" si="4"/>
        <v>80.32370398369541</v>
      </c>
      <c r="P34" s="169">
        <f t="shared" si="5"/>
        <v>0</v>
      </c>
      <c r="R34" s="58"/>
    </row>
    <row r="35" spans="1:256">
      <c r="A35" s="81"/>
      <c r="B35" s="138"/>
      <c r="C35" s="335"/>
      <c r="D35" s="335"/>
      <c r="E35" s="335"/>
      <c r="F35" s="342"/>
      <c r="G35" s="338"/>
      <c r="H35" s="321"/>
      <c r="I35" s="335"/>
      <c r="J35" s="343"/>
      <c r="K35" s="344"/>
      <c r="L35" s="171"/>
      <c r="M35" s="169"/>
      <c r="N35" s="169"/>
      <c r="O35" s="169"/>
      <c r="P35" s="169"/>
      <c r="R35" s="40"/>
      <c r="S35" s="3"/>
      <c r="T35" s="3"/>
    </row>
    <row r="36" spans="1:256">
      <c r="A36" s="81" t="s">
        <v>21</v>
      </c>
      <c r="B36" s="138">
        <f t="shared" si="1"/>
        <v>1874189.9500000002</v>
      </c>
      <c r="C36" s="321">
        <v>311106.27</v>
      </c>
      <c r="D36" s="321">
        <v>419239.02</v>
      </c>
      <c r="E36" s="321">
        <v>1455.09</v>
      </c>
      <c r="F36" s="373">
        <v>0</v>
      </c>
      <c r="G36" s="129">
        <v>85017.61</v>
      </c>
      <c r="H36" s="321">
        <f>'fed3'!F36+'fed3'!G36</f>
        <v>956322.36</v>
      </c>
      <c r="I36" s="321">
        <v>101049.60000000001</v>
      </c>
      <c r="J36" s="327"/>
      <c r="K36" s="328">
        <v>0</v>
      </c>
      <c r="L36" s="171"/>
      <c r="M36" s="169">
        <f t="shared" si="2"/>
        <v>39.046222609399862</v>
      </c>
      <c r="N36" s="169">
        <f t="shared" si="3"/>
        <v>4.5362323066560029</v>
      </c>
      <c r="O36" s="169">
        <f t="shared" si="4"/>
        <v>56.41754508394412</v>
      </c>
      <c r="P36" s="169">
        <f t="shared" si="5"/>
        <v>0</v>
      </c>
      <c r="R36" s="58"/>
      <c r="S36" s="3"/>
      <c r="T36" s="3"/>
    </row>
    <row r="37" spans="1:256">
      <c r="A37" s="81" t="s">
        <v>22</v>
      </c>
      <c r="B37" s="138">
        <f t="shared" si="1"/>
        <v>10870964.389999999</v>
      </c>
      <c r="C37" s="321">
        <v>2880729.29</v>
      </c>
      <c r="D37" s="321">
        <v>589652.96</v>
      </c>
      <c r="E37" s="321">
        <v>25.35</v>
      </c>
      <c r="F37" s="373">
        <v>102500</v>
      </c>
      <c r="G37" s="129">
        <v>373109.65</v>
      </c>
      <c r="H37" s="321">
        <f>'fed3'!F37+'fed3'!G37</f>
        <v>6354614.4699999997</v>
      </c>
      <c r="I37" s="321">
        <v>531286.17000000004</v>
      </c>
      <c r="J37" s="327"/>
      <c r="K37" s="328">
        <v>39046.5</v>
      </c>
      <c r="L37" s="171"/>
      <c r="M37" s="169">
        <f t="shared" si="2"/>
        <v>32.866519214124665</v>
      </c>
      <c r="N37" s="169">
        <f t="shared" si="3"/>
        <v>3.4321669781497652</v>
      </c>
      <c r="O37" s="169">
        <f t="shared" si="4"/>
        <v>63.342132242970216</v>
      </c>
      <c r="P37" s="169">
        <f t="shared" si="5"/>
        <v>0.35918156475536028</v>
      </c>
      <c r="R37" s="58"/>
      <c r="S37" s="3"/>
      <c r="T37" s="3"/>
    </row>
    <row r="38" spans="1:256">
      <c r="A38" s="81" t="s">
        <v>23</v>
      </c>
      <c r="B38" s="138">
        <f t="shared" si="1"/>
        <v>7319401.3300000001</v>
      </c>
      <c r="C38" s="321">
        <v>464523.2</v>
      </c>
      <c r="D38" s="321">
        <v>887853.64</v>
      </c>
      <c r="E38" s="321">
        <v>0</v>
      </c>
      <c r="F38" s="373">
        <v>63745.64</v>
      </c>
      <c r="G38" s="129">
        <v>153846.59999999998</v>
      </c>
      <c r="H38" s="321">
        <f>'fed3'!F38+'fed3'!G38</f>
        <v>4749583.5</v>
      </c>
      <c r="I38" s="321">
        <v>324848.75</v>
      </c>
      <c r="J38" s="327"/>
      <c r="K38" s="328">
        <v>675000</v>
      </c>
      <c r="L38" s="171"/>
      <c r="M38" s="169">
        <f t="shared" si="2"/>
        <v>19.347517865918139</v>
      </c>
      <c r="N38" s="169">
        <f t="shared" si="3"/>
        <v>2.1019014132949585</v>
      </c>
      <c r="O38" s="169">
        <f t="shared" si="4"/>
        <v>69.328515013945818</v>
      </c>
      <c r="P38" s="169">
        <f t="shared" si="5"/>
        <v>9.2220657068410823</v>
      </c>
      <c r="R38" s="58"/>
      <c r="S38" s="3"/>
      <c r="T38" s="3"/>
    </row>
    <row r="39" spans="1:256">
      <c r="A39" s="173" t="s">
        <v>24</v>
      </c>
      <c r="B39" s="139">
        <f t="shared" si="1"/>
        <v>2478026.7800000003</v>
      </c>
      <c r="C39" s="323">
        <v>467216.84</v>
      </c>
      <c r="D39" s="323">
        <v>213706.9</v>
      </c>
      <c r="E39" s="323">
        <v>613.45000000000005</v>
      </c>
      <c r="F39" s="323">
        <v>30227.32</v>
      </c>
      <c r="G39" s="131">
        <v>120928.16</v>
      </c>
      <c r="H39" s="323">
        <f>'fed3'!F39+'fed3'!G39</f>
        <v>1645334.11</v>
      </c>
      <c r="I39" s="323">
        <v>0</v>
      </c>
      <c r="J39" s="381"/>
      <c r="K39" s="385">
        <v>0</v>
      </c>
      <c r="L39" s="174"/>
      <c r="M39" s="175">
        <f t="shared" si="2"/>
        <v>28.723035430634042</v>
      </c>
      <c r="N39" s="175">
        <f t="shared" si="3"/>
        <v>4.8800182861623469</v>
      </c>
      <c r="O39" s="175">
        <f t="shared" si="4"/>
        <v>66.396946283203604</v>
      </c>
      <c r="P39" s="175">
        <f t="shared" si="5"/>
        <v>0</v>
      </c>
      <c r="R39" s="58"/>
      <c r="S39" s="3"/>
      <c r="T39" s="3"/>
    </row>
    <row r="40" spans="1:256">
      <c r="A40" s="64"/>
      <c r="B40" s="81"/>
      <c r="C40" s="81"/>
      <c r="D40" s="81"/>
      <c r="E40" s="81"/>
      <c r="F40" s="81"/>
      <c r="G40" s="81"/>
      <c r="H40" s="81"/>
      <c r="I40" s="81"/>
      <c r="J40" s="171"/>
      <c r="K40" s="155"/>
      <c r="L40" s="81"/>
      <c r="M40" s="156"/>
      <c r="N40" s="169"/>
      <c r="O40" s="169"/>
      <c r="P40" s="169"/>
      <c r="R40" s="3"/>
      <c r="S40" s="3"/>
      <c r="T40" s="3"/>
    </row>
    <row r="41" spans="1:256" s="55" customFormat="1">
      <c r="A41" s="193"/>
      <c r="B41" s="193"/>
      <c r="C41" s="193"/>
      <c r="D41" s="193"/>
      <c r="E41" s="193"/>
      <c r="F41" s="193"/>
      <c r="G41" s="193"/>
      <c r="H41" s="193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</row>
    <row r="42" spans="1:256">
      <c r="A42" s="176" t="s">
        <v>199</v>
      </c>
      <c r="B42" s="176"/>
      <c r="C42" s="176"/>
      <c r="D42" s="176"/>
      <c r="E42" s="176"/>
      <c r="F42" s="176"/>
      <c r="G42" s="176"/>
      <c r="H42" s="134"/>
      <c r="I42" s="176"/>
      <c r="J42" s="176"/>
      <c r="K42" s="176"/>
      <c r="L42" s="176"/>
      <c r="M42" s="176"/>
      <c r="N42" s="176"/>
      <c r="O42" s="176"/>
      <c r="P42" s="176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>
      <c r="I43" s="145"/>
      <c r="J43" s="145"/>
      <c r="M43" s="178"/>
      <c r="N43" s="178"/>
      <c r="O43" s="178"/>
      <c r="P43" s="178"/>
    </row>
    <row r="44" spans="1:256">
      <c r="I44" s="145"/>
      <c r="J44" s="145"/>
      <c r="M44" s="178"/>
      <c r="N44" s="178"/>
      <c r="O44" s="178"/>
      <c r="P44" s="178"/>
    </row>
    <row r="45" spans="1:256">
      <c r="M45" s="178"/>
      <c r="N45" s="178"/>
      <c r="O45" s="178"/>
      <c r="P45" s="178"/>
    </row>
    <row r="46" spans="1:256">
      <c r="M46" s="178"/>
      <c r="N46" s="178"/>
      <c r="O46" s="178"/>
      <c r="P46" s="178"/>
    </row>
    <row r="47" spans="1:256">
      <c r="M47" s="178"/>
      <c r="N47" s="178"/>
      <c r="O47" s="178"/>
      <c r="P47" s="178"/>
    </row>
    <row r="48" spans="1:256">
      <c r="M48" s="178"/>
      <c r="N48" s="178"/>
      <c r="O48" s="178"/>
      <c r="P48" s="178"/>
    </row>
    <row r="49" spans="13:16">
      <c r="M49" s="178"/>
      <c r="N49" s="178"/>
      <c r="O49" s="178"/>
      <c r="P49" s="178"/>
    </row>
    <row r="50" spans="13:16">
      <c r="M50" s="178"/>
      <c r="N50" s="178"/>
      <c r="O50" s="178"/>
      <c r="P50" s="178"/>
    </row>
    <row r="51" spans="13:16">
      <c r="M51" s="178"/>
      <c r="N51" s="178"/>
      <c r="O51" s="178"/>
      <c r="P51" s="178"/>
    </row>
    <row r="52" spans="13:16">
      <c r="M52" s="178"/>
      <c r="N52" s="178"/>
      <c r="O52" s="178"/>
      <c r="P52" s="178"/>
    </row>
    <row r="53" spans="13:16">
      <c r="M53" s="178"/>
      <c r="N53" s="178"/>
      <c r="O53" s="178"/>
      <c r="P53" s="178"/>
    </row>
    <row r="54" spans="13:16">
      <c r="M54" s="178"/>
      <c r="N54" s="178"/>
      <c r="O54" s="178"/>
      <c r="P54" s="178"/>
    </row>
    <row r="55" spans="13:16">
      <c r="M55" s="178"/>
      <c r="N55" s="178"/>
      <c r="O55" s="178"/>
      <c r="P55" s="178"/>
    </row>
    <row r="56" spans="13:16">
      <c r="M56" s="178"/>
      <c r="N56" s="178"/>
      <c r="O56" s="178"/>
      <c r="P56" s="178"/>
    </row>
    <row r="57" spans="13:16">
      <c r="M57" s="178"/>
      <c r="N57" s="178"/>
      <c r="O57" s="178"/>
      <c r="P57" s="178"/>
    </row>
    <row r="58" spans="13:16">
      <c r="M58" s="178"/>
      <c r="N58" s="178"/>
      <c r="O58" s="178"/>
      <c r="P58" s="178"/>
    </row>
    <row r="59" spans="13:16">
      <c r="M59" s="178"/>
      <c r="N59" s="178"/>
      <c r="O59" s="178"/>
      <c r="P59" s="178"/>
    </row>
    <row r="60" spans="13:16">
      <c r="M60" s="178"/>
      <c r="N60" s="178"/>
      <c r="O60" s="178"/>
      <c r="P60" s="178"/>
    </row>
    <row r="61" spans="13:16">
      <c r="M61" s="178"/>
      <c r="N61" s="178"/>
      <c r="O61" s="178"/>
      <c r="P61" s="178"/>
    </row>
    <row r="62" spans="13:16">
      <c r="M62" s="178"/>
      <c r="N62" s="178"/>
      <c r="O62" s="178"/>
      <c r="P62" s="178"/>
    </row>
    <row r="63" spans="13:16">
      <c r="M63" s="178"/>
      <c r="N63" s="178"/>
      <c r="O63" s="178"/>
      <c r="P63" s="178"/>
    </row>
    <row r="64" spans="13:16">
      <c r="M64" s="178"/>
      <c r="N64" s="178"/>
      <c r="O64" s="178"/>
      <c r="P64" s="178"/>
    </row>
    <row r="65" spans="13:16">
      <c r="M65" s="178"/>
      <c r="N65" s="178"/>
      <c r="O65" s="178"/>
      <c r="P65" s="178"/>
    </row>
    <row r="66" spans="13:16">
      <c r="M66" s="178"/>
      <c r="N66" s="178"/>
      <c r="O66" s="178"/>
      <c r="P66" s="178"/>
    </row>
    <row r="67" spans="13:16">
      <c r="M67" s="178"/>
      <c r="N67" s="178"/>
      <c r="O67" s="178"/>
      <c r="P67" s="178"/>
    </row>
    <row r="68" spans="13:16">
      <c r="M68" s="178"/>
      <c r="N68" s="178"/>
      <c r="O68" s="178"/>
      <c r="P68" s="178"/>
    </row>
    <row r="69" spans="13:16">
      <c r="M69" s="178"/>
      <c r="N69" s="178"/>
      <c r="O69" s="178"/>
      <c r="P69" s="178"/>
    </row>
    <row r="70" spans="13:16">
      <c r="M70" s="178"/>
      <c r="N70" s="178"/>
      <c r="O70" s="178"/>
      <c r="P70" s="178"/>
    </row>
    <row r="71" spans="13:16">
      <c r="M71" s="178"/>
      <c r="N71" s="178"/>
      <c r="O71" s="178"/>
      <c r="P71" s="178"/>
    </row>
    <row r="72" spans="13:16">
      <c r="M72" s="178"/>
      <c r="N72" s="178"/>
      <c r="O72" s="178"/>
      <c r="P72" s="178"/>
    </row>
    <row r="73" spans="13:16">
      <c r="M73" s="178"/>
      <c r="N73" s="178"/>
      <c r="O73" s="178"/>
      <c r="P73" s="178"/>
    </row>
    <row r="74" spans="13:16">
      <c r="M74" s="178"/>
      <c r="N74" s="178"/>
      <c r="O74" s="178"/>
      <c r="P74" s="178"/>
    </row>
    <row r="75" spans="13:16">
      <c r="M75" s="178"/>
      <c r="N75" s="178"/>
      <c r="O75" s="178"/>
      <c r="P75" s="178"/>
    </row>
    <row r="76" spans="13:16">
      <c r="M76" s="178"/>
      <c r="N76" s="178"/>
      <c r="O76" s="178"/>
      <c r="P76" s="178"/>
    </row>
    <row r="77" spans="13:16">
      <c r="M77" s="178"/>
      <c r="N77" s="178"/>
      <c r="O77" s="178"/>
      <c r="P77" s="178"/>
    </row>
    <row r="78" spans="13:16">
      <c r="M78" s="178"/>
      <c r="N78" s="178"/>
      <c r="O78" s="178"/>
      <c r="P78" s="178"/>
    </row>
    <row r="79" spans="13:16">
      <c r="M79" s="178"/>
      <c r="N79" s="178"/>
      <c r="O79" s="178"/>
      <c r="P79" s="178"/>
    </row>
    <row r="80" spans="13:16">
      <c r="M80" s="178"/>
      <c r="N80" s="178"/>
      <c r="O80" s="178"/>
      <c r="P80" s="178"/>
    </row>
    <row r="81" spans="13:16">
      <c r="M81" s="178"/>
      <c r="N81" s="178"/>
      <c r="O81" s="178"/>
      <c r="P81" s="178"/>
    </row>
    <row r="82" spans="13:16">
      <c r="M82" s="178"/>
      <c r="N82" s="178"/>
      <c r="O82" s="178"/>
      <c r="P82" s="178"/>
    </row>
    <row r="83" spans="13:16">
      <c r="M83" s="178"/>
      <c r="N83" s="178"/>
      <c r="O83" s="178"/>
      <c r="P83" s="178"/>
    </row>
    <row r="84" spans="13:16">
      <c r="M84" s="178"/>
      <c r="N84" s="178"/>
      <c r="O84" s="178"/>
      <c r="P84" s="178"/>
    </row>
    <row r="85" spans="13:16">
      <c r="M85" s="178"/>
      <c r="N85" s="178"/>
      <c r="O85" s="178"/>
      <c r="P85" s="178"/>
    </row>
    <row r="86" spans="13:16">
      <c r="M86" s="178"/>
      <c r="N86" s="178"/>
      <c r="O86" s="178"/>
      <c r="P86" s="178"/>
    </row>
    <row r="87" spans="13:16">
      <c r="M87" s="178"/>
      <c r="N87" s="178"/>
      <c r="O87" s="178"/>
      <c r="P87" s="178"/>
    </row>
    <row r="88" spans="13:16">
      <c r="M88" s="178"/>
      <c r="N88" s="178"/>
      <c r="O88" s="178"/>
      <c r="P88" s="178"/>
    </row>
    <row r="89" spans="13:16">
      <c r="M89" s="178"/>
      <c r="N89" s="178"/>
      <c r="O89" s="178"/>
      <c r="P89" s="178"/>
    </row>
    <row r="90" spans="13:16">
      <c r="M90" s="178"/>
      <c r="N90" s="178"/>
      <c r="O90" s="178"/>
      <c r="P90" s="178"/>
    </row>
    <row r="91" spans="13:16">
      <c r="M91" s="178"/>
      <c r="N91" s="178"/>
      <c r="O91" s="178"/>
      <c r="P91" s="178"/>
    </row>
    <row r="92" spans="13:16">
      <c r="M92" s="178"/>
      <c r="N92" s="178"/>
      <c r="O92" s="178"/>
      <c r="P92" s="178"/>
    </row>
    <row r="93" spans="13:16">
      <c r="M93" s="178"/>
      <c r="N93" s="178"/>
      <c r="O93" s="178"/>
      <c r="P93" s="178"/>
    </row>
    <row r="94" spans="13:16">
      <c r="M94" s="178"/>
      <c r="N94" s="178"/>
      <c r="O94" s="178"/>
      <c r="P94" s="178"/>
    </row>
    <row r="95" spans="13:16">
      <c r="M95" s="178"/>
      <c r="N95" s="178"/>
      <c r="O95" s="178"/>
      <c r="P95" s="178"/>
    </row>
    <row r="96" spans="13:16">
      <c r="M96" s="178"/>
      <c r="N96" s="178"/>
      <c r="O96" s="178"/>
      <c r="P96" s="178"/>
    </row>
    <row r="97" spans="13:16">
      <c r="M97" s="178"/>
      <c r="N97" s="178"/>
      <c r="O97" s="178"/>
      <c r="P97" s="178"/>
    </row>
    <row r="98" spans="13:16">
      <c r="M98" s="178"/>
      <c r="N98" s="178"/>
      <c r="O98" s="178"/>
      <c r="P98" s="178"/>
    </row>
    <row r="99" spans="13:16">
      <c r="M99" s="178"/>
      <c r="N99" s="178"/>
      <c r="O99" s="178"/>
      <c r="P99" s="178"/>
    </row>
    <row r="100" spans="13:16">
      <c r="M100" s="178"/>
      <c r="N100" s="178"/>
      <c r="O100" s="178"/>
      <c r="P100" s="178"/>
    </row>
    <row r="101" spans="13:16">
      <c r="M101" s="178"/>
      <c r="N101" s="178"/>
      <c r="O101" s="178"/>
      <c r="P101" s="178"/>
    </row>
    <row r="102" spans="13:16">
      <c r="M102" s="178"/>
      <c r="N102" s="178"/>
      <c r="O102" s="178"/>
      <c r="P102" s="178"/>
    </row>
    <row r="103" spans="13:16">
      <c r="M103" s="178"/>
      <c r="N103" s="178"/>
      <c r="O103" s="178"/>
      <c r="P103" s="178"/>
    </row>
    <row r="104" spans="13:16">
      <c r="M104" s="178"/>
      <c r="N104" s="178"/>
      <c r="O104" s="178"/>
      <c r="P104" s="178"/>
    </row>
    <row r="105" spans="13:16">
      <c r="M105" s="178"/>
      <c r="N105" s="178"/>
      <c r="O105" s="178"/>
      <c r="P105" s="178"/>
    </row>
    <row r="106" spans="13:16">
      <c r="M106" s="178"/>
      <c r="N106" s="178"/>
      <c r="O106" s="178"/>
      <c r="P106" s="178"/>
    </row>
    <row r="107" spans="13:16">
      <c r="M107" s="178"/>
      <c r="N107" s="178"/>
      <c r="O107" s="178"/>
      <c r="P107" s="178"/>
    </row>
    <row r="108" spans="13:16">
      <c r="M108" s="178"/>
      <c r="N108" s="178"/>
      <c r="O108" s="178"/>
      <c r="P108" s="178"/>
    </row>
    <row r="109" spans="13:16">
      <c r="M109" s="178"/>
      <c r="N109" s="178"/>
      <c r="O109" s="178"/>
      <c r="P109" s="178"/>
    </row>
    <row r="110" spans="13:16">
      <c r="M110" s="178"/>
      <c r="N110" s="178"/>
      <c r="O110" s="178"/>
      <c r="P110" s="178"/>
    </row>
    <row r="111" spans="13:16">
      <c r="M111" s="178"/>
      <c r="N111" s="178"/>
      <c r="O111" s="178"/>
      <c r="P111" s="178"/>
    </row>
    <row r="112" spans="13:16">
      <c r="M112" s="178"/>
      <c r="N112" s="178"/>
      <c r="O112" s="178"/>
      <c r="P112" s="178"/>
    </row>
    <row r="113" spans="13:16">
      <c r="M113" s="178"/>
      <c r="N113" s="178"/>
      <c r="O113" s="178"/>
      <c r="P113" s="178"/>
    </row>
    <row r="114" spans="13:16">
      <c r="M114" s="178"/>
      <c r="N114" s="178"/>
      <c r="O114" s="178"/>
      <c r="P114" s="178"/>
    </row>
    <row r="115" spans="13:16">
      <c r="M115" s="178"/>
      <c r="N115" s="178"/>
      <c r="O115" s="178"/>
      <c r="P115" s="178"/>
    </row>
    <row r="116" spans="13:16">
      <c r="M116" s="178"/>
      <c r="N116" s="178"/>
      <c r="O116" s="178"/>
      <c r="P116" s="178"/>
    </row>
    <row r="117" spans="13:16">
      <c r="M117" s="178"/>
      <c r="N117" s="178"/>
      <c r="O117" s="178"/>
      <c r="P117" s="178"/>
    </row>
    <row r="118" spans="13:16">
      <c r="M118" s="178"/>
      <c r="N118" s="178"/>
      <c r="O118" s="178"/>
      <c r="P118" s="178"/>
    </row>
    <row r="119" spans="13:16">
      <c r="M119" s="178"/>
      <c r="N119" s="178"/>
      <c r="O119" s="178"/>
      <c r="P119" s="178"/>
    </row>
    <row r="120" spans="13:16">
      <c r="M120" s="178"/>
      <c r="N120" s="178"/>
      <c r="O120" s="178"/>
      <c r="P120" s="178"/>
    </row>
    <row r="121" spans="13:16">
      <c r="M121" s="178"/>
      <c r="N121" s="178"/>
      <c r="O121" s="178"/>
      <c r="P121" s="178"/>
    </row>
    <row r="122" spans="13:16">
      <c r="M122" s="178"/>
      <c r="N122" s="178"/>
      <c r="O122" s="178"/>
      <c r="P122" s="178"/>
    </row>
    <row r="123" spans="13:16">
      <c r="M123" s="178"/>
      <c r="N123" s="178"/>
      <c r="O123" s="178"/>
      <c r="P123" s="178"/>
    </row>
    <row r="124" spans="13:16">
      <c r="M124" s="178"/>
      <c r="N124" s="178"/>
      <c r="O124" s="178"/>
      <c r="P124" s="178"/>
    </row>
    <row r="125" spans="13:16">
      <c r="M125" s="178"/>
      <c r="N125" s="178"/>
      <c r="O125" s="178"/>
      <c r="P125" s="178"/>
    </row>
    <row r="126" spans="13:16">
      <c r="M126" s="178"/>
      <c r="N126" s="178"/>
      <c r="O126" s="178"/>
      <c r="P126" s="178"/>
    </row>
    <row r="127" spans="13:16">
      <c r="M127" s="178"/>
      <c r="N127" s="178"/>
      <c r="O127" s="178"/>
      <c r="P127" s="178"/>
    </row>
    <row r="128" spans="13:16">
      <c r="M128" s="178"/>
      <c r="N128" s="178"/>
      <c r="O128" s="178"/>
      <c r="P128" s="178"/>
    </row>
    <row r="129" spans="13:16">
      <c r="M129" s="178"/>
      <c r="N129" s="178"/>
      <c r="O129" s="178"/>
      <c r="P129" s="178"/>
    </row>
    <row r="130" spans="13:16">
      <c r="M130" s="178"/>
      <c r="N130" s="178"/>
      <c r="O130" s="178"/>
      <c r="P130" s="178"/>
    </row>
    <row r="131" spans="13:16">
      <c r="M131" s="178"/>
      <c r="N131" s="178"/>
      <c r="O131" s="178"/>
      <c r="P131" s="178"/>
    </row>
    <row r="132" spans="13:16">
      <c r="M132" s="178"/>
      <c r="N132" s="178"/>
      <c r="O132" s="178"/>
      <c r="P132" s="178"/>
    </row>
    <row r="133" spans="13:16">
      <c r="M133" s="178"/>
      <c r="N133" s="178"/>
      <c r="O133" s="178"/>
      <c r="P133" s="178"/>
    </row>
    <row r="134" spans="13:16">
      <c r="M134" s="178"/>
      <c r="N134" s="178"/>
      <c r="O134" s="178"/>
      <c r="P134" s="178"/>
    </row>
    <row r="135" spans="13:16">
      <c r="M135" s="178"/>
      <c r="N135" s="178"/>
      <c r="O135" s="178"/>
      <c r="P135" s="178"/>
    </row>
    <row r="136" spans="13:16">
      <c r="M136" s="178"/>
      <c r="N136" s="178"/>
      <c r="O136" s="178"/>
      <c r="P136" s="178"/>
    </row>
    <row r="137" spans="13:16">
      <c r="M137" s="178"/>
      <c r="N137" s="178"/>
      <c r="O137" s="178"/>
      <c r="P137" s="178"/>
    </row>
    <row r="138" spans="13:16">
      <c r="M138" s="178"/>
      <c r="N138" s="178"/>
      <c r="O138" s="178"/>
      <c r="P138" s="178"/>
    </row>
    <row r="139" spans="13:16">
      <c r="M139" s="178"/>
      <c r="N139" s="178"/>
      <c r="O139" s="178"/>
      <c r="P139" s="178"/>
    </row>
    <row r="140" spans="13:16">
      <c r="M140" s="178"/>
      <c r="N140" s="178"/>
      <c r="O140" s="178"/>
      <c r="P140" s="178"/>
    </row>
    <row r="141" spans="13:16">
      <c r="M141" s="178"/>
      <c r="N141" s="178"/>
      <c r="O141" s="178"/>
      <c r="P141" s="178"/>
    </row>
    <row r="142" spans="13:16">
      <c r="M142" s="178"/>
      <c r="N142" s="178"/>
      <c r="O142" s="178"/>
      <c r="P142" s="178"/>
    </row>
    <row r="143" spans="13:16">
      <c r="M143" s="178"/>
      <c r="N143" s="178"/>
      <c r="O143" s="178"/>
      <c r="P143" s="178"/>
    </row>
    <row r="144" spans="13:16">
      <c r="M144" s="178"/>
      <c r="N144" s="178"/>
      <c r="O144" s="178"/>
      <c r="P144" s="178"/>
    </row>
    <row r="145" spans="13:16">
      <c r="M145" s="178"/>
      <c r="N145" s="178"/>
      <c r="O145" s="178"/>
      <c r="P145" s="178"/>
    </row>
    <row r="146" spans="13:16">
      <c r="M146" s="178"/>
      <c r="N146" s="178"/>
      <c r="O146" s="178"/>
      <c r="P146" s="178"/>
    </row>
    <row r="147" spans="13:16">
      <c r="M147" s="178"/>
      <c r="N147" s="178"/>
      <c r="O147" s="178"/>
      <c r="P147" s="178"/>
    </row>
    <row r="148" spans="13:16">
      <c r="M148" s="178"/>
      <c r="N148" s="178"/>
      <c r="O148" s="178"/>
      <c r="P148" s="178"/>
    </row>
    <row r="149" spans="13:16">
      <c r="M149" s="178"/>
      <c r="N149" s="178"/>
      <c r="O149" s="178"/>
      <c r="P149" s="178"/>
    </row>
    <row r="150" spans="13:16">
      <c r="M150" s="178"/>
      <c r="N150" s="178"/>
      <c r="O150" s="178"/>
      <c r="P150" s="178"/>
    </row>
    <row r="151" spans="13:16">
      <c r="M151" s="178"/>
      <c r="N151" s="178"/>
      <c r="O151" s="178"/>
      <c r="P151" s="178"/>
    </row>
    <row r="152" spans="13:16">
      <c r="M152" s="178"/>
      <c r="N152" s="178"/>
      <c r="O152" s="178"/>
      <c r="P152" s="178"/>
    </row>
    <row r="153" spans="13:16">
      <c r="M153" s="178"/>
      <c r="N153" s="178"/>
      <c r="O153" s="178"/>
      <c r="P153" s="178"/>
    </row>
    <row r="154" spans="13:16">
      <c r="M154" s="178"/>
      <c r="N154" s="178"/>
      <c r="O154" s="178"/>
      <c r="P154" s="178"/>
    </row>
    <row r="155" spans="13:16">
      <c r="M155" s="178"/>
      <c r="N155" s="178"/>
      <c r="O155" s="178"/>
      <c r="P155" s="178"/>
    </row>
    <row r="156" spans="13:16">
      <c r="M156" s="178"/>
      <c r="N156" s="178"/>
      <c r="O156" s="178"/>
      <c r="P156" s="178"/>
    </row>
    <row r="157" spans="13:16">
      <c r="M157" s="178"/>
      <c r="N157" s="178"/>
      <c r="O157" s="178"/>
      <c r="P157" s="178"/>
    </row>
    <row r="158" spans="13:16">
      <c r="M158" s="178"/>
      <c r="N158" s="178"/>
      <c r="O158" s="178"/>
      <c r="P158" s="178"/>
    </row>
    <row r="159" spans="13:16">
      <c r="M159" s="178"/>
      <c r="N159" s="178"/>
      <c r="O159" s="178"/>
      <c r="P159" s="178"/>
    </row>
    <row r="160" spans="13:16">
      <c r="M160" s="178"/>
      <c r="N160" s="178"/>
      <c r="O160" s="178"/>
      <c r="P160" s="178"/>
    </row>
    <row r="161" spans="13:16">
      <c r="M161" s="178"/>
      <c r="N161" s="178"/>
      <c r="O161" s="178"/>
      <c r="P161" s="178"/>
    </row>
    <row r="162" spans="13:16">
      <c r="M162" s="178"/>
      <c r="N162" s="178"/>
      <c r="O162" s="178"/>
      <c r="P162" s="178"/>
    </row>
    <row r="163" spans="13:16">
      <c r="M163" s="178"/>
      <c r="N163" s="178"/>
      <c r="O163" s="178"/>
      <c r="P163" s="178"/>
    </row>
    <row r="164" spans="13:16">
      <c r="M164" s="178"/>
      <c r="N164" s="178"/>
      <c r="O164" s="178"/>
      <c r="P164" s="178"/>
    </row>
    <row r="165" spans="13:16">
      <c r="M165" s="178"/>
      <c r="N165" s="178"/>
      <c r="O165" s="178"/>
      <c r="P165" s="178"/>
    </row>
    <row r="166" spans="13:16">
      <c r="M166" s="178"/>
      <c r="N166" s="178"/>
      <c r="O166" s="178"/>
      <c r="P166" s="178"/>
    </row>
    <row r="167" spans="13:16">
      <c r="M167" s="178"/>
      <c r="N167" s="178"/>
      <c r="O167" s="178"/>
      <c r="P167" s="178"/>
    </row>
    <row r="168" spans="13:16">
      <c r="M168" s="178"/>
      <c r="N168" s="178"/>
      <c r="O168" s="178"/>
      <c r="P168" s="178"/>
    </row>
    <row r="169" spans="13:16">
      <c r="M169" s="178"/>
      <c r="N169" s="178"/>
      <c r="O169" s="178"/>
      <c r="P169" s="178"/>
    </row>
    <row r="170" spans="13:16">
      <c r="M170" s="178"/>
      <c r="N170" s="178"/>
      <c r="O170" s="178"/>
      <c r="P170" s="178"/>
    </row>
    <row r="171" spans="13:16">
      <c r="M171" s="178"/>
      <c r="N171" s="178"/>
      <c r="O171" s="178"/>
      <c r="P171" s="178"/>
    </row>
    <row r="172" spans="13:16">
      <c r="M172" s="178"/>
      <c r="N172" s="178"/>
      <c r="O172" s="178"/>
      <c r="P172" s="178"/>
    </row>
    <row r="173" spans="13:16">
      <c r="M173" s="178"/>
      <c r="N173" s="178"/>
      <c r="O173" s="178"/>
      <c r="P173" s="178"/>
    </row>
    <row r="174" spans="13:16">
      <c r="M174" s="178"/>
      <c r="N174" s="178"/>
      <c r="O174" s="178"/>
      <c r="P174" s="178"/>
    </row>
    <row r="175" spans="13:16">
      <c r="M175" s="178"/>
      <c r="N175" s="178"/>
      <c r="O175" s="178"/>
      <c r="P175" s="178"/>
    </row>
    <row r="176" spans="13:16">
      <c r="M176" s="178"/>
      <c r="N176" s="178"/>
      <c r="O176" s="178"/>
      <c r="P176" s="178"/>
    </row>
    <row r="177" spans="13:16">
      <c r="M177" s="178"/>
      <c r="N177" s="178"/>
      <c r="O177" s="178"/>
      <c r="P177" s="178"/>
    </row>
    <row r="178" spans="13:16">
      <c r="M178" s="178"/>
      <c r="N178" s="178"/>
      <c r="O178" s="178"/>
      <c r="P178" s="178"/>
    </row>
    <row r="179" spans="13:16">
      <c r="M179" s="178"/>
      <c r="N179" s="178"/>
      <c r="O179" s="178"/>
      <c r="P179" s="178"/>
    </row>
    <row r="180" spans="13:16">
      <c r="M180" s="178"/>
      <c r="N180" s="178"/>
      <c r="O180" s="178"/>
      <c r="P180" s="178"/>
    </row>
    <row r="181" spans="13:16">
      <c r="M181" s="178"/>
      <c r="N181" s="178"/>
      <c r="O181" s="178"/>
      <c r="P181" s="178"/>
    </row>
    <row r="182" spans="13:16">
      <c r="M182" s="178"/>
      <c r="N182" s="178"/>
      <c r="O182" s="178"/>
      <c r="P182" s="178"/>
    </row>
    <row r="183" spans="13:16">
      <c r="M183" s="178"/>
      <c r="N183" s="178"/>
      <c r="O183" s="178"/>
      <c r="P183" s="178"/>
    </row>
    <row r="184" spans="13:16">
      <c r="M184" s="178"/>
      <c r="N184" s="178"/>
      <c r="O184" s="178"/>
      <c r="P184" s="178"/>
    </row>
    <row r="185" spans="13:16">
      <c r="M185" s="178"/>
      <c r="N185" s="178"/>
      <c r="O185" s="178"/>
      <c r="P185" s="178"/>
    </row>
    <row r="186" spans="13:16">
      <c r="M186" s="178"/>
      <c r="N186" s="178"/>
      <c r="O186" s="178"/>
      <c r="P186" s="178"/>
    </row>
    <row r="187" spans="13:16">
      <c r="M187" s="178"/>
      <c r="N187" s="178"/>
      <c r="O187" s="178"/>
      <c r="P187" s="178"/>
    </row>
    <row r="188" spans="13:16">
      <c r="M188" s="178"/>
      <c r="N188" s="178"/>
      <c r="O188" s="178"/>
      <c r="P188" s="178"/>
    </row>
    <row r="189" spans="13:16">
      <c r="M189" s="178"/>
      <c r="N189" s="178"/>
      <c r="O189" s="178"/>
      <c r="P189" s="178"/>
    </row>
    <row r="190" spans="13:16">
      <c r="M190" s="178"/>
      <c r="N190" s="178"/>
      <c r="O190" s="178"/>
      <c r="P190" s="178"/>
    </row>
    <row r="191" spans="13:16">
      <c r="M191" s="178"/>
      <c r="N191" s="178"/>
      <c r="O191" s="178"/>
      <c r="P191" s="178"/>
    </row>
    <row r="192" spans="13:16">
      <c r="M192" s="178"/>
      <c r="N192" s="178"/>
      <c r="O192" s="178"/>
      <c r="P192" s="178"/>
    </row>
    <row r="193" spans="13:16">
      <c r="M193" s="178"/>
      <c r="N193" s="178"/>
      <c r="O193" s="178"/>
      <c r="P193" s="178"/>
    </row>
    <row r="194" spans="13:16">
      <c r="M194" s="178"/>
      <c r="N194" s="178"/>
      <c r="O194" s="178"/>
      <c r="P194" s="178"/>
    </row>
    <row r="195" spans="13:16">
      <c r="M195" s="178"/>
      <c r="N195" s="178"/>
      <c r="O195" s="178"/>
      <c r="P195" s="178"/>
    </row>
    <row r="196" spans="13:16">
      <c r="M196" s="178"/>
      <c r="N196" s="178"/>
      <c r="O196" s="178"/>
      <c r="P196" s="178"/>
    </row>
    <row r="197" spans="13:16">
      <c r="M197" s="178"/>
      <c r="N197" s="178"/>
      <c r="O197" s="178"/>
      <c r="P197" s="178"/>
    </row>
    <row r="198" spans="13:16">
      <c r="M198" s="178"/>
      <c r="N198" s="178"/>
      <c r="O198" s="178"/>
      <c r="P198" s="178"/>
    </row>
    <row r="199" spans="13:16">
      <c r="M199" s="178"/>
      <c r="N199" s="178"/>
      <c r="O199" s="178"/>
      <c r="P199" s="178"/>
    </row>
    <row r="200" spans="13:16">
      <c r="M200" s="178"/>
      <c r="N200" s="178"/>
      <c r="O200" s="178"/>
      <c r="P200" s="178"/>
    </row>
    <row r="201" spans="13:16">
      <c r="M201" s="178"/>
      <c r="N201" s="178"/>
      <c r="O201" s="178"/>
      <c r="P201" s="178"/>
    </row>
    <row r="202" spans="13:16">
      <c r="M202" s="178"/>
      <c r="N202" s="178"/>
      <c r="O202" s="178"/>
      <c r="P202" s="178"/>
    </row>
    <row r="203" spans="13:16">
      <c r="M203" s="178"/>
      <c r="N203" s="178"/>
      <c r="O203" s="178"/>
      <c r="P203" s="178"/>
    </row>
    <row r="204" spans="13:16">
      <c r="M204" s="178"/>
      <c r="N204" s="178"/>
      <c r="O204" s="178"/>
      <c r="P204" s="178"/>
    </row>
    <row r="205" spans="13:16">
      <c r="M205" s="178"/>
      <c r="N205" s="178"/>
      <c r="O205" s="178"/>
      <c r="P205" s="178"/>
    </row>
    <row r="206" spans="13:16">
      <c r="M206" s="178"/>
      <c r="N206" s="178"/>
      <c r="O206" s="178"/>
      <c r="P206" s="178"/>
    </row>
    <row r="207" spans="13:16">
      <c r="M207" s="178"/>
      <c r="N207" s="178"/>
      <c r="O207" s="178"/>
      <c r="P207" s="178"/>
    </row>
    <row r="208" spans="13:16">
      <c r="M208" s="178"/>
      <c r="N208" s="178"/>
      <c r="O208" s="178"/>
      <c r="P208" s="178"/>
    </row>
    <row r="209" spans="13:16">
      <c r="M209" s="178"/>
      <c r="N209" s="178"/>
      <c r="O209" s="178"/>
      <c r="P209" s="178"/>
    </row>
    <row r="210" spans="13:16">
      <c r="M210" s="178"/>
      <c r="N210" s="178"/>
      <c r="O210" s="178"/>
      <c r="P210" s="178"/>
    </row>
    <row r="211" spans="13:16">
      <c r="M211" s="178"/>
      <c r="N211" s="178"/>
      <c r="O211" s="178"/>
      <c r="P211" s="178"/>
    </row>
    <row r="212" spans="13:16">
      <c r="M212" s="178"/>
      <c r="N212" s="178"/>
      <c r="O212" s="178"/>
      <c r="P212" s="178"/>
    </row>
    <row r="213" spans="13:16">
      <c r="M213" s="178"/>
      <c r="N213" s="178"/>
      <c r="O213" s="178"/>
      <c r="P213" s="178"/>
    </row>
    <row r="214" spans="13:16">
      <c r="M214" s="178"/>
      <c r="N214" s="178"/>
      <c r="O214" s="178"/>
      <c r="P214" s="178"/>
    </row>
    <row r="215" spans="13:16">
      <c r="M215" s="178"/>
      <c r="N215" s="178"/>
      <c r="O215" s="178"/>
      <c r="P215" s="178"/>
    </row>
    <row r="216" spans="13:16">
      <c r="M216" s="178"/>
      <c r="N216" s="178"/>
      <c r="O216" s="178"/>
      <c r="P216" s="178"/>
    </row>
    <row r="217" spans="13:16">
      <c r="M217" s="178"/>
      <c r="N217" s="178"/>
      <c r="O217" s="178"/>
      <c r="P217" s="178"/>
    </row>
    <row r="218" spans="13:16">
      <c r="M218" s="178"/>
      <c r="N218" s="178"/>
      <c r="O218" s="178"/>
      <c r="P218" s="178"/>
    </row>
    <row r="219" spans="13:16">
      <c r="M219" s="178"/>
      <c r="N219" s="178"/>
      <c r="O219" s="178"/>
      <c r="P219" s="178"/>
    </row>
    <row r="220" spans="13:16">
      <c r="M220" s="178"/>
      <c r="N220" s="178"/>
      <c r="O220" s="178"/>
      <c r="P220" s="178"/>
    </row>
    <row r="221" spans="13:16">
      <c r="M221" s="178"/>
      <c r="N221" s="178"/>
      <c r="O221" s="178"/>
      <c r="P221" s="178"/>
    </row>
    <row r="222" spans="13:16">
      <c r="M222" s="178"/>
      <c r="N222" s="178"/>
      <c r="O222" s="178"/>
      <c r="P222" s="178"/>
    </row>
    <row r="223" spans="13:16">
      <c r="M223" s="178"/>
      <c r="N223" s="178"/>
      <c r="O223" s="178"/>
      <c r="P223" s="178"/>
    </row>
    <row r="224" spans="13:16">
      <c r="M224" s="178"/>
      <c r="N224" s="178"/>
      <c r="O224" s="178"/>
      <c r="P224" s="178"/>
    </row>
    <row r="225" spans="13:16">
      <c r="M225" s="178"/>
      <c r="N225" s="178"/>
      <c r="O225" s="178"/>
      <c r="P225" s="178"/>
    </row>
    <row r="226" spans="13:16">
      <c r="M226" s="178"/>
      <c r="N226" s="178"/>
      <c r="O226" s="178"/>
      <c r="P226" s="178"/>
    </row>
    <row r="227" spans="13:16">
      <c r="M227" s="178"/>
      <c r="N227" s="178"/>
      <c r="O227" s="178"/>
      <c r="P227" s="178"/>
    </row>
    <row r="228" spans="13:16">
      <c r="M228" s="178"/>
      <c r="N228" s="178"/>
      <c r="O228" s="178"/>
      <c r="P228" s="178"/>
    </row>
    <row r="229" spans="13:16">
      <c r="M229" s="178"/>
      <c r="N229" s="178"/>
      <c r="O229" s="178"/>
      <c r="P229" s="178"/>
    </row>
    <row r="230" spans="13:16">
      <c r="M230" s="178"/>
      <c r="N230" s="178"/>
      <c r="O230" s="178"/>
      <c r="P230" s="178"/>
    </row>
    <row r="231" spans="13:16">
      <c r="M231" s="178"/>
      <c r="N231" s="178"/>
      <c r="O231" s="178"/>
      <c r="P231" s="178"/>
    </row>
    <row r="232" spans="13:16">
      <c r="M232" s="178"/>
      <c r="N232" s="178"/>
      <c r="O232" s="178"/>
      <c r="P232" s="178"/>
    </row>
    <row r="233" spans="13:16">
      <c r="M233" s="178"/>
      <c r="N233" s="178"/>
      <c r="O233" s="178"/>
      <c r="P233" s="178"/>
    </row>
    <row r="234" spans="13:16">
      <c r="M234" s="178"/>
      <c r="N234" s="178"/>
      <c r="O234" s="178"/>
      <c r="P234" s="178"/>
    </row>
    <row r="235" spans="13:16">
      <c r="M235" s="178"/>
      <c r="N235" s="178"/>
      <c r="O235" s="178"/>
      <c r="P235" s="178"/>
    </row>
    <row r="236" spans="13:16">
      <c r="M236" s="178"/>
      <c r="N236" s="178"/>
      <c r="O236" s="178"/>
      <c r="P236" s="178"/>
    </row>
    <row r="237" spans="13:16">
      <c r="M237" s="178"/>
      <c r="N237" s="178"/>
      <c r="O237" s="178"/>
      <c r="P237" s="178"/>
    </row>
    <row r="238" spans="13:16">
      <c r="M238" s="178"/>
      <c r="N238" s="178"/>
      <c r="O238" s="178"/>
      <c r="P238" s="178"/>
    </row>
    <row r="239" spans="13:16">
      <c r="M239" s="178"/>
      <c r="N239" s="178"/>
      <c r="O239" s="178"/>
      <c r="P239" s="178"/>
    </row>
    <row r="240" spans="13:16">
      <c r="M240" s="178"/>
      <c r="N240" s="178"/>
      <c r="O240" s="178"/>
      <c r="P240" s="178"/>
    </row>
    <row r="241" spans="13:16">
      <c r="M241" s="178"/>
      <c r="N241" s="178"/>
      <c r="O241" s="178"/>
      <c r="P241" s="178"/>
    </row>
    <row r="242" spans="13:16">
      <c r="M242" s="178"/>
      <c r="N242" s="178"/>
      <c r="O242" s="178"/>
      <c r="P242" s="178"/>
    </row>
    <row r="243" spans="13:16">
      <c r="M243" s="178"/>
      <c r="N243" s="178"/>
      <c r="O243" s="178"/>
      <c r="P243" s="178"/>
    </row>
    <row r="244" spans="13:16">
      <c r="M244" s="178"/>
      <c r="N244" s="178"/>
      <c r="O244" s="178"/>
      <c r="P244" s="178"/>
    </row>
    <row r="245" spans="13:16">
      <c r="M245" s="178"/>
      <c r="N245" s="178"/>
      <c r="O245" s="178"/>
      <c r="P245" s="178"/>
    </row>
    <row r="246" spans="13:16">
      <c r="M246" s="178"/>
      <c r="N246" s="178"/>
      <c r="O246" s="178"/>
      <c r="P246" s="178"/>
    </row>
    <row r="247" spans="13:16">
      <c r="M247" s="178"/>
      <c r="N247" s="178"/>
      <c r="O247" s="178"/>
      <c r="P247" s="178"/>
    </row>
    <row r="248" spans="13:16">
      <c r="M248" s="178"/>
      <c r="N248" s="178"/>
      <c r="O248" s="178"/>
      <c r="P248" s="178"/>
    </row>
    <row r="249" spans="13:16">
      <c r="M249" s="178"/>
      <c r="N249" s="178"/>
      <c r="O249" s="178"/>
      <c r="P249" s="178"/>
    </row>
    <row r="250" spans="13:16">
      <c r="M250" s="178"/>
      <c r="N250" s="178"/>
      <c r="O250" s="178"/>
      <c r="P250" s="178"/>
    </row>
    <row r="251" spans="13:16">
      <c r="M251" s="178"/>
      <c r="N251" s="178"/>
      <c r="O251" s="178"/>
      <c r="P251" s="178"/>
    </row>
    <row r="252" spans="13:16">
      <c r="M252" s="178"/>
      <c r="N252" s="178"/>
      <c r="O252" s="178"/>
      <c r="P252" s="178"/>
    </row>
    <row r="253" spans="13:16">
      <c r="M253" s="178"/>
      <c r="N253" s="178"/>
      <c r="O253" s="178"/>
      <c r="P253" s="178"/>
    </row>
    <row r="254" spans="13:16">
      <c r="M254" s="178"/>
      <c r="N254" s="178"/>
      <c r="O254" s="178"/>
      <c r="P254" s="178"/>
    </row>
    <row r="255" spans="13:16">
      <c r="M255" s="178"/>
      <c r="N255" s="178"/>
      <c r="O255" s="178"/>
      <c r="P255" s="178"/>
    </row>
    <row r="256" spans="13:16">
      <c r="M256" s="178"/>
      <c r="N256" s="178"/>
      <c r="O256" s="178"/>
      <c r="P256" s="178"/>
    </row>
    <row r="257" spans="13:16">
      <c r="M257" s="178"/>
      <c r="N257" s="178"/>
      <c r="O257" s="178"/>
      <c r="P257" s="178"/>
    </row>
    <row r="258" spans="13:16">
      <c r="M258" s="178"/>
      <c r="N258" s="178"/>
      <c r="O258" s="178"/>
      <c r="P258" s="178"/>
    </row>
    <row r="259" spans="13:16">
      <c r="M259" s="178"/>
      <c r="N259" s="178"/>
      <c r="O259" s="178"/>
      <c r="P259" s="178"/>
    </row>
    <row r="260" spans="13:16">
      <c r="M260" s="178"/>
      <c r="N260" s="178"/>
      <c r="O260" s="178"/>
      <c r="P260" s="178"/>
    </row>
    <row r="261" spans="13:16">
      <c r="M261" s="178"/>
      <c r="N261" s="178"/>
      <c r="O261" s="178"/>
      <c r="P261" s="178"/>
    </row>
    <row r="262" spans="13:16">
      <c r="M262" s="178"/>
      <c r="N262" s="178"/>
      <c r="O262" s="178"/>
      <c r="P262" s="178"/>
    </row>
    <row r="263" spans="13:16">
      <c r="M263" s="178"/>
      <c r="N263" s="178"/>
      <c r="O263" s="178"/>
      <c r="P263" s="178"/>
    </row>
    <row r="264" spans="13:16">
      <c r="M264" s="178"/>
      <c r="N264" s="178"/>
      <c r="O264" s="178"/>
      <c r="P264" s="178"/>
    </row>
    <row r="265" spans="13:16">
      <c r="M265" s="178"/>
      <c r="N265" s="178"/>
      <c r="O265" s="178"/>
      <c r="P265" s="178"/>
    </row>
    <row r="266" spans="13:16">
      <c r="M266" s="178"/>
      <c r="N266" s="178"/>
      <c r="O266" s="178"/>
      <c r="P266" s="178"/>
    </row>
    <row r="267" spans="13:16">
      <c r="M267" s="178"/>
      <c r="N267" s="178"/>
      <c r="O267" s="178"/>
      <c r="P267" s="178"/>
    </row>
    <row r="268" spans="13:16">
      <c r="M268" s="178"/>
      <c r="N268" s="178"/>
      <c r="O268" s="178"/>
      <c r="P268" s="178"/>
    </row>
    <row r="269" spans="13:16">
      <c r="M269" s="178"/>
      <c r="N269" s="178"/>
      <c r="O269" s="178"/>
      <c r="P269" s="178"/>
    </row>
    <row r="270" spans="13:16">
      <c r="M270" s="178"/>
      <c r="N270" s="178"/>
      <c r="O270" s="178"/>
      <c r="P270" s="178"/>
    </row>
    <row r="271" spans="13:16">
      <c r="M271" s="178"/>
      <c r="N271" s="178"/>
      <c r="O271" s="178"/>
      <c r="P271" s="178"/>
    </row>
    <row r="272" spans="13:16">
      <c r="M272" s="178"/>
      <c r="N272" s="178"/>
      <c r="O272" s="178"/>
      <c r="P272" s="178"/>
    </row>
    <row r="273" spans="13:16">
      <c r="M273" s="178"/>
      <c r="N273" s="178"/>
      <c r="O273" s="178"/>
      <c r="P273" s="178"/>
    </row>
    <row r="274" spans="13:16">
      <c r="M274" s="178"/>
      <c r="N274" s="178"/>
      <c r="O274" s="178"/>
      <c r="P274" s="178"/>
    </row>
    <row r="275" spans="13:16">
      <c r="M275" s="178"/>
      <c r="N275" s="178"/>
      <c r="O275" s="178"/>
      <c r="P275" s="178"/>
    </row>
    <row r="276" spans="13:16">
      <c r="M276" s="178"/>
      <c r="N276" s="178"/>
      <c r="O276" s="178"/>
      <c r="P276" s="178"/>
    </row>
    <row r="277" spans="13:16">
      <c r="M277" s="178"/>
      <c r="N277" s="178"/>
      <c r="O277" s="178"/>
      <c r="P277" s="178"/>
    </row>
    <row r="278" spans="13:16">
      <c r="M278" s="178"/>
      <c r="N278" s="178"/>
      <c r="O278" s="178"/>
      <c r="P278" s="178"/>
    </row>
    <row r="279" spans="13:16">
      <c r="M279" s="178"/>
      <c r="N279" s="178"/>
      <c r="O279" s="178"/>
      <c r="P279" s="178"/>
    </row>
    <row r="280" spans="13:16">
      <c r="M280" s="178"/>
      <c r="N280" s="178"/>
      <c r="O280" s="178"/>
      <c r="P280" s="178"/>
    </row>
    <row r="281" spans="13:16">
      <c r="M281" s="178"/>
      <c r="N281" s="178"/>
      <c r="O281" s="178"/>
      <c r="P281" s="178"/>
    </row>
    <row r="282" spans="13:16">
      <c r="M282" s="178"/>
      <c r="N282" s="178"/>
      <c r="O282" s="178"/>
      <c r="P282" s="178"/>
    </row>
    <row r="283" spans="13:16">
      <c r="M283" s="178"/>
      <c r="N283" s="178"/>
      <c r="O283" s="178"/>
      <c r="P283" s="178"/>
    </row>
    <row r="284" spans="13:16">
      <c r="M284" s="178"/>
      <c r="N284" s="178"/>
      <c r="O284" s="178"/>
      <c r="P284" s="178"/>
    </row>
    <row r="285" spans="13:16">
      <c r="M285" s="178"/>
      <c r="N285" s="178"/>
      <c r="O285" s="178"/>
      <c r="P285" s="178"/>
    </row>
    <row r="286" spans="13:16">
      <c r="M286" s="178"/>
      <c r="N286" s="178"/>
      <c r="O286" s="178"/>
      <c r="P286" s="178"/>
    </row>
    <row r="287" spans="13:16">
      <c r="M287" s="178"/>
      <c r="N287" s="178"/>
      <c r="O287" s="178"/>
      <c r="P287" s="178"/>
    </row>
    <row r="288" spans="13:16">
      <c r="M288" s="178"/>
      <c r="N288" s="178"/>
      <c r="O288" s="178"/>
      <c r="P288" s="178"/>
    </row>
    <row r="289" spans="13:16">
      <c r="M289" s="178"/>
      <c r="N289" s="178"/>
      <c r="O289" s="178"/>
      <c r="P289" s="178"/>
    </row>
    <row r="290" spans="13:16">
      <c r="M290" s="178"/>
      <c r="N290" s="178"/>
      <c r="O290" s="178"/>
      <c r="P290" s="178"/>
    </row>
    <row r="291" spans="13:16">
      <c r="M291" s="178"/>
      <c r="N291" s="178"/>
      <c r="O291" s="178"/>
      <c r="P291" s="178"/>
    </row>
    <row r="292" spans="13:16">
      <c r="M292" s="178"/>
      <c r="N292" s="178"/>
      <c r="O292" s="178"/>
      <c r="P292" s="178"/>
    </row>
    <row r="293" spans="13:16">
      <c r="M293" s="178"/>
      <c r="N293" s="178"/>
      <c r="O293" s="178"/>
      <c r="P293" s="178"/>
    </row>
    <row r="294" spans="13:16">
      <c r="M294" s="178"/>
      <c r="N294" s="178"/>
      <c r="O294" s="178"/>
      <c r="P294" s="178"/>
    </row>
    <row r="295" spans="13:16">
      <c r="M295" s="178"/>
      <c r="N295" s="178"/>
      <c r="O295" s="178"/>
      <c r="P295" s="178"/>
    </row>
    <row r="296" spans="13:16">
      <c r="M296" s="178"/>
      <c r="N296" s="178"/>
      <c r="O296" s="178"/>
      <c r="P296" s="178"/>
    </row>
    <row r="297" spans="13:16">
      <c r="M297" s="178"/>
      <c r="N297" s="178"/>
      <c r="O297" s="178"/>
      <c r="P297" s="178"/>
    </row>
  </sheetData>
  <sheetProtection password="CAF5" sheet="1" objects="1" scenarios="1"/>
  <mergeCells count="9">
    <mergeCell ref="E8:E9"/>
    <mergeCell ref="C7:F7"/>
    <mergeCell ref="A1:P1"/>
    <mergeCell ref="A3:P3"/>
    <mergeCell ref="A4:P4"/>
    <mergeCell ref="H7:I7"/>
    <mergeCell ref="M6:P6"/>
    <mergeCell ref="M7:P7"/>
    <mergeCell ref="C6:J6"/>
  </mergeCells>
  <phoneticPr fontId="0" type="noConversion"/>
  <printOptions horizontalCentered="1"/>
  <pageMargins left="0.47" right="0.59" top="0.83" bottom="1" header="0.67" footer="0.5"/>
  <pageSetup scale="75" orientation="landscape" r:id="rId1"/>
  <headerFooter alignWithMargins="0">
    <oddFooter>&amp;L&amp;"Arial,Italic"&amp;9MSDE - LFRO  12 / 2013&amp;C- 6 -&amp;R&amp;"Arial,Italic"&amp;9Selected Financial Data-Part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Normal="100" workbookViewId="0">
      <selection sqref="A1:I1"/>
    </sheetView>
  </sheetViews>
  <sheetFormatPr defaultRowHeight="12.75"/>
  <cols>
    <col min="1" max="1" width="14.42578125" style="127" customWidth="1"/>
    <col min="2" max="2" width="18.85546875" style="229" customWidth="1"/>
    <col min="3" max="3" width="19.42578125" style="213" customWidth="1"/>
    <col min="4" max="4" width="18.140625" style="229" customWidth="1"/>
    <col min="5" max="5" width="15.28515625" style="213" customWidth="1"/>
    <col min="6" max="7" width="16.28515625" style="229" customWidth="1"/>
    <col min="8" max="8" width="14.85546875" style="229" customWidth="1"/>
    <col min="9" max="9" width="16.28515625" style="229" customWidth="1"/>
    <col min="11" max="11" width="12.5703125" bestFit="1" customWidth="1"/>
    <col min="12" max="13" width="14.28515625" bestFit="1" customWidth="1"/>
    <col min="14" max="14" width="15.140625" customWidth="1"/>
    <col min="15" max="15" width="16.28515625" bestFit="1" customWidth="1"/>
    <col min="16" max="16" width="16" bestFit="1" customWidth="1"/>
    <col min="17" max="17" width="14" bestFit="1" customWidth="1"/>
    <col min="18" max="18" width="17.85546875" customWidth="1"/>
    <col min="20" max="20" width="15.28515625" bestFit="1" customWidth="1"/>
    <col min="21" max="21" width="14.28515625" bestFit="1" customWidth="1"/>
    <col min="23" max="23" width="11.28515625" bestFit="1" customWidth="1"/>
    <col min="24" max="24" width="11.7109375" bestFit="1" customWidth="1"/>
    <col min="27" max="27" width="12.28515625" bestFit="1" customWidth="1"/>
    <col min="28" max="28" width="12.5703125" bestFit="1" customWidth="1"/>
    <col min="30" max="30" width="12.7109375" bestFit="1" customWidth="1"/>
    <col min="31" max="31" width="15.28515625" bestFit="1" customWidth="1"/>
    <col min="33" max="33" width="15" bestFit="1" customWidth="1"/>
    <col min="35" max="35" width="14.28515625" bestFit="1" customWidth="1"/>
    <col min="36" max="36" width="12.28515625" bestFit="1" customWidth="1"/>
    <col min="37" max="37" width="16.42578125" bestFit="1" customWidth="1"/>
  </cols>
  <sheetData>
    <row r="1" spans="1:9">
      <c r="A1" s="441" t="s">
        <v>42</v>
      </c>
      <c r="B1" s="441"/>
      <c r="C1" s="441"/>
      <c r="D1" s="441"/>
      <c r="E1" s="441"/>
      <c r="F1" s="441"/>
      <c r="G1" s="441"/>
      <c r="H1" s="441"/>
      <c r="I1" s="441"/>
    </row>
    <row r="2" spans="1:9">
      <c r="A2" s="23"/>
      <c r="B2" s="204"/>
    </row>
    <row r="3" spans="1:9">
      <c r="A3" s="463" t="s">
        <v>265</v>
      </c>
      <c r="B3" s="464"/>
      <c r="C3" s="464"/>
      <c r="D3" s="464"/>
      <c r="E3" s="464"/>
      <c r="F3" s="464"/>
      <c r="G3" s="464"/>
      <c r="H3" s="464"/>
      <c r="I3" s="464"/>
    </row>
    <row r="4" spans="1:9" ht="13.5" thickBot="1">
      <c r="A4" s="23"/>
      <c r="D4" s="234"/>
      <c r="E4" s="253"/>
      <c r="F4" s="234"/>
      <c r="G4" s="234"/>
      <c r="H4" s="234"/>
      <c r="I4" s="234"/>
    </row>
    <row r="5" spans="1:9" ht="15" customHeight="1" thickTop="1">
      <c r="A5" s="99"/>
      <c r="B5" s="254"/>
      <c r="C5" s="255"/>
      <c r="D5" s="465" t="s">
        <v>46</v>
      </c>
      <c r="E5" s="465"/>
      <c r="F5" s="465"/>
      <c r="G5" s="465"/>
      <c r="H5" s="465"/>
      <c r="I5" s="465"/>
    </row>
    <row r="6" spans="1:9" ht="12.75" customHeight="1">
      <c r="A6" s="32"/>
      <c r="B6" s="256"/>
      <c r="C6" s="257" t="s">
        <v>43</v>
      </c>
      <c r="D6" s="230"/>
      <c r="E6" s="243"/>
      <c r="F6" s="225"/>
      <c r="G6" s="225"/>
      <c r="H6" s="468" t="s">
        <v>203</v>
      </c>
      <c r="I6" s="466" t="s">
        <v>153</v>
      </c>
    </row>
    <row r="7" spans="1:9">
      <c r="A7" s="32" t="s">
        <v>77</v>
      </c>
      <c r="B7" s="225" t="s">
        <v>43</v>
      </c>
      <c r="C7" s="257" t="s">
        <v>49</v>
      </c>
      <c r="D7" s="468" t="s">
        <v>163</v>
      </c>
      <c r="E7" s="468" t="s">
        <v>224</v>
      </c>
      <c r="F7" s="468" t="s">
        <v>225</v>
      </c>
      <c r="G7" s="281"/>
      <c r="H7" s="468"/>
      <c r="I7" s="466"/>
    </row>
    <row r="8" spans="1:9" ht="12.75" customHeight="1">
      <c r="A8" s="32" t="s">
        <v>33</v>
      </c>
      <c r="B8" s="258" t="s">
        <v>44</v>
      </c>
      <c r="C8" s="257" t="s">
        <v>50</v>
      </c>
      <c r="D8" s="470"/>
      <c r="E8" s="470"/>
      <c r="F8" s="470"/>
      <c r="G8" s="470" t="s">
        <v>230</v>
      </c>
      <c r="H8" s="468"/>
      <c r="I8" s="466"/>
    </row>
    <row r="9" spans="1:9" ht="13.5" thickBot="1">
      <c r="A9" s="52" t="s">
        <v>132</v>
      </c>
      <c r="B9" s="259" t="s">
        <v>45</v>
      </c>
      <c r="C9" s="260" t="s">
        <v>48</v>
      </c>
      <c r="D9" s="471"/>
      <c r="E9" s="471"/>
      <c r="F9" s="471"/>
      <c r="G9" s="472"/>
      <c r="H9" s="469"/>
      <c r="I9" s="467"/>
    </row>
    <row r="10" spans="1:9">
      <c r="A10" s="32" t="s">
        <v>0</v>
      </c>
      <c r="B10" s="261">
        <f t="shared" ref="B10:H10" si="0">SUM(B12:B39)</f>
        <v>6112891737.3300009</v>
      </c>
      <c r="C10" s="261">
        <f t="shared" si="0"/>
        <v>5788326382.7300005</v>
      </c>
      <c r="D10" s="392">
        <f t="shared" si="0"/>
        <v>2921090968.7800002</v>
      </c>
      <c r="E10" s="262">
        <f t="shared" si="0"/>
        <v>44205671</v>
      </c>
      <c r="F10" s="262">
        <f t="shared" si="0"/>
        <v>3189806</v>
      </c>
      <c r="G10" s="262">
        <f t="shared" si="0"/>
        <v>18321281</v>
      </c>
      <c r="H10" s="261">
        <f t="shared" si="0"/>
        <v>1146252211</v>
      </c>
      <c r="I10" s="272">
        <f>SUM(I12:I39)</f>
        <v>773229265</v>
      </c>
    </row>
    <row r="11" spans="1:9">
      <c r="A11" s="32"/>
      <c r="B11" s="263"/>
      <c r="D11" s="264"/>
      <c r="E11" s="257"/>
      <c r="F11" s="264"/>
      <c r="G11" s="264"/>
      <c r="H11" s="264"/>
      <c r="I11" s="272"/>
    </row>
    <row r="12" spans="1:9">
      <c r="A12" s="23" t="s">
        <v>1</v>
      </c>
      <c r="B12" s="204">
        <f>+C12+state5!B11+state5!F11+state5!J11</f>
        <v>84887350.350000009</v>
      </c>
      <c r="C12" s="213">
        <f>SUM(D12:I12)+SUM(state2!B12:I12)+SUM(state3!B13:I13)+SUM(state4!B13:F13)</f>
        <v>83815876.170000002</v>
      </c>
      <c r="D12" s="129">
        <v>39697507</v>
      </c>
      <c r="E12" s="330">
        <v>3580662</v>
      </c>
      <c r="F12" s="330">
        <v>0</v>
      </c>
      <c r="G12" s="330">
        <v>10348</v>
      </c>
      <c r="H12" s="129">
        <v>20280874</v>
      </c>
      <c r="I12" s="129">
        <v>8559345</v>
      </c>
    </row>
    <row r="13" spans="1:9">
      <c r="A13" s="127" t="s">
        <v>2</v>
      </c>
      <c r="B13" s="204">
        <f>+C13+state5!B12+state5!F12+state5!J12</f>
        <v>400418722.19000006</v>
      </c>
      <c r="C13" s="213">
        <f>SUM(D13:I13)+SUM(state2!B13:I13)+SUM(state3!B14:I14)+SUM(state4!B14:F14)</f>
        <v>378050664.19000006</v>
      </c>
      <c r="D13" s="129">
        <v>200926169</v>
      </c>
      <c r="E13" s="355">
        <v>0</v>
      </c>
      <c r="F13" s="330">
        <v>0</v>
      </c>
      <c r="G13" s="355">
        <v>0</v>
      </c>
      <c r="H13" s="129">
        <v>55598724</v>
      </c>
      <c r="I13" s="129">
        <v>66125998</v>
      </c>
    </row>
    <row r="14" spans="1:9">
      <c r="A14" s="127" t="s">
        <v>3</v>
      </c>
      <c r="B14" s="204">
        <f>+C14+state5!B13+state5!F13+state5!J13</f>
        <v>974007852.30000019</v>
      </c>
      <c r="C14" s="213">
        <f>SUM(D14:I14)+SUM(state2!B14:I14)+SUM(state3!B15:I15)+SUM(state4!B15:F15)</f>
        <v>935194181.57000017</v>
      </c>
      <c r="D14" s="129">
        <v>387791034.93000001</v>
      </c>
      <c r="E14" s="330">
        <v>31539724</v>
      </c>
      <c r="F14" s="355">
        <v>0</v>
      </c>
      <c r="G14" s="373">
        <v>18310933</v>
      </c>
      <c r="H14" s="129">
        <v>314689465</v>
      </c>
      <c r="I14" s="129">
        <f>74348416-12922862</f>
        <v>61425554</v>
      </c>
    </row>
    <row r="15" spans="1:9">
      <c r="A15" s="127" t="s">
        <v>4</v>
      </c>
      <c r="B15" s="204">
        <f>+C15+state5!B14+state5!F14+state5!J14</f>
        <v>694646673.49999988</v>
      </c>
      <c r="C15" s="213">
        <f>SUM(D15:I15)+SUM(state2!B15:I15)+SUM(state3!B16:I16)+SUM(state4!B16:F16)</f>
        <v>649284622.49999988</v>
      </c>
      <c r="D15" s="129">
        <v>336095564</v>
      </c>
      <c r="E15" s="355">
        <v>0</v>
      </c>
      <c r="F15" s="355">
        <v>0</v>
      </c>
      <c r="G15" s="355">
        <v>0</v>
      </c>
      <c r="H15" s="129">
        <v>121772644</v>
      </c>
      <c r="I15" s="129">
        <v>90647014</v>
      </c>
    </row>
    <row r="16" spans="1:9">
      <c r="A16" s="127" t="s">
        <v>5</v>
      </c>
      <c r="B16" s="204">
        <f>+C16+state5!B15+state5!F15+state5!J15</f>
        <v>102173993.88000001</v>
      </c>
      <c r="C16" s="213">
        <f>SUM(D16:I16)+SUM(state2!B16:I16)+SUM(state3!B17:I17)+SUM(state4!B17:F17)</f>
        <v>98554977.88000001</v>
      </c>
      <c r="D16" s="129">
        <v>59767783</v>
      </c>
      <c r="E16" s="355">
        <v>0</v>
      </c>
      <c r="F16" s="355">
        <v>0</v>
      </c>
      <c r="G16" s="355">
        <v>0</v>
      </c>
      <c r="H16" s="129">
        <v>10471965</v>
      </c>
      <c r="I16" s="129">
        <v>16315850</v>
      </c>
    </row>
    <row r="17" spans="1:9">
      <c r="B17" s="204"/>
      <c r="D17" s="336"/>
      <c r="E17" s="345"/>
      <c r="F17" s="373"/>
      <c r="G17" s="342"/>
      <c r="H17" s="360"/>
      <c r="I17" s="129"/>
    </row>
    <row r="18" spans="1:9">
      <c r="A18" s="127" t="s">
        <v>6</v>
      </c>
      <c r="B18" s="204">
        <f>+C18+state5!B17+state5!F17+state5!J17</f>
        <v>50223295.270000003</v>
      </c>
      <c r="C18" s="213">
        <f>SUM(D18:I18)+SUM(state2!B18:I18)+SUM(state3!B19:I19)+SUM(state4!B19:F19)</f>
        <v>49522774.630000003</v>
      </c>
      <c r="D18" s="129">
        <v>24201262</v>
      </c>
      <c r="E18" s="330">
        <v>327722</v>
      </c>
      <c r="F18" s="355">
        <v>0</v>
      </c>
      <c r="G18" s="355">
        <v>0</v>
      </c>
      <c r="H18" s="129">
        <v>12557935</v>
      </c>
      <c r="I18" s="129">
        <v>4567700</v>
      </c>
    </row>
    <row r="19" spans="1:9">
      <c r="A19" s="127" t="s">
        <v>7</v>
      </c>
      <c r="B19" s="204">
        <f>+C19+state5!B18+state5!F18+state5!J18</f>
        <v>167353613.36999997</v>
      </c>
      <c r="C19" s="213">
        <f>SUM(D19:I19)+SUM(state2!B19:I19)+SUM(state3!B20:I20)+SUM(state4!B20:F20)</f>
        <v>162772300.83999997</v>
      </c>
      <c r="D19" s="129">
        <v>103402815</v>
      </c>
      <c r="E19" s="355">
        <v>0</v>
      </c>
      <c r="F19" s="355">
        <v>0</v>
      </c>
      <c r="G19" s="330">
        <v>0</v>
      </c>
      <c r="H19" s="129">
        <v>13767488</v>
      </c>
      <c r="I19" s="129">
        <v>23046249</v>
      </c>
    </row>
    <row r="20" spans="1:9">
      <c r="A20" s="127" t="s">
        <v>8</v>
      </c>
      <c r="B20" s="204">
        <f>+C20+state5!B19+state5!F19+state5!J19</f>
        <v>114002461.5</v>
      </c>
      <c r="C20" s="213">
        <f>SUM(D20:I20)+SUM(state2!B20:I20)+SUM(state3!B21:I21)+SUM(state4!B21:F21)</f>
        <v>111985553.64</v>
      </c>
      <c r="D20" s="129">
        <v>62219806</v>
      </c>
      <c r="E20" s="330">
        <v>269220</v>
      </c>
      <c r="F20" s="355">
        <v>0</v>
      </c>
      <c r="G20" s="355">
        <v>0</v>
      </c>
      <c r="H20" s="129">
        <v>21475003</v>
      </c>
      <c r="I20" s="129">
        <v>14151943</v>
      </c>
    </row>
    <row r="21" spans="1:9">
      <c r="A21" s="127" t="s">
        <v>9</v>
      </c>
      <c r="B21" s="204">
        <f>+C21+state5!B20+state5!F20+state5!J20</f>
        <v>194716587.03999996</v>
      </c>
      <c r="C21" s="213">
        <f>SUM(D21:I21)+SUM(state2!B21:I21)+SUM(state3!B22:I22)+SUM(state4!B22:F22)</f>
        <v>178481908.65999997</v>
      </c>
      <c r="D21" s="129">
        <v>109190097</v>
      </c>
      <c r="E21" s="330">
        <v>832998</v>
      </c>
      <c r="F21" s="355">
        <v>0</v>
      </c>
      <c r="G21" s="355">
        <v>0</v>
      </c>
      <c r="H21" s="129">
        <v>25657787</v>
      </c>
      <c r="I21" s="129">
        <v>22647751</v>
      </c>
    </row>
    <row r="22" spans="1:9">
      <c r="A22" s="127" t="s">
        <v>10</v>
      </c>
      <c r="B22" s="204">
        <f>+C22+state5!B21+state5!F21+state5!J21</f>
        <v>37693053.250000007</v>
      </c>
      <c r="C22" s="213">
        <f>SUM(D22:I22)+SUM(state2!B22:I22)+SUM(state3!B23:I23)+SUM(state4!B23:F23)</f>
        <v>36656731.250000007</v>
      </c>
      <c r="D22" s="129">
        <v>17917084</v>
      </c>
      <c r="E22" s="330">
        <v>42241</v>
      </c>
      <c r="F22" s="355">
        <v>0</v>
      </c>
      <c r="G22" s="330">
        <v>0</v>
      </c>
      <c r="H22" s="129">
        <v>9226061</v>
      </c>
      <c r="I22" s="129">
        <v>3777253</v>
      </c>
    </row>
    <row r="23" spans="1:9">
      <c r="A23" s="192"/>
      <c r="B23" s="204"/>
      <c r="D23" s="336"/>
      <c r="E23" s="345"/>
      <c r="F23" s="373"/>
      <c r="G23" s="342"/>
      <c r="H23" s="360"/>
      <c r="I23" s="129"/>
    </row>
    <row r="24" spans="1:9">
      <c r="A24" s="127" t="s">
        <v>11</v>
      </c>
      <c r="B24" s="204">
        <f>+C24+state5!B23+state5!F23+state5!J23</f>
        <v>277606916.49000001</v>
      </c>
      <c r="C24" s="213">
        <f>SUM(D24:I24)+SUM(state2!B24:I24)+SUM(state3!B25:I25)+SUM(state4!B25:F25)</f>
        <v>256977792.49000001</v>
      </c>
      <c r="D24" s="129">
        <v>157747247</v>
      </c>
      <c r="E24" s="355">
        <v>0</v>
      </c>
      <c r="F24" s="129">
        <v>3189806</v>
      </c>
      <c r="G24" s="355">
        <v>0</v>
      </c>
      <c r="H24" s="129">
        <v>29042613</v>
      </c>
      <c r="I24" s="129">
        <v>33906536</v>
      </c>
    </row>
    <row r="25" spans="1:9">
      <c r="A25" s="127" t="s">
        <v>12</v>
      </c>
      <c r="B25" s="204">
        <f>+C25+state5!B24+state5!F24+state5!J24</f>
        <v>25629454.640000001</v>
      </c>
      <c r="C25" s="213">
        <f>SUM(D25:I25)+SUM(state2!B25:I25)+SUM(state3!B26:I26)+SUM(state4!B26:F26)</f>
        <v>25500583.640000001</v>
      </c>
      <c r="D25" s="129">
        <v>11133566</v>
      </c>
      <c r="E25" s="355">
        <v>0</v>
      </c>
      <c r="F25" s="355">
        <v>0</v>
      </c>
      <c r="G25" s="355">
        <v>0</v>
      </c>
      <c r="H25" s="129">
        <v>4750615</v>
      </c>
      <c r="I25" s="129">
        <v>3824263</v>
      </c>
    </row>
    <row r="26" spans="1:9">
      <c r="A26" s="127" t="s">
        <v>13</v>
      </c>
      <c r="B26" s="204">
        <f>+C26+state5!B25+state5!F25+state5!J25</f>
        <v>253440653.13</v>
      </c>
      <c r="C26" s="213">
        <f>SUM(D26:I26)+SUM(state2!B26:I26)+SUM(state3!B27:I27)+SUM(state4!B27:F27)</f>
        <v>239203933.13</v>
      </c>
      <c r="D26" s="129">
        <v>140759078</v>
      </c>
      <c r="E26" s="355">
        <v>0</v>
      </c>
      <c r="F26" s="330">
        <v>0</v>
      </c>
      <c r="G26" s="355">
        <v>0</v>
      </c>
      <c r="H26" s="129">
        <v>31188983</v>
      </c>
      <c r="I26" s="129">
        <v>31813964</v>
      </c>
    </row>
    <row r="27" spans="1:9">
      <c r="A27" s="127" t="s">
        <v>14</v>
      </c>
      <c r="B27" s="204">
        <f>+C27+state5!B26+state5!F26+state5!J26</f>
        <v>308661682</v>
      </c>
      <c r="C27" s="213">
        <f>SUM(D27:I27)+SUM(state2!B27:I27)+SUM(state3!B28:I28)+SUM(state4!B28:F28)</f>
        <v>276981602</v>
      </c>
      <c r="D27" s="129">
        <v>160248464</v>
      </c>
      <c r="E27" s="355">
        <v>0</v>
      </c>
      <c r="F27" s="355">
        <v>0</v>
      </c>
      <c r="G27" s="355">
        <v>0</v>
      </c>
      <c r="H27" s="129">
        <v>22811347</v>
      </c>
      <c r="I27" s="129">
        <v>56503015</v>
      </c>
    </row>
    <row r="28" spans="1:9">
      <c r="A28" s="127" t="s">
        <v>15</v>
      </c>
      <c r="B28" s="204">
        <f>+C28+state5!B27+state5!F27+state5!J27</f>
        <v>12164364.9</v>
      </c>
      <c r="C28" s="213">
        <f>SUM(D28:I28)+SUM(state2!B28:I28)+SUM(state3!B29:I29)+SUM(state4!B29:F29)</f>
        <v>11975462.9</v>
      </c>
      <c r="D28" s="129">
        <v>4070531</v>
      </c>
      <c r="E28" s="355">
        <v>0</v>
      </c>
      <c r="F28" s="355">
        <v>0</v>
      </c>
      <c r="G28" s="355">
        <v>0</v>
      </c>
      <c r="H28" s="129">
        <v>2735998</v>
      </c>
      <c r="I28" s="129">
        <v>2106534</v>
      </c>
    </row>
    <row r="29" spans="1:9">
      <c r="B29" s="204"/>
      <c r="D29" s="336"/>
      <c r="E29" s="356"/>
      <c r="F29" s="373"/>
      <c r="G29" s="373"/>
      <c r="H29" s="360"/>
      <c r="I29" s="129"/>
    </row>
    <row r="30" spans="1:9">
      <c r="A30" s="127" t="s">
        <v>16</v>
      </c>
      <c r="B30" s="204">
        <f>+C30+state5!B29+state5!F29+state5!J29</f>
        <v>805270689.98000002</v>
      </c>
      <c r="C30" s="213">
        <f>SUM(D30:I30)+SUM(state2!B30:I30)+SUM(state3!B31:I31)+SUM(state4!B31:F31)</f>
        <v>749252130.98000002</v>
      </c>
      <c r="D30" s="129">
        <v>334984172</v>
      </c>
      <c r="E30" s="355">
        <v>0</v>
      </c>
      <c r="F30" s="355">
        <v>0</v>
      </c>
      <c r="G30" s="355">
        <v>0</v>
      </c>
      <c r="H30" s="129">
        <v>115208321</v>
      </c>
      <c r="I30" s="129">
        <v>156646830</v>
      </c>
    </row>
    <row r="31" spans="1:9">
      <c r="A31" s="127" t="s">
        <v>17</v>
      </c>
      <c r="B31" s="204">
        <f>+C31+state5!B30+state5!F30+state5!J30</f>
        <v>1070282928.09</v>
      </c>
      <c r="C31" s="213">
        <f>SUM(D31:I31)+SUM(state2!B31:I31)+SUM(state3!B32:I32)+SUM(state4!B32:F32)</f>
        <v>1019999983.09</v>
      </c>
      <c r="D31" s="129">
        <v>503678665.85000002</v>
      </c>
      <c r="E31" s="330">
        <v>0</v>
      </c>
      <c r="F31" s="355">
        <v>0</v>
      </c>
      <c r="G31" s="330">
        <v>0</v>
      </c>
      <c r="H31" s="129">
        <v>221064141</v>
      </c>
      <c r="I31" s="129">
        <v>112502320</v>
      </c>
    </row>
    <row r="32" spans="1:9">
      <c r="A32" s="127" t="s">
        <v>18</v>
      </c>
      <c r="B32" s="204">
        <f>+C32+state5!B31+state5!F31+state5!J31</f>
        <v>39410486.400000006</v>
      </c>
      <c r="C32" s="213">
        <f>SUM(D32:I32)+SUM(state2!B32:I32)+SUM(state3!B33:I33)+SUM(state4!B33:F33)</f>
        <v>38936489.470000006</v>
      </c>
      <c r="D32" s="129">
        <v>21110948</v>
      </c>
      <c r="E32" s="355">
        <v>0</v>
      </c>
      <c r="F32" s="355">
        <v>0</v>
      </c>
      <c r="G32" s="355">
        <v>0</v>
      </c>
      <c r="H32" s="129">
        <v>4818818</v>
      </c>
      <c r="I32" s="129">
        <v>6360367</v>
      </c>
    </row>
    <row r="33" spans="1:9">
      <c r="A33" s="127" t="s">
        <v>19</v>
      </c>
      <c r="B33" s="204">
        <f>+C33+state5!B32+state5!F32+state5!J32</f>
        <v>110070815.11000001</v>
      </c>
      <c r="C33" s="213">
        <f>SUM(D33:I33)+SUM(state2!B33:I33)+SUM(state3!B34:I34)+SUM(state4!B34:F34)</f>
        <v>108821794.96000001</v>
      </c>
      <c r="D33" s="129">
        <v>63311165</v>
      </c>
      <c r="E33" s="330">
        <v>0</v>
      </c>
      <c r="F33" s="355">
        <v>0</v>
      </c>
      <c r="G33" s="330">
        <v>0</v>
      </c>
      <c r="H33" s="129">
        <v>15023643</v>
      </c>
      <c r="I33" s="129">
        <v>14300829</v>
      </c>
    </row>
    <row r="34" spans="1:9">
      <c r="A34" s="127" t="s">
        <v>20</v>
      </c>
      <c r="B34" s="204">
        <f>+C34+state5!B33+state5!F33+state5!J33</f>
        <v>26593163.469999999</v>
      </c>
      <c r="C34" s="213">
        <f>SUM(D34:I34)+SUM(state2!B34:I34)+SUM(state3!B35:I35)+SUM(state4!B35:F35)</f>
        <v>26407769.469999999</v>
      </c>
      <c r="D34" s="129">
        <v>11992968</v>
      </c>
      <c r="E34" s="330">
        <v>488365</v>
      </c>
      <c r="F34" s="355">
        <v>0</v>
      </c>
      <c r="G34" s="355">
        <v>0</v>
      </c>
      <c r="H34" s="129">
        <v>7042868</v>
      </c>
      <c r="I34" s="129">
        <v>2762271</v>
      </c>
    </row>
    <row r="35" spans="1:9">
      <c r="B35" s="206"/>
      <c r="D35" s="336"/>
      <c r="E35" s="356"/>
      <c r="F35" s="374"/>
      <c r="G35" s="374"/>
      <c r="H35" s="360"/>
      <c r="I35" s="129"/>
    </row>
    <row r="36" spans="1:9">
      <c r="A36" s="127" t="s">
        <v>21</v>
      </c>
      <c r="B36" s="204">
        <f>+C36+state5!B35+state5!F35+state5!J35</f>
        <v>16152534.68</v>
      </c>
      <c r="C36" s="213">
        <f>SUM(D36:I36)+SUM(state2!B36:I36)+SUM(state3!B37:I37)+SUM(state4!B37:F37)</f>
        <v>15650085.939999999</v>
      </c>
      <c r="D36" s="129">
        <v>4333301</v>
      </c>
      <c r="E36" s="355">
        <v>0</v>
      </c>
      <c r="F36" s="375">
        <v>0</v>
      </c>
      <c r="G36" s="375">
        <v>0</v>
      </c>
      <c r="H36" s="129">
        <v>4239091</v>
      </c>
      <c r="I36" s="129">
        <v>3615663</v>
      </c>
    </row>
    <row r="37" spans="1:9">
      <c r="A37" s="127" t="s">
        <v>22</v>
      </c>
      <c r="B37" s="204">
        <f>+C37+state5!B36+state5!F36+state5!J36</f>
        <v>183605610.59</v>
      </c>
      <c r="C37" s="213">
        <f>SUM(D37:I37)+SUM(state2!B37:I37)+SUM(state3!B38:I38)+SUM(state4!B38:F38)</f>
        <v>175344368.24000001</v>
      </c>
      <c r="D37" s="129">
        <v>94692933</v>
      </c>
      <c r="E37" s="129">
        <v>4700747</v>
      </c>
      <c r="F37" s="375">
        <v>0</v>
      </c>
      <c r="G37" s="375">
        <v>0</v>
      </c>
      <c r="H37" s="129">
        <v>39505656</v>
      </c>
      <c r="I37" s="129">
        <v>17801193</v>
      </c>
    </row>
    <row r="38" spans="1:9">
      <c r="A38" s="127" t="s">
        <v>23</v>
      </c>
      <c r="B38" s="204">
        <f>+C38+state5!B37+state5!F37+state5!J37</f>
        <v>137326093.09</v>
      </c>
      <c r="C38" s="213">
        <f>SUM(D38:I38)+SUM(state2!B38:I38)+SUM(state3!B39:I39)+SUM(state4!B39:F39)</f>
        <v>132832034.14</v>
      </c>
      <c r="D38" s="129">
        <v>65490232</v>
      </c>
      <c r="E38" s="330">
        <v>2423992</v>
      </c>
      <c r="F38" s="375">
        <v>0</v>
      </c>
      <c r="G38" s="375">
        <v>0</v>
      </c>
      <c r="H38" s="129">
        <v>36291995</v>
      </c>
      <c r="I38" s="130">
        <v>12505220</v>
      </c>
    </row>
    <row r="39" spans="1:9">
      <c r="A39" s="128" t="s">
        <v>24</v>
      </c>
      <c r="B39" s="207">
        <f>+C39+state5!B38+state5!F38+state5!J38</f>
        <v>26552742.109999999</v>
      </c>
      <c r="C39" s="214">
        <f>SUM(D39:I39)+SUM(state2!B39:I39)+SUM(state3!B40:I40)+SUM(state4!B40:F40)</f>
        <v>26122760.949999999</v>
      </c>
      <c r="D39" s="131">
        <v>6328576</v>
      </c>
      <c r="E39" s="357">
        <v>0</v>
      </c>
      <c r="F39" s="376">
        <v>0</v>
      </c>
      <c r="G39" s="376">
        <v>0</v>
      </c>
      <c r="H39" s="131">
        <v>7030176</v>
      </c>
      <c r="I39" s="131">
        <v>7315603</v>
      </c>
    </row>
    <row r="40" spans="1:9">
      <c r="H40" s="265"/>
      <c r="I40" s="210"/>
    </row>
    <row r="41" spans="1:9">
      <c r="B41" s="266"/>
      <c r="C41" s="287"/>
      <c r="D41" s="285"/>
      <c r="E41" s="285"/>
      <c r="F41" s="288"/>
      <c r="G41" s="288"/>
      <c r="H41" s="288"/>
      <c r="I41" s="210"/>
    </row>
    <row r="42" spans="1:9">
      <c r="D42" s="230"/>
      <c r="H42" s="265"/>
      <c r="I42" s="210"/>
    </row>
    <row r="43" spans="1:9">
      <c r="D43" s="230"/>
      <c r="H43" s="265"/>
      <c r="I43" s="210"/>
    </row>
    <row r="44" spans="1:9">
      <c r="H44" s="265"/>
      <c r="I44" s="210"/>
    </row>
    <row r="45" spans="1:9">
      <c r="H45" s="265"/>
      <c r="I45" s="210"/>
    </row>
    <row r="46" spans="1:9">
      <c r="D46" s="285"/>
      <c r="H46" s="265"/>
      <c r="I46" s="210"/>
    </row>
    <row r="47" spans="1:9">
      <c r="H47" s="267"/>
      <c r="I47" s="210"/>
    </row>
    <row r="48" spans="1:9">
      <c r="H48" s="265"/>
      <c r="I48" s="210"/>
    </row>
    <row r="49" spans="8:9">
      <c r="H49" s="265"/>
      <c r="I49" s="210"/>
    </row>
    <row r="50" spans="8:9">
      <c r="H50" s="265"/>
      <c r="I50" s="210"/>
    </row>
    <row r="51" spans="8:9">
      <c r="H51" s="265"/>
      <c r="I51" s="210"/>
    </row>
    <row r="52" spans="8:9">
      <c r="H52" s="265"/>
      <c r="I52" s="210"/>
    </row>
    <row r="53" spans="8:9">
      <c r="H53" s="265"/>
      <c r="I53" s="210"/>
    </row>
    <row r="54" spans="8:9">
      <c r="H54" s="267"/>
      <c r="I54" s="210"/>
    </row>
    <row r="55" spans="8:9">
      <c r="I55" s="210"/>
    </row>
    <row r="56" spans="8:9">
      <c r="I56" s="210"/>
    </row>
    <row r="57" spans="8:9">
      <c r="I57" s="210"/>
    </row>
    <row r="58" spans="8:9">
      <c r="I58" s="210"/>
    </row>
    <row r="59" spans="8:9">
      <c r="I59" s="210"/>
    </row>
    <row r="60" spans="8:9">
      <c r="I60" s="210"/>
    </row>
  </sheetData>
  <sheetProtection password="CAF5" sheet="1" objects="1" scenarios="1"/>
  <mergeCells count="9">
    <mergeCell ref="A1:I1"/>
    <mergeCell ref="A3:I3"/>
    <mergeCell ref="D5:I5"/>
    <mergeCell ref="I6:I9"/>
    <mergeCell ref="H6:H9"/>
    <mergeCell ref="D7:D9"/>
    <mergeCell ref="E7:E9"/>
    <mergeCell ref="F7:F9"/>
    <mergeCell ref="G8:G9"/>
  </mergeCells>
  <phoneticPr fontId="0" type="noConversion"/>
  <printOptions horizontalCentered="1"/>
  <pageMargins left="0.34" right="0.27" top="0.83" bottom="1" header="0.67" footer="0.5"/>
  <pageSetup scale="90" orientation="landscape" r:id="rId1"/>
  <headerFooter alignWithMargins="0">
    <oddHeader xml:space="preserve">&amp;R
</oddHeader>
    <oddFooter>&amp;L&amp;"Arial,Italic"&amp;9MSDE - LFRO  12 / 2013&amp;C- 7 -&amp;R&amp;"Arial,Italic"&amp;9Selected Financial Data-Part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0"/>
  <sheetViews>
    <sheetView zoomScaleNormal="100" workbookViewId="0">
      <selection sqref="A1:H1"/>
    </sheetView>
  </sheetViews>
  <sheetFormatPr defaultRowHeight="12.75"/>
  <cols>
    <col min="1" max="1" width="14.140625" customWidth="1"/>
    <col min="2" max="2" width="1.5703125" style="229" customWidth="1"/>
    <col min="3" max="3" width="16.7109375" style="229" customWidth="1"/>
    <col min="4" max="4" width="15" style="229" bestFit="1" customWidth="1"/>
    <col min="5" max="5" width="13.42578125" style="229" customWidth="1"/>
    <col min="6" max="6" width="3.85546875" style="229" customWidth="1"/>
    <col min="7" max="7" width="16.42578125" style="229" customWidth="1"/>
    <col min="8" max="8" width="15.42578125" style="229" customWidth="1"/>
    <col min="9" max="9" width="13.5703125" style="224" customWidth="1"/>
    <col min="10" max="10" width="11.28515625" bestFit="1" customWidth="1"/>
  </cols>
  <sheetData>
    <row r="1" spans="1:13">
      <c r="A1" s="449" t="s">
        <v>117</v>
      </c>
      <c r="B1" s="449"/>
      <c r="C1" s="449"/>
      <c r="D1" s="449"/>
      <c r="E1" s="449"/>
      <c r="F1" s="449"/>
      <c r="G1" s="449"/>
      <c r="H1" s="449"/>
      <c r="I1" s="248"/>
    </row>
    <row r="3" spans="1:13" s="68" customFormat="1">
      <c r="A3" s="441" t="s">
        <v>266</v>
      </c>
      <c r="B3" s="480"/>
      <c r="C3" s="480"/>
      <c r="D3" s="480"/>
      <c r="E3" s="480"/>
      <c r="F3" s="480"/>
      <c r="G3" s="480"/>
      <c r="H3" s="480"/>
      <c r="I3" s="248"/>
    </row>
    <row r="4" spans="1:13" ht="13.5" thickBot="1">
      <c r="B4" s="234"/>
      <c r="C4" s="234"/>
      <c r="D4" s="234"/>
      <c r="E4" s="234"/>
      <c r="F4" s="234"/>
      <c r="G4" s="234"/>
      <c r="H4" s="234"/>
      <c r="I4" s="234"/>
    </row>
    <row r="5" spans="1:13" ht="15" customHeight="1" thickTop="1">
      <c r="A5" s="6"/>
      <c r="B5" s="473"/>
      <c r="C5" s="473"/>
      <c r="D5" s="473"/>
      <c r="E5" s="473"/>
      <c r="F5" s="473"/>
      <c r="G5" s="473"/>
      <c r="H5" s="473"/>
      <c r="I5" s="473"/>
    </row>
    <row r="6" spans="1:13" ht="12.75" customHeight="1" thickBot="1">
      <c r="A6" s="3"/>
      <c r="B6" s="225"/>
      <c r="C6" s="478" t="s">
        <v>233</v>
      </c>
      <c r="D6" s="478"/>
      <c r="E6" s="478"/>
      <c r="F6" s="331"/>
      <c r="G6" s="481" t="s">
        <v>149</v>
      </c>
      <c r="H6" s="481"/>
      <c r="I6" s="481"/>
      <c r="J6" s="3"/>
      <c r="K6" s="3"/>
      <c r="L6" s="3"/>
      <c r="M6" s="3"/>
    </row>
    <row r="7" spans="1:13" ht="12.75" customHeight="1">
      <c r="A7" s="3" t="s">
        <v>77</v>
      </c>
      <c r="B7" s="268"/>
      <c r="C7" s="230"/>
      <c r="D7" s="225"/>
      <c r="E7" s="479" t="s">
        <v>174</v>
      </c>
      <c r="F7" s="230"/>
      <c r="G7" s="466" t="s">
        <v>154</v>
      </c>
      <c r="H7" s="476" t="s">
        <v>155</v>
      </c>
      <c r="I7" s="269" t="s">
        <v>161</v>
      </c>
      <c r="J7" s="3"/>
      <c r="K7" s="3"/>
      <c r="L7" s="3"/>
      <c r="M7" s="3"/>
    </row>
    <row r="8" spans="1:13">
      <c r="A8" s="3" t="s">
        <v>33</v>
      </c>
      <c r="B8" s="268"/>
      <c r="C8" s="230"/>
      <c r="D8" s="225" t="s">
        <v>28</v>
      </c>
      <c r="E8" s="474"/>
      <c r="G8" s="474"/>
      <c r="H8" s="477"/>
      <c r="I8" s="250" t="s">
        <v>162</v>
      </c>
    </row>
    <row r="9" spans="1:13" ht="13.5" thickBot="1">
      <c r="A9" s="7" t="s">
        <v>132</v>
      </c>
      <c r="B9" s="259"/>
      <c r="C9" s="226" t="s">
        <v>25</v>
      </c>
      <c r="D9" s="226" t="s">
        <v>29</v>
      </c>
      <c r="E9" s="475"/>
      <c r="G9" s="475"/>
      <c r="H9" s="469"/>
      <c r="I9" s="251"/>
    </row>
    <row r="10" spans="1:13" s="44" customFormat="1">
      <c r="A10" s="48" t="s">
        <v>0</v>
      </c>
      <c r="B10" s="271">
        <f>SUM(B12:B39)</f>
        <v>0</v>
      </c>
      <c r="C10" s="270">
        <f>SUM(C12:C39)</f>
        <v>261505035.07999998</v>
      </c>
      <c r="D10" s="271">
        <f>SUM(D12:D39)</f>
        <v>97080077.819999978</v>
      </c>
      <c r="E10" s="271">
        <f>SUM(E12:E39)</f>
        <v>3791558.4</v>
      </c>
      <c r="F10" s="272"/>
      <c r="G10" s="271">
        <f>SUM(G12:G39)</f>
        <v>228736032.27000001</v>
      </c>
      <c r="H10" s="271">
        <f>SUM(H12:H39)</f>
        <v>23261000</v>
      </c>
      <c r="I10" s="391">
        <f>SUM(I12:I39)</f>
        <v>35000</v>
      </c>
    </row>
    <row r="11" spans="1:13">
      <c r="A11" s="3"/>
      <c r="B11" s="211"/>
      <c r="C11" s="205"/>
      <c r="D11" s="205"/>
      <c r="E11" s="205"/>
      <c r="G11" s="210"/>
      <c r="H11" s="210"/>
      <c r="I11" s="210"/>
    </row>
    <row r="12" spans="1:13">
      <c r="A12" t="s">
        <v>1</v>
      </c>
      <c r="B12" s="210"/>
      <c r="C12" s="129">
        <v>4980193</v>
      </c>
      <c r="D12" s="130">
        <v>1436551.14</v>
      </c>
      <c r="E12" s="130">
        <v>0</v>
      </c>
      <c r="F12" s="338"/>
      <c r="G12" s="129">
        <v>4235227</v>
      </c>
      <c r="H12" s="129">
        <v>221000</v>
      </c>
      <c r="I12" s="129">
        <v>0</v>
      </c>
    </row>
    <row r="13" spans="1:13">
      <c r="A13" t="s">
        <v>2</v>
      </c>
      <c r="B13" s="210"/>
      <c r="C13" s="129">
        <v>15902712</v>
      </c>
      <c r="D13" s="130">
        <v>7110041.8100000005</v>
      </c>
      <c r="E13" s="130">
        <v>557666</v>
      </c>
      <c r="F13" s="338"/>
      <c r="G13" s="129">
        <v>19788004</v>
      </c>
      <c r="H13" s="129">
        <v>1549000</v>
      </c>
      <c r="I13" s="129">
        <v>0</v>
      </c>
      <c r="J13" s="1"/>
    </row>
    <row r="14" spans="1:13">
      <c r="A14" t="s">
        <v>3</v>
      </c>
      <c r="B14" s="210"/>
      <c r="C14" s="129">
        <v>54435825</v>
      </c>
      <c r="D14" s="130">
        <v>19335545.43</v>
      </c>
      <c r="E14" s="130">
        <v>0</v>
      </c>
      <c r="F14" s="338"/>
      <c r="G14" s="129">
        <v>15782726</v>
      </c>
      <c r="H14" s="129">
        <v>2757000</v>
      </c>
      <c r="I14" s="129">
        <v>0</v>
      </c>
    </row>
    <row r="15" spans="1:13">
      <c r="A15" t="s">
        <v>4</v>
      </c>
      <c r="B15" s="210"/>
      <c r="C15" s="129">
        <v>29843984</v>
      </c>
      <c r="D15" s="130">
        <v>13475648.9</v>
      </c>
      <c r="E15" s="130">
        <v>1541172</v>
      </c>
      <c r="F15" s="338"/>
      <c r="G15" s="129">
        <v>24579938</v>
      </c>
      <c r="H15" s="129">
        <v>3292000</v>
      </c>
      <c r="I15" s="129">
        <v>0</v>
      </c>
    </row>
    <row r="16" spans="1:13">
      <c r="A16" t="s">
        <v>5</v>
      </c>
      <c r="B16" s="210"/>
      <c r="C16" s="129">
        <v>3686516</v>
      </c>
      <c r="D16" s="130">
        <v>769553.73</v>
      </c>
      <c r="E16" s="130">
        <v>61193</v>
      </c>
      <c r="F16" s="338"/>
      <c r="G16" s="129">
        <v>5222831</v>
      </c>
      <c r="H16" s="129">
        <v>321000</v>
      </c>
      <c r="I16" s="129">
        <v>0</v>
      </c>
    </row>
    <row r="17" spans="1:9">
      <c r="B17" s="210"/>
      <c r="C17" s="359"/>
      <c r="D17" s="340"/>
      <c r="E17" s="340"/>
      <c r="F17" s="338"/>
      <c r="G17" s="129"/>
      <c r="H17" s="129"/>
      <c r="I17" s="129"/>
    </row>
    <row r="18" spans="1:9">
      <c r="A18" t="s">
        <v>6</v>
      </c>
      <c r="B18" s="210"/>
      <c r="C18" s="129">
        <v>2097602</v>
      </c>
      <c r="D18" s="130">
        <v>489918</v>
      </c>
      <c r="E18" s="130">
        <v>60073</v>
      </c>
      <c r="F18" s="338"/>
      <c r="G18" s="129">
        <v>2434869</v>
      </c>
      <c r="H18" s="129">
        <v>97000</v>
      </c>
      <c r="I18" s="129">
        <v>0</v>
      </c>
    </row>
    <row r="19" spans="1:9">
      <c r="A19" t="s">
        <v>7</v>
      </c>
      <c r="B19" s="210"/>
      <c r="C19" s="129">
        <v>8228049.3499999996</v>
      </c>
      <c r="D19" s="130">
        <v>2242852.19</v>
      </c>
      <c r="E19" s="130">
        <v>0</v>
      </c>
      <c r="F19" s="338"/>
      <c r="G19" s="129">
        <v>8939519</v>
      </c>
      <c r="H19" s="129">
        <v>473000</v>
      </c>
      <c r="I19" s="322">
        <v>0</v>
      </c>
    </row>
    <row r="20" spans="1:9">
      <c r="A20" t="s">
        <v>8</v>
      </c>
      <c r="B20" s="210"/>
      <c r="C20" s="129">
        <v>5685640.96</v>
      </c>
      <c r="D20" s="130">
        <v>1140519.82</v>
      </c>
      <c r="E20" s="130">
        <v>171121.14</v>
      </c>
      <c r="F20" s="338"/>
      <c r="G20" s="129">
        <v>4688348</v>
      </c>
      <c r="H20" s="129">
        <v>253000</v>
      </c>
      <c r="I20" s="129">
        <v>0</v>
      </c>
    </row>
    <row r="21" spans="1:9">
      <c r="A21" t="s">
        <v>9</v>
      </c>
      <c r="B21" s="210"/>
      <c r="C21" s="129">
        <v>7034500.7000000002</v>
      </c>
      <c r="D21" s="130">
        <v>1125557.3999999999</v>
      </c>
      <c r="E21" s="130">
        <v>216123</v>
      </c>
      <c r="F21" s="338"/>
      <c r="G21" s="129">
        <v>9537310</v>
      </c>
      <c r="H21" s="129">
        <v>539000</v>
      </c>
      <c r="I21" s="129">
        <v>0</v>
      </c>
    </row>
    <row r="22" spans="1:9">
      <c r="A22" t="s">
        <v>10</v>
      </c>
      <c r="B22" s="210"/>
      <c r="C22" s="129">
        <v>765751</v>
      </c>
      <c r="D22" s="130">
        <v>0</v>
      </c>
      <c r="E22" s="129">
        <v>36746.519999999997</v>
      </c>
      <c r="F22" s="338"/>
      <c r="G22" s="129">
        <v>2237942</v>
      </c>
      <c r="H22" s="129">
        <v>94000</v>
      </c>
      <c r="I22" s="129">
        <v>0</v>
      </c>
    </row>
    <row r="23" spans="1:9">
      <c r="B23" s="210"/>
      <c r="C23" s="359"/>
      <c r="D23" s="340"/>
      <c r="E23" s="340"/>
      <c r="F23" s="338"/>
      <c r="G23" s="129"/>
      <c r="H23" s="129"/>
      <c r="I23" s="129"/>
    </row>
    <row r="24" spans="1:9">
      <c r="A24" t="s">
        <v>11</v>
      </c>
      <c r="B24" s="210"/>
      <c r="C24" s="129">
        <v>10474466</v>
      </c>
      <c r="D24" s="130">
        <v>3550281.43</v>
      </c>
      <c r="E24" s="130">
        <v>0</v>
      </c>
      <c r="F24" s="338"/>
      <c r="G24" s="129">
        <v>10816865</v>
      </c>
      <c r="H24" s="129">
        <v>869000</v>
      </c>
      <c r="I24" s="129">
        <v>0</v>
      </c>
    </row>
    <row r="25" spans="1:9">
      <c r="A25" t="s">
        <v>12</v>
      </c>
      <c r="B25" s="210"/>
      <c r="C25" s="129">
        <v>962770</v>
      </c>
      <c r="D25" s="130">
        <v>206965.29</v>
      </c>
      <c r="E25" s="130">
        <v>22786</v>
      </c>
      <c r="F25" s="338"/>
      <c r="G25" s="129">
        <v>2812540</v>
      </c>
      <c r="H25" s="129">
        <v>46000</v>
      </c>
      <c r="I25" s="322">
        <v>0</v>
      </c>
    </row>
    <row r="26" spans="1:9">
      <c r="A26" t="s">
        <v>13</v>
      </c>
      <c r="B26" s="210"/>
      <c r="C26" s="129">
        <v>11453398</v>
      </c>
      <c r="D26" s="130">
        <v>6286100.6500000004</v>
      </c>
      <c r="E26" s="130">
        <v>479890</v>
      </c>
      <c r="F26" s="338"/>
      <c r="G26" s="129">
        <v>11202689</v>
      </c>
      <c r="H26" s="129">
        <v>785000</v>
      </c>
      <c r="I26" s="129">
        <v>0</v>
      </c>
    </row>
    <row r="27" spans="1:9">
      <c r="A27" t="s">
        <v>14</v>
      </c>
      <c r="B27" s="210"/>
      <c r="C27" s="129">
        <v>8071849</v>
      </c>
      <c r="D27" s="130">
        <v>3453115.3200000003</v>
      </c>
      <c r="E27" s="130">
        <v>331129.42</v>
      </c>
      <c r="F27" s="338"/>
      <c r="G27" s="129">
        <v>14241390</v>
      </c>
      <c r="H27" s="129">
        <v>1308000</v>
      </c>
      <c r="I27" s="129">
        <v>0</v>
      </c>
    </row>
    <row r="28" spans="1:9">
      <c r="A28" t="s">
        <v>15</v>
      </c>
      <c r="B28" s="210"/>
      <c r="C28" s="129">
        <v>558736.76</v>
      </c>
      <c r="D28" s="130">
        <v>240023.07</v>
      </c>
      <c r="E28" s="130">
        <v>5262</v>
      </c>
      <c r="F28" s="338"/>
      <c r="G28" s="129">
        <v>1470479</v>
      </c>
      <c r="H28" s="129">
        <v>43000</v>
      </c>
      <c r="I28" s="129">
        <v>0</v>
      </c>
    </row>
    <row r="29" spans="1:9">
      <c r="A29" s="1"/>
      <c r="B29" s="210"/>
      <c r="C29" s="129"/>
      <c r="D29" s="340"/>
      <c r="E29" s="340"/>
      <c r="F29" s="338"/>
      <c r="G29" s="129"/>
      <c r="H29" s="129"/>
      <c r="I29" s="129"/>
    </row>
    <row r="30" spans="1:9">
      <c r="A30" t="s">
        <v>16</v>
      </c>
      <c r="B30" s="210"/>
      <c r="C30" s="129">
        <v>34967840.829999998</v>
      </c>
      <c r="D30" s="130">
        <v>14905288.15</v>
      </c>
      <c r="E30" s="130">
        <v>0</v>
      </c>
      <c r="F30" s="338"/>
      <c r="G30" s="129">
        <v>31443856</v>
      </c>
      <c r="H30" s="129">
        <v>4657000</v>
      </c>
      <c r="I30" s="129">
        <v>0</v>
      </c>
    </row>
    <row r="31" spans="1:9">
      <c r="A31" t="s">
        <v>17</v>
      </c>
      <c r="B31" s="210"/>
      <c r="C31" s="129">
        <v>38498988</v>
      </c>
      <c r="D31" s="130">
        <v>19686302.870000001</v>
      </c>
      <c r="E31" s="130">
        <v>0</v>
      </c>
      <c r="F31" s="338"/>
      <c r="G31" s="129">
        <v>32575857.27</v>
      </c>
      <c r="H31" s="129">
        <v>4624000</v>
      </c>
      <c r="I31" s="129">
        <v>0</v>
      </c>
    </row>
    <row r="32" spans="1:9">
      <c r="A32" t="s">
        <v>18</v>
      </c>
      <c r="B32" s="210"/>
      <c r="C32" s="129">
        <v>1975579</v>
      </c>
      <c r="D32" s="130">
        <v>157243.21</v>
      </c>
      <c r="E32" s="130">
        <v>82168</v>
      </c>
      <c r="F32" s="338"/>
      <c r="G32" s="129">
        <v>3116654</v>
      </c>
      <c r="H32" s="129">
        <v>96000</v>
      </c>
      <c r="I32" s="129">
        <v>0</v>
      </c>
    </row>
    <row r="33" spans="1:9">
      <c r="A33" t="s">
        <v>19</v>
      </c>
      <c r="B33" s="210"/>
      <c r="C33" s="129">
        <v>4648890.21</v>
      </c>
      <c r="D33" s="130">
        <v>438714.78</v>
      </c>
      <c r="E33" s="130">
        <v>0</v>
      </c>
      <c r="F33" s="338"/>
      <c r="G33" s="129">
        <v>6127272</v>
      </c>
      <c r="H33" s="129">
        <v>411000</v>
      </c>
      <c r="I33" s="129">
        <v>0</v>
      </c>
    </row>
    <row r="34" spans="1:9">
      <c r="A34" t="s">
        <v>20</v>
      </c>
      <c r="B34" s="210"/>
      <c r="C34" s="129">
        <v>1352480.15</v>
      </c>
      <c r="D34" s="377">
        <v>311594.84999999998</v>
      </c>
      <c r="E34" s="130">
        <v>15881</v>
      </c>
      <c r="F34" s="338"/>
      <c r="G34" s="129">
        <v>1713987</v>
      </c>
      <c r="H34" s="129">
        <v>52000</v>
      </c>
      <c r="I34" s="129">
        <v>35000</v>
      </c>
    </row>
    <row r="35" spans="1:9">
      <c r="B35" s="210"/>
      <c r="C35" s="336"/>
      <c r="D35" s="346"/>
      <c r="E35" s="340"/>
      <c r="F35" s="338"/>
      <c r="G35" s="129"/>
      <c r="H35" s="129"/>
      <c r="I35" s="338"/>
    </row>
    <row r="36" spans="1:9">
      <c r="A36" t="s">
        <v>21</v>
      </c>
      <c r="B36" s="210"/>
      <c r="C36" s="129">
        <v>764611</v>
      </c>
      <c r="D36" s="377">
        <v>0</v>
      </c>
      <c r="E36" s="130">
        <v>21644</v>
      </c>
      <c r="F36" s="338"/>
      <c r="G36" s="129">
        <v>1496962</v>
      </c>
      <c r="H36" s="129">
        <v>30000</v>
      </c>
      <c r="I36" s="129">
        <v>0</v>
      </c>
    </row>
    <row r="37" spans="1:9">
      <c r="A37" t="s">
        <v>22</v>
      </c>
      <c r="B37" s="210"/>
      <c r="C37" s="129">
        <v>7090178</v>
      </c>
      <c r="D37" s="130">
        <v>636128.96</v>
      </c>
      <c r="E37" s="130">
        <v>16081.32</v>
      </c>
      <c r="F37" s="338"/>
      <c r="G37" s="129">
        <v>6386500</v>
      </c>
      <c r="H37" s="129">
        <v>393000</v>
      </c>
      <c r="I37" s="322">
        <v>0</v>
      </c>
    </row>
    <row r="38" spans="1:9">
      <c r="A38" t="s">
        <v>23</v>
      </c>
      <c r="B38" s="210"/>
      <c r="C38" s="129">
        <v>6463226.1200000001</v>
      </c>
      <c r="D38" s="130">
        <v>80395.100000000006</v>
      </c>
      <c r="E38" s="130">
        <v>172622</v>
      </c>
      <c r="F38" s="338"/>
      <c r="G38" s="129">
        <v>5069056</v>
      </c>
      <c r="H38" s="129">
        <v>283000</v>
      </c>
      <c r="I38" s="129">
        <v>0</v>
      </c>
    </row>
    <row r="39" spans="1:9">
      <c r="A39" s="12" t="s">
        <v>24</v>
      </c>
      <c r="B39" s="197"/>
      <c r="C39" s="131">
        <v>1561248</v>
      </c>
      <c r="D39" s="131">
        <v>1735.72</v>
      </c>
      <c r="E39" s="131">
        <v>0</v>
      </c>
      <c r="F39" s="339"/>
      <c r="G39" s="131">
        <v>2815211</v>
      </c>
      <c r="H39" s="131">
        <v>68000</v>
      </c>
      <c r="I39" s="131">
        <v>0</v>
      </c>
    </row>
    <row r="40" spans="1:9">
      <c r="B40" s="210"/>
      <c r="H40" s="210"/>
    </row>
    <row r="41" spans="1:9">
      <c r="B41" s="210"/>
      <c r="F41" s="273"/>
      <c r="H41" s="210"/>
    </row>
    <row r="42" spans="1:9">
      <c r="B42" s="210"/>
      <c r="D42" s="203"/>
      <c r="H42" s="210"/>
    </row>
    <row r="43" spans="1:9">
      <c r="B43" s="210"/>
      <c r="H43" s="210"/>
    </row>
    <row r="44" spans="1:9">
      <c r="B44" s="210"/>
      <c r="H44" s="210"/>
    </row>
    <row r="45" spans="1:9">
      <c r="H45" s="210"/>
    </row>
    <row r="46" spans="1:9">
      <c r="H46" s="210"/>
    </row>
    <row r="47" spans="1:9">
      <c r="H47" s="210"/>
    </row>
    <row r="48" spans="1:9">
      <c r="H48" s="210"/>
    </row>
    <row r="49" spans="8:8">
      <c r="H49" s="210"/>
    </row>
    <row r="50" spans="8:8">
      <c r="H50" s="210"/>
    </row>
    <row r="51" spans="8:8">
      <c r="H51" s="210"/>
    </row>
    <row r="52" spans="8:8">
      <c r="H52" s="210"/>
    </row>
    <row r="53" spans="8:8">
      <c r="H53" s="210"/>
    </row>
    <row r="54" spans="8:8">
      <c r="H54" s="210"/>
    </row>
    <row r="55" spans="8:8">
      <c r="H55" s="210"/>
    </row>
    <row r="56" spans="8:8">
      <c r="H56" s="210"/>
    </row>
    <row r="57" spans="8:8">
      <c r="H57" s="210"/>
    </row>
    <row r="58" spans="8:8">
      <c r="H58" s="210"/>
    </row>
    <row r="59" spans="8:8">
      <c r="H59" s="210"/>
    </row>
    <row r="60" spans="8:8">
      <c r="H60" s="210"/>
    </row>
    <row r="61" spans="8:8">
      <c r="H61" s="210"/>
    </row>
    <row r="62" spans="8:8">
      <c r="H62" s="210"/>
    </row>
    <row r="63" spans="8:8">
      <c r="H63" s="210"/>
    </row>
    <row r="64" spans="8:8">
      <c r="H64" s="210"/>
    </row>
    <row r="65" spans="8:8">
      <c r="H65" s="210"/>
    </row>
    <row r="66" spans="8:8">
      <c r="H66" s="210"/>
    </row>
    <row r="67" spans="8:8">
      <c r="H67" s="210"/>
    </row>
    <row r="68" spans="8:8">
      <c r="H68" s="210"/>
    </row>
    <row r="69" spans="8:8">
      <c r="H69" s="210"/>
    </row>
    <row r="70" spans="8:8">
      <c r="H70" s="210"/>
    </row>
    <row r="71" spans="8:8">
      <c r="H71" s="210"/>
    </row>
    <row r="72" spans="8:8">
      <c r="H72" s="210"/>
    </row>
    <row r="73" spans="8:8">
      <c r="H73" s="210"/>
    </row>
    <row r="74" spans="8:8">
      <c r="H74" s="210"/>
    </row>
    <row r="75" spans="8:8">
      <c r="H75" s="210"/>
    </row>
    <row r="76" spans="8:8">
      <c r="H76" s="210"/>
    </row>
    <row r="77" spans="8:8">
      <c r="H77" s="210"/>
    </row>
    <row r="78" spans="8:8">
      <c r="H78" s="210"/>
    </row>
    <row r="79" spans="8:8">
      <c r="H79" s="210"/>
    </row>
    <row r="80" spans="8:8">
      <c r="H80" s="210"/>
    </row>
    <row r="81" spans="8:8">
      <c r="H81" s="210"/>
    </row>
    <row r="82" spans="8:8">
      <c r="H82" s="210"/>
    </row>
    <row r="83" spans="8:8">
      <c r="H83" s="210"/>
    </row>
    <row r="84" spans="8:8">
      <c r="H84" s="210"/>
    </row>
    <row r="85" spans="8:8">
      <c r="H85" s="210"/>
    </row>
    <row r="86" spans="8:8">
      <c r="H86" s="210"/>
    </row>
    <row r="87" spans="8:8">
      <c r="H87" s="210"/>
    </row>
    <row r="88" spans="8:8">
      <c r="H88" s="210"/>
    </row>
    <row r="89" spans="8:8">
      <c r="H89" s="210"/>
    </row>
    <row r="90" spans="8:8">
      <c r="H90" s="210"/>
    </row>
    <row r="91" spans="8:8">
      <c r="H91" s="210"/>
    </row>
    <row r="92" spans="8:8">
      <c r="H92" s="210"/>
    </row>
    <row r="93" spans="8:8">
      <c r="H93" s="210"/>
    </row>
    <row r="94" spans="8:8">
      <c r="H94" s="210"/>
    </row>
    <row r="95" spans="8:8">
      <c r="H95" s="210"/>
    </row>
    <row r="96" spans="8:8">
      <c r="H96" s="210"/>
    </row>
    <row r="97" spans="8:8">
      <c r="H97" s="210"/>
    </row>
    <row r="98" spans="8:8">
      <c r="H98" s="210"/>
    </row>
    <row r="99" spans="8:8">
      <c r="H99" s="210"/>
    </row>
    <row r="100" spans="8:8">
      <c r="H100" s="210"/>
    </row>
    <row r="101" spans="8:8">
      <c r="H101" s="210"/>
    </row>
    <row r="102" spans="8:8">
      <c r="H102" s="210"/>
    </row>
    <row r="103" spans="8:8">
      <c r="H103" s="210"/>
    </row>
    <row r="104" spans="8:8">
      <c r="H104" s="210"/>
    </row>
    <row r="105" spans="8:8">
      <c r="H105" s="210"/>
    </row>
    <row r="106" spans="8:8">
      <c r="H106" s="210"/>
    </row>
    <row r="107" spans="8:8">
      <c r="H107" s="210"/>
    </row>
    <row r="108" spans="8:8">
      <c r="H108" s="210"/>
    </row>
    <row r="109" spans="8:8">
      <c r="H109" s="210"/>
    </row>
    <row r="110" spans="8:8">
      <c r="H110" s="210"/>
    </row>
    <row r="111" spans="8:8">
      <c r="H111" s="210"/>
    </row>
    <row r="112" spans="8:8">
      <c r="H112" s="210"/>
    </row>
    <row r="113" spans="8:8">
      <c r="H113" s="210"/>
    </row>
    <row r="114" spans="8:8">
      <c r="H114" s="210"/>
    </row>
    <row r="115" spans="8:8">
      <c r="H115" s="210"/>
    </row>
    <row r="116" spans="8:8">
      <c r="H116" s="210"/>
    </row>
    <row r="117" spans="8:8">
      <c r="H117" s="210"/>
    </row>
    <row r="118" spans="8:8">
      <c r="H118" s="210"/>
    </row>
    <row r="119" spans="8:8">
      <c r="H119" s="210"/>
    </row>
    <row r="120" spans="8:8">
      <c r="H120" s="210"/>
    </row>
    <row r="121" spans="8:8">
      <c r="H121" s="210"/>
    </row>
    <row r="122" spans="8:8">
      <c r="H122" s="210"/>
    </row>
    <row r="123" spans="8:8">
      <c r="H123" s="210"/>
    </row>
    <row r="124" spans="8:8">
      <c r="H124" s="210"/>
    </row>
    <row r="125" spans="8:8">
      <c r="H125" s="210"/>
    </row>
    <row r="126" spans="8:8">
      <c r="H126" s="210"/>
    </row>
    <row r="127" spans="8:8">
      <c r="H127" s="210"/>
    </row>
    <row r="128" spans="8:8">
      <c r="H128" s="210"/>
    </row>
    <row r="129" spans="8:8">
      <c r="H129" s="210"/>
    </row>
    <row r="130" spans="8:8">
      <c r="H130" s="210"/>
    </row>
    <row r="131" spans="8:8">
      <c r="H131" s="210"/>
    </row>
    <row r="132" spans="8:8">
      <c r="H132" s="210"/>
    </row>
    <row r="133" spans="8:8">
      <c r="H133" s="210"/>
    </row>
    <row r="134" spans="8:8">
      <c r="H134" s="210"/>
    </row>
    <row r="135" spans="8:8">
      <c r="H135" s="210"/>
    </row>
    <row r="136" spans="8:8">
      <c r="H136" s="210"/>
    </row>
    <row r="137" spans="8:8">
      <c r="H137" s="210"/>
    </row>
    <row r="138" spans="8:8">
      <c r="H138" s="210"/>
    </row>
    <row r="139" spans="8:8">
      <c r="H139" s="210"/>
    </row>
    <row r="140" spans="8:8">
      <c r="H140" s="210"/>
    </row>
    <row r="141" spans="8:8">
      <c r="H141" s="210"/>
    </row>
    <row r="142" spans="8:8">
      <c r="H142" s="210"/>
    </row>
    <row r="143" spans="8:8">
      <c r="H143" s="210"/>
    </row>
    <row r="144" spans="8:8">
      <c r="H144" s="210"/>
    </row>
    <row r="145" spans="8:8">
      <c r="H145" s="210"/>
    </row>
    <row r="146" spans="8:8">
      <c r="H146" s="210"/>
    </row>
    <row r="147" spans="8:8">
      <c r="H147" s="210"/>
    </row>
    <row r="148" spans="8:8">
      <c r="H148" s="210"/>
    </row>
    <row r="149" spans="8:8">
      <c r="H149" s="210"/>
    </row>
    <row r="150" spans="8:8">
      <c r="H150" s="210"/>
    </row>
    <row r="151" spans="8:8">
      <c r="H151" s="210"/>
    </row>
    <row r="152" spans="8:8">
      <c r="H152" s="210"/>
    </row>
    <row r="153" spans="8:8">
      <c r="H153" s="210"/>
    </row>
    <row r="154" spans="8:8">
      <c r="H154" s="210"/>
    </row>
    <row r="155" spans="8:8">
      <c r="H155" s="210"/>
    </row>
    <row r="156" spans="8:8">
      <c r="H156" s="210"/>
    </row>
    <row r="157" spans="8:8">
      <c r="H157" s="210"/>
    </row>
    <row r="158" spans="8:8">
      <c r="H158" s="210"/>
    </row>
    <row r="159" spans="8:8">
      <c r="H159" s="210"/>
    </row>
    <row r="160" spans="8:8">
      <c r="H160" s="210"/>
    </row>
    <row r="161" spans="8:8">
      <c r="H161" s="210"/>
    </row>
    <row r="162" spans="8:8">
      <c r="H162" s="210"/>
    </row>
    <row r="163" spans="8:8">
      <c r="H163" s="210"/>
    </row>
    <row r="164" spans="8:8">
      <c r="H164" s="210"/>
    </row>
    <row r="165" spans="8:8">
      <c r="H165" s="210"/>
    </row>
    <row r="166" spans="8:8">
      <c r="H166" s="210"/>
    </row>
    <row r="167" spans="8:8">
      <c r="H167" s="210"/>
    </row>
    <row r="168" spans="8:8">
      <c r="H168" s="210"/>
    </row>
    <row r="169" spans="8:8">
      <c r="H169" s="210"/>
    </row>
    <row r="170" spans="8:8">
      <c r="H170" s="210"/>
    </row>
    <row r="171" spans="8:8">
      <c r="H171" s="210"/>
    </row>
    <row r="172" spans="8:8">
      <c r="H172" s="210"/>
    </row>
    <row r="173" spans="8:8">
      <c r="H173" s="210"/>
    </row>
    <row r="174" spans="8:8">
      <c r="H174" s="210"/>
    </row>
    <row r="175" spans="8:8">
      <c r="H175" s="210"/>
    </row>
    <row r="176" spans="8:8">
      <c r="H176" s="210"/>
    </row>
    <row r="177" spans="8:8">
      <c r="H177" s="210"/>
    </row>
    <row r="178" spans="8:8">
      <c r="H178" s="210"/>
    </row>
    <row r="179" spans="8:8">
      <c r="H179" s="210"/>
    </row>
    <row r="180" spans="8:8">
      <c r="H180" s="210"/>
    </row>
    <row r="181" spans="8:8">
      <c r="H181" s="210"/>
    </row>
    <row r="182" spans="8:8">
      <c r="H182" s="210"/>
    </row>
    <row r="183" spans="8:8">
      <c r="H183" s="210"/>
    </row>
    <row r="184" spans="8:8">
      <c r="H184" s="210"/>
    </row>
    <row r="185" spans="8:8">
      <c r="H185" s="210"/>
    </row>
    <row r="186" spans="8:8">
      <c r="H186" s="210"/>
    </row>
    <row r="187" spans="8:8">
      <c r="H187" s="210"/>
    </row>
    <row r="188" spans="8:8">
      <c r="H188" s="210"/>
    </row>
    <row r="189" spans="8:8">
      <c r="H189" s="210"/>
    </row>
    <row r="190" spans="8:8">
      <c r="H190" s="210"/>
    </row>
    <row r="191" spans="8:8">
      <c r="H191" s="210"/>
    </row>
    <row r="192" spans="8:8">
      <c r="H192" s="210"/>
    </row>
    <row r="193" spans="8:8">
      <c r="H193" s="210"/>
    </row>
    <row r="194" spans="8:8">
      <c r="H194" s="210"/>
    </row>
    <row r="195" spans="8:8">
      <c r="H195" s="210"/>
    </row>
    <row r="196" spans="8:8">
      <c r="H196" s="210"/>
    </row>
    <row r="197" spans="8:8">
      <c r="H197" s="210"/>
    </row>
    <row r="198" spans="8:8">
      <c r="H198" s="210"/>
    </row>
    <row r="199" spans="8:8">
      <c r="H199" s="210"/>
    </row>
    <row r="200" spans="8:8">
      <c r="H200" s="210"/>
    </row>
    <row r="201" spans="8:8">
      <c r="H201" s="210"/>
    </row>
    <row r="202" spans="8:8">
      <c r="H202" s="210"/>
    </row>
    <row r="203" spans="8:8">
      <c r="H203" s="210"/>
    </row>
    <row r="204" spans="8:8">
      <c r="H204" s="210"/>
    </row>
    <row r="205" spans="8:8">
      <c r="H205" s="210"/>
    </row>
    <row r="206" spans="8:8">
      <c r="H206" s="210"/>
    </row>
    <row r="207" spans="8:8">
      <c r="H207" s="210"/>
    </row>
    <row r="208" spans="8:8">
      <c r="H208" s="210"/>
    </row>
    <row r="209" spans="8:8">
      <c r="H209" s="210"/>
    </row>
    <row r="210" spans="8:8">
      <c r="H210" s="210"/>
    </row>
    <row r="211" spans="8:8">
      <c r="H211" s="210"/>
    </row>
    <row r="212" spans="8:8">
      <c r="H212" s="210"/>
    </row>
    <row r="213" spans="8:8">
      <c r="H213" s="210"/>
    </row>
    <row r="214" spans="8:8">
      <c r="H214" s="210"/>
    </row>
    <row r="215" spans="8:8">
      <c r="H215" s="210"/>
    </row>
    <row r="216" spans="8:8">
      <c r="H216" s="210"/>
    </row>
    <row r="217" spans="8:8">
      <c r="H217" s="210"/>
    </row>
    <row r="218" spans="8:8">
      <c r="H218" s="210"/>
    </row>
    <row r="219" spans="8:8">
      <c r="H219" s="210"/>
    </row>
    <row r="220" spans="8:8">
      <c r="H220" s="210"/>
    </row>
    <row r="221" spans="8:8">
      <c r="H221" s="210"/>
    </row>
    <row r="222" spans="8:8">
      <c r="H222" s="210"/>
    </row>
    <row r="223" spans="8:8">
      <c r="H223" s="210"/>
    </row>
    <row r="224" spans="8:8">
      <c r="H224" s="210"/>
    </row>
    <row r="225" spans="8:8">
      <c r="H225" s="210"/>
    </row>
    <row r="226" spans="8:8">
      <c r="H226" s="210"/>
    </row>
    <row r="227" spans="8:8">
      <c r="H227" s="210"/>
    </row>
    <row r="228" spans="8:8">
      <c r="H228" s="210"/>
    </row>
    <row r="229" spans="8:8">
      <c r="H229" s="210"/>
    </row>
    <row r="230" spans="8:8">
      <c r="H230" s="210"/>
    </row>
    <row r="231" spans="8:8">
      <c r="H231" s="210"/>
    </row>
    <row r="232" spans="8:8">
      <c r="H232" s="210"/>
    </row>
    <row r="233" spans="8:8">
      <c r="H233" s="210"/>
    </row>
    <row r="234" spans="8:8">
      <c r="H234" s="210"/>
    </row>
    <row r="235" spans="8:8">
      <c r="H235" s="210"/>
    </row>
    <row r="236" spans="8:8">
      <c r="H236" s="210"/>
    </row>
    <row r="237" spans="8:8">
      <c r="H237" s="210"/>
    </row>
    <row r="238" spans="8:8">
      <c r="H238" s="210"/>
    </row>
    <row r="239" spans="8:8">
      <c r="H239" s="210"/>
    </row>
    <row r="240" spans="8:8">
      <c r="H240" s="210"/>
    </row>
    <row r="241" spans="8:8">
      <c r="H241" s="210"/>
    </row>
    <row r="242" spans="8:8">
      <c r="H242" s="210"/>
    </row>
    <row r="243" spans="8:8">
      <c r="H243" s="210"/>
    </row>
    <row r="244" spans="8:8">
      <c r="H244" s="210"/>
    </row>
    <row r="245" spans="8:8">
      <c r="H245" s="210"/>
    </row>
    <row r="246" spans="8:8">
      <c r="H246" s="210"/>
    </row>
    <row r="247" spans="8:8">
      <c r="H247" s="210"/>
    </row>
    <row r="248" spans="8:8">
      <c r="H248" s="210"/>
    </row>
    <row r="249" spans="8:8">
      <c r="H249" s="210"/>
    </row>
    <row r="250" spans="8:8">
      <c r="H250" s="210"/>
    </row>
    <row r="251" spans="8:8">
      <c r="H251" s="210"/>
    </row>
    <row r="252" spans="8:8">
      <c r="H252" s="210"/>
    </row>
    <row r="253" spans="8:8">
      <c r="H253" s="210"/>
    </row>
    <row r="254" spans="8:8">
      <c r="H254" s="210"/>
    </row>
    <row r="255" spans="8:8">
      <c r="H255" s="210"/>
    </row>
    <row r="256" spans="8:8">
      <c r="H256" s="210"/>
    </row>
    <row r="257" spans="8:8">
      <c r="H257" s="210"/>
    </row>
    <row r="258" spans="8:8">
      <c r="H258" s="210"/>
    </row>
    <row r="259" spans="8:8">
      <c r="H259" s="210"/>
    </row>
    <row r="260" spans="8:8">
      <c r="H260" s="210"/>
    </row>
    <row r="261" spans="8:8">
      <c r="H261" s="210"/>
    </row>
    <row r="262" spans="8:8">
      <c r="H262" s="210"/>
    </row>
    <row r="263" spans="8:8">
      <c r="H263" s="210"/>
    </row>
    <row r="264" spans="8:8">
      <c r="H264" s="210"/>
    </row>
    <row r="265" spans="8:8">
      <c r="H265" s="210"/>
    </row>
    <row r="266" spans="8:8">
      <c r="H266" s="210"/>
    </row>
    <row r="267" spans="8:8">
      <c r="H267" s="210"/>
    </row>
    <row r="268" spans="8:8">
      <c r="H268" s="210"/>
    </row>
    <row r="269" spans="8:8">
      <c r="H269" s="210"/>
    </row>
    <row r="270" spans="8:8">
      <c r="H270" s="210"/>
    </row>
    <row r="271" spans="8:8">
      <c r="H271" s="210"/>
    </row>
    <row r="272" spans="8:8">
      <c r="H272" s="210"/>
    </row>
    <row r="273" spans="8:8">
      <c r="H273" s="210"/>
    </row>
    <row r="274" spans="8:8">
      <c r="H274" s="210"/>
    </row>
    <row r="275" spans="8:8">
      <c r="H275" s="210"/>
    </row>
    <row r="276" spans="8:8">
      <c r="H276" s="210"/>
    </row>
    <row r="277" spans="8:8">
      <c r="H277" s="210"/>
    </row>
    <row r="278" spans="8:8">
      <c r="H278" s="210"/>
    </row>
    <row r="279" spans="8:8">
      <c r="H279" s="210"/>
    </row>
    <row r="280" spans="8:8">
      <c r="H280" s="210"/>
    </row>
    <row r="281" spans="8:8">
      <c r="H281" s="210"/>
    </row>
    <row r="282" spans="8:8">
      <c r="H282" s="210"/>
    </row>
    <row r="283" spans="8:8">
      <c r="H283" s="210"/>
    </row>
    <row r="284" spans="8:8">
      <c r="H284" s="210"/>
    </row>
    <row r="285" spans="8:8">
      <c r="H285" s="210"/>
    </row>
    <row r="286" spans="8:8">
      <c r="H286" s="210"/>
    </row>
    <row r="287" spans="8:8">
      <c r="H287" s="210"/>
    </row>
    <row r="288" spans="8:8">
      <c r="H288" s="210"/>
    </row>
    <row r="289" spans="8:8">
      <c r="H289" s="210"/>
    </row>
    <row r="290" spans="8:8">
      <c r="H290" s="210"/>
    </row>
    <row r="291" spans="8:8">
      <c r="H291" s="210"/>
    </row>
    <row r="292" spans="8:8">
      <c r="H292" s="210"/>
    </row>
    <row r="293" spans="8:8">
      <c r="H293" s="210"/>
    </row>
    <row r="294" spans="8:8">
      <c r="H294" s="210"/>
    </row>
    <row r="295" spans="8:8">
      <c r="H295" s="210"/>
    </row>
    <row r="296" spans="8:8">
      <c r="H296" s="210"/>
    </row>
    <row r="297" spans="8:8">
      <c r="H297" s="210"/>
    </row>
    <row r="298" spans="8:8">
      <c r="H298" s="210"/>
    </row>
    <row r="299" spans="8:8">
      <c r="H299" s="210"/>
    </row>
    <row r="300" spans="8:8">
      <c r="H300" s="210"/>
    </row>
    <row r="301" spans="8:8">
      <c r="H301" s="210"/>
    </row>
    <row r="302" spans="8:8">
      <c r="H302" s="210"/>
    </row>
    <row r="303" spans="8:8">
      <c r="H303" s="210"/>
    </row>
    <row r="304" spans="8:8">
      <c r="H304" s="210"/>
    </row>
    <row r="305" spans="8:8">
      <c r="H305" s="210"/>
    </row>
    <row r="306" spans="8:8">
      <c r="H306" s="210"/>
    </row>
    <row r="307" spans="8:8">
      <c r="H307" s="210"/>
    </row>
    <row r="308" spans="8:8">
      <c r="H308" s="210"/>
    </row>
    <row r="309" spans="8:8">
      <c r="H309" s="210"/>
    </row>
    <row r="310" spans="8:8">
      <c r="H310" s="210"/>
    </row>
    <row r="311" spans="8:8">
      <c r="H311" s="210"/>
    </row>
    <row r="312" spans="8:8">
      <c r="H312" s="210"/>
    </row>
    <row r="313" spans="8:8">
      <c r="H313" s="210"/>
    </row>
    <row r="314" spans="8:8">
      <c r="H314" s="210"/>
    </row>
    <row r="315" spans="8:8">
      <c r="H315" s="210"/>
    </row>
    <row r="316" spans="8:8">
      <c r="H316" s="210"/>
    </row>
    <row r="317" spans="8:8">
      <c r="H317" s="210"/>
    </row>
    <row r="318" spans="8:8">
      <c r="H318" s="210"/>
    </row>
    <row r="319" spans="8:8">
      <c r="H319" s="210"/>
    </row>
    <row r="320" spans="8:8">
      <c r="H320" s="210"/>
    </row>
    <row r="321" spans="8:8">
      <c r="H321" s="210"/>
    </row>
    <row r="322" spans="8:8">
      <c r="H322" s="210"/>
    </row>
    <row r="323" spans="8:8">
      <c r="H323" s="210"/>
    </row>
    <row r="324" spans="8:8">
      <c r="H324" s="210"/>
    </row>
    <row r="325" spans="8:8">
      <c r="H325" s="210"/>
    </row>
    <row r="326" spans="8:8">
      <c r="H326" s="210"/>
    </row>
    <row r="327" spans="8:8">
      <c r="H327" s="210"/>
    </row>
    <row r="328" spans="8:8">
      <c r="H328" s="210"/>
    </row>
    <row r="329" spans="8:8">
      <c r="H329" s="210"/>
    </row>
    <row r="330" spans="8:8">
      <c r="H330" s="210"/>
    </row>
    <row r="331" spans="8:8">
      <c r="H331" s="210"/>
    </row>
    <row r="332" spans="8:8">
      <c r="H332" s="210"/>
    </row>
    <row r="333" spans="8:8">
      <c r="H333" s="210"/>
    </row>
    <row r="334" spans="8:8">
      <c r="H334" s="210"/>
    </row>
    <row r="335" spans="8:8">
      <c r="H335" s="210"/>
    </row>
    <row r="336" spans="8:8">
      <c r="H336" s="210"/>
    </row>
    <row r="337" spans="8:8">
      <c r="H337" s="210"/>
    </row>
    <row r="338" spans="8:8">
      <c r="H338" s="210"/>
    </row>
    <row r="339" spans="8:8">
      <c r="H339" s="210"/>
    </row>
    <row r="340" spans="8:8">
      <c r="H340" s="210"/>
    </row>
  </sheetData>
  <sheetProtection password="CAF5" sheet="1" objects="1" scenarios="1"/>
  <mergeCells count="8">
    <mergeCell ref="B5:I5"/>
    <mergeCell ref="G7:G9"/>
    <mergeCell ref="H7:H9"/>
    <mergeCell ref="A1:H1"/>
    <mergeCell ref="C6:E6"/>
    <mergeCell ref="E7:E9"/>
    <mergeCell ref="A3:H3"/>
    <mergeCell ref="G6:I6"/>
  </mergeCells>
  <phoneticPr fontId="0" type="noConversion"/>
  <printOptions horizontalCentered="1"/>
  <pageMargins left="0.68" right="0.61" top="0.83" bottom="1" header="0.67" footer="0.5"/>
  <pageSetup scale="98" orientation="landscape" r:id="rId1"/>
  <headerFooter alignWithMargins="0">
    <oddFooter>&amp;L&amp;"Arial,Italic"&amp;9MSDE - LFRO  12 / 2013&amp;C- 8 -&amp;R&amp;"Arial,Italic"&amp;9Selected Financial Data-Part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Normal="100" workbookViewId="0">
      <selection sqref="A1:F1"/>
    </sheetView>
  </sheetViews>
  <sheetFormatPr defaultRowHeight="12.75"/>
  <cols>
    <col min="1" max="1" width="14.140625" customWidth="1"/>
    <col min="2" max="2" width="14.140625" style="224" customWidth="1"/>
    <col min="3" max="3" width="14.140625" style="229" customWidth="1"/>
    <col min="4" max="4" width="12.140625" style="224" customWidth="1"/>
    <col min="5" max="5" width="11.85546875" style="224" customWidth="1"/>
    <col min="6" max="6" width="11.28515625" style="224" bestFit="1" customWidth="1"/>
    <col min="7" max="7" width="2.85546875" style="224" customWidth="1"/>
    <col min="8" max="8" width="12.42578125" bestFit="1" customWidth="1"/>
    <col min="9" max="9" width="14" bestFit="1" customWidth="1"/>
  </cols>
  <sheetData>
    <row r="1" spans="1:27">
      <c r="A1" s="449" t="s">
        <v>117</v>
      </c>
      <c r="B1" s="449"/>
      <c r="C1" s="449"/>
      <c r="D1" s="449"/>
      <c r="E1" s="449"/>
      <c r="F1" s="449"/>
      <c r="G1" s="293"/>
    </row>
    <row r="2" spans="1:27">
      <c r="A2" s="19"/>
      <c r="B2" s="231"/>
      <c r="C2" s="274"/>
    </row>
    <row r="3" spans="1:27" s="55" customFormat="1">
      <c r="A3" s="446" t="s">
        <v>266</v>
      </c>
      <c r="B3" s="483"/>
      <c r="C3" s="483"/>
      <c r="D3" s="483"/>
      <c r="E3" s="483"/>
      <c r="F3" s="483"/>
      <c r="G3" s="294"/>
    </row>
    <row r="4" spans="1:27" ht="13.5" thickBot="1">
      <c r="A4" s="11"/>
      <c r="B4" s="219"/>
      <c r="C4" s="234"/>
      <c r="D4" s="234"/>
      <c r="E4" s="234"/>
      <c r="F4" s="234"/>
      <c r="G4" s="234"/>
      <c r="H4" s="11"/>
      <c r="I4" s="11"/>
    </row>
    <row r="5" spans="1:27" ht="15" customHeight="1" thickTop="1">
      <c r="B5" s="482" t="s">
        <v>47</v>
      </c>
      <c r="C5" s="482"/>
      <c r="D5" s="482"/>
      <c r="E5" s="482"/>
      <c r="F5" s="482"/>
      <c r="G5" s="482"/>
      <c r="H5" s="482"/>
      <c r="I5" s="482"/>
    </row>
    <row r="6" spans="1:27">
      <c r="B6" s="493" t="s">
        <v>122</v>
      </c>
      <c r="C6" s="493"/>
      <c r="D6" s="493"/>
      <c r="E6" s="493"/>
      <c r="F6" s="493"/>
      <c r="G6" s="310"/>
      <c r="H6" s="492"/>
      <c r="I6" s="49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7" ht="12.75" customHeight="1" thickBot="1">
      <c r="A7" s="484" t="s">
        <v>157</v>
      </c>
      <c r="B7" s="249"/>
      <c r="C7" s="196"/>
      <c r="D7" s="487" t="s">
        <v>124</v>
      </c>
      <c r="E7" s="487"/>
      <c r="F7" s="487"/>
      <c r="G7" s="27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>
      <c r="A8" s="485"/>
      <c r="B8" s="225" t="s">
        <v>30</v>
      </c>
      <c r="C8" s="135" t="s">
        <v>128</v>
      </c>
      <c r="D8" s="489" t="s">
        <v>25</v>
      </c>
      <c r="E8" s="488" t="s">
        <v>156</v>
      </c>
      <c r="F8" s="488"/>
      <c r="G8" s="276"/>
      <c r="H8" s="268" t="s">
        <v>123</v>
      </c>
      <c r="I8" s="268" t="s">
        <v>147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 customHeight="1">
      <c r="A9" s="485"/>
      <c r="B9" s="225" t="s">
        <v>31</v>
      </c>
      <c r="C9" s="276" t="s">
        <v>129</v>
      </c>
      <c r="D9" s="490"/>
      <c r="E9" s="268" t="s">
        <v>125</v>
      </c>
      <c r="F9" s="268" t="s">
        <v>64</v>
      </c>
      <c r="G9" s="268"/>
      <c r="H9" s="268" t="s">
        <v>130</v>
      </c>
      <c r="I9" s="268" t="s">
        <v>148</v>
      </c>
    </row>
    <row r="10" spans="1:27" ht="13.5" thickBot="1">
      <c r="A10" s="486"/>
      <c r="B10" s="226" t="s">
        <v>32</v>
      </c>
      <c r="C10" s="259" t="s">
        <v>33</v>
      </c>
      <c r="D10" s="491"/>
      <c r="E10" s="259" t="s">
        <v>126</v>
      </c>
      <c r="F10" s="259" t="s">
        <v>127</v>
      </c>
      <c r="G10" s="276"/>
      <c r="H10" s="259" t="s">
        <v>131</v>
      </c>
      <c r="I10" s="259" t="s">
        <v>27</v>
      </c>
    </row>
    <row r="11" spans="1:27" s="44" customFormat="1">
      <c r="A11" s="48" t="s">
        <v>0</v>
      </c>
      <c r="B11" s="280">
        <f>SUM(B13:B40)</f>
        <v>4051</v>
      </c>
      <c r="C11" s="247">
        <f>SUM(C13:C40)</f>
        <v>1941632.47</v>
      </c>
      <c r="D11" s="271">
        <f>SUM(D13:D40)</f>
        <v>255112.05</v>
      </c>
      <c r="E11" s="271">
        <f>SUM(E13:E40)</f>
        <v>44789</v>
      </c>
      <c r="F11" s="271">
        <f>SUM(F13:F40)</f>
        <v>514894.12</v>
      </c>
      <c r="G11" s="271"/>
      <c r="H11" s="270">
        <f>SUM(H13:H40)</f>
        <v>7642</v>
      </c>
      <c r="I11" s="247">
        <f>SUM(I13:I40)</f>
        <v>2712166</v>
      </c>
    </row>
    <row r="12" spans="1:27">
      <c r="A12" s="3"/>
      <c r="B12" s="275"/>
      <c r="C12" s="210"/>
      <c r="D12" s="210"/>
      <c r="E12" s="210"/>
      <c r="F12" s="210"/>
      <c r="G12" s="210"/>
      <c r="H12" s="211"/>
      <c r="I12" s="211"/>
    </row>
    <row r="13" spans="1:27">
      <c r="A13" t="s">
        <v>1</v>
      </c>
      <c r="B13" s="130">
        <v>0</v>
      </c>
      <c r="C13" s="50">
        <v>0</v>
      </c>
      <c r="D13" s="372">
        <v>18402.37</v>
      </c>
      <c r="E13" s="50">
        <v>20282</v>
      </c>
      <c r="F13" s="50">
        <v>109802.12</v>
      </c>
      <c r="G13" s="336"/>
      <c r="H13" s="130">
        <v>0</v>
      </c>
      <c r="I13" s="322">
        <v>0</v>
      </c>
      <c r="J13" s="5"/>
    </row>
    <row r="14" spans="1:27">
      <c r="A14" t="s">
        <v>2</v>
      </c>
      <c r="B14" s="130">
        <v>0</v>
      </c>
      <c r="C14" s="50">
        <v>61684.85</v>
      </c>
      <c r="D14" s="129">
        <v>0</v>
      </c>
      <c r="E14" s="130">
        <v>0</v>
      </c>
      <c r="F14" s="130">
        <v>0</v>
      </c>
      <c r="G14" s="129"/>
      <c r="H14" s="130">
        <v>0</v>
      </c>
      <c r="I14" s="372">
        <v>211782</v>
      </c>
      <c r="J14" s="5"/>
    </row>
    <row r="15" spans="1:27">
      <c r="A15" t="s">
        <v>3</v>
      </c>
      <c r="B15" s="130">
        <v>0</v>
      </c>
      <c r="C15" s="130">
        <v>70139.570000000007</v>
      </c>
      <c r="D15" s="129">
        <v>0</v>
      </c>
      <c r="E15" s="130">
        <v>0</v>
      </c>
      <c r="F15" s="130">
        <v>0</v>
      </c>
      <c r="G15" s="129"/>
      <c r="H15" s="130">
        <v>0</v>
      </c>
      <c r="I15" s="322">
        <v>0</v>
      </c>
      <c r="J15" s="5"/>
    </row>
    <row r="16" spans="1:27">
      <c r="A16" t="s">
        <v>4</v>
      </c>
      <c r="B16" s="130">
        <v>4051</v>
      </c>
      <c r="C16" s="50">
        <v>24017.43</v>
      </c>
      <c r="D16" s="372">
        <v>15836</v>
      </c>
      <c r="E16" s="377">
        <v>0</v>
      </c>
      <c r="F16" s="50">
        <v>0</v>
      </c>
      <c r="G16" s="129"/>
      <c r="H16" s="130">
        <v>0</v>
      </c>
      <c r="I16" s="372">
        <v>1835875</v>
      </c>
      <c r="J16" s="5"/>
    </row>
    <row r="17" spans="1:10">
      <c r="A17" t="s">
        <v>5</v>
      </c>
      <c r="B17" s="130">
        <v>0</v>
      </c>
      <c r="C17" s="50">
        <v>267717.17</v>
      </c>
      <c r="D17" s="372">
        <v>19712</v>
      </c>
      <c r="E17" s="50">
        <v>20282</v>
      </c>
      <c r="F17" s="50">
        <v>153337</v>
      </c>
      <c r="G17" s="129"/>
      <c r="H17" s="130">
        <v>0</v>
      </c>
      <c r="I17" s="372">
        <v>141934</v>
      </c>
      <c r="J17" s="5"/>
    </row>
    <row r="18" spans="1:10">
      <c r="B18" s="347"/>
      <c r="C18" s="340"/>
      <c r="D18" s="338"/>
      <c r="E18" s="340"/>
      <c r="F18" s="340"/>
      <c r="G18" s="338"/>
      <c r="H18" s="347"/>
      <c r="I18" s="336"/>
      <c r="J18" s="5"/>
    </row>
    <row r="19" spans="1:10">
      <c r="A19" t="s">
        <v>6</v>
      </c>
      <c r="B19" s="130">
        <v>0</v>
      </c>
      <c r="C19" s="50">
        <v>136714.31</v>
      </c>
      <c r="D19" s="129">
        <v>0</v>
      </c>
      <c r="E19" s="130">
        <v>0</v>
      </c>
      <c r="F19" s="130">
        <v>0</v>
      </c>
      <c r="G19" s="129"/>
      <c r="H19" s="130">
        <v>0</v>
      </c>
      <c r="I19" s="322">
        <v>0</v>
      </c>
      <c r="J19" s="5"/>
    </row>
    <row r="20" spans="1:10">
      <c r="A20" t="s">
        <v>7</v>
      </c>
      <c r="B20" s="130">
        <v>0</v>
      </c>
      <c r="C20" s="50">
        <v>85888.13</v>
      </c>
      <c r="D20" s="322">
        <v>0</v>
      </c>
      <c r="E20" s="377">
        <v>0</v>
      </c>
      <c r="F20" s="377">
        <v>0</v>
      </c>
      <c r="G20" s="322"/>
      <c r="H20" s="130">
        <v>0</v>
      </c>
      <c r="I20" s="372">
        <v>29515</v>
      </c>
      <c r="J20" s="5"/>
    </row>
    <row r="21" spans="1:10">
      <c r="A21" t="s">
        <v>8</v>
      </c>
      <c r="B21" s="130">
        <v>0</v>
      </c>
      <c r="C21" s="50">
        <v>56908</v>
      </c>
      <c r="D21" s="129">
        <v>0</v>
      </c>
      <c r="E21" s="130">
        <v>0</v>
      </c>
      <c r="F21" s="130">
        <v>0</v>
      </c>
      <c r="G21" s="129"/>
      <c r="H21" s="130">
        <v>0</v>
      </c>
      <c r="I21" s="378">
        <v>0</v>
      </c>
      <c r="J21" s="5"/>
    </row>
    <row r="22" spans="1:10">
      <c r="A22" t="s">
        <v>9</v>
      </c>
      <c r="B22" s="130">
        <v>0</v>
      </c>
      <c r="C22" s="50">
        <v>103455.92000000001</v>
      </c>
      <c r="D22" s="322">
        <v>0</v>
      </c>
      <c r="E22" s="377">
        <v>0</v>
      </c>
      <c r="F22" s="377">
        <v>0</v>
      </c>
      <c r="G22" s="322"/>
      <c r="H22" s="130">
        <v>0</v>
      </c>
      <c r="I22" s="372">
        <v>21369</v>
      </c>
      <c r="J22" s="5"/>
    </row>
    <row r="23" spans="1:10">
      <c r="A23" t="s">
        <v>10</v>
      </c>
      <c r="B23" s="130">
        <v>0</v>
      </c>
      <c r="C23" s="50">
        <v>36570.379999999997</v>
      </c>
      <c r="D23" s="322">
        <v>0</v>
      </c>
      <c r="E23" s="130">
        <v>0</v>
      </c>
      <c r="F23" s="377">
        <v>0</v>
      </c>
      <c r="G23" s="322"/>
      <c r="H23" s="130">
        <v>0</v>
      </c>
      <c r="I23" s="322">
        <v>0</v>
      </c>
      <c r="J23" s="5"/>
    </row>
    <row r="24" spans="1:10">
      <c r="B24" s="347"/>
      <c r="C24" s="340"/>
      <c r="D24" s="338"/>
      <c r="E24" s="340"/>
      <c r="F24" s="340"/>
      <c r="G24" s="338"/>
      <c r="H24" s="347"/>
      <c r="I24" s="336"/>
      <c r="J24" s="5"/>
    </row>
    <row r="25" spans="1:10">
      <c r="A25" t="s">
        <v>11</v>
      </c>
      <c r="B25" s="130">
        <v>0</v>
      </c>
      <c r="C25" s="50">
        <v>128332.03</v>
      </c>
      <c r="D25" s="322">
        <v>0</v>
      </c>
      <c r="E25" s="377">
        <v>0</v>
      </c>
      <c r="F25" s="377">
        <v>0</v>
      </c>
      <c r="G25" s="322"/>
      <c r="H25" s="130">
        <v>0</v>
      </c>
      <c r="I25" s="372">
        <v>9516</v>
      </c>
      <c r="J25" s="5"/>
    </row>
    <row r="26" spans="1:10">
      <c r="A26" t="s">
        <v>12</v>
      </c>
      <c r="B26" s="130">
        <v>0</v>
      </c>
      <c r="C26" s="50">
        <v>67641.98</v>
      </c>
      <c r="D26" s="129">
        <v>0</v>
      </c>
      <c r="E26" s="130">
        <v>0</v>
      </c>
      <c r="F26" s="130">
        <v>0</v>
      </c>
      <c r="G26" s="129"/>
      <c r="H26" s="130">
        <v>0</v>
      </c>
      <c r="I26" s="372">
        <v>75660</v>
      </c>
      <c r="J26" s="5"/>
    </row>
    <row r="27" spans="1:10">
      <c r="A27" t="s">
        <v>13</v>
      </c>
      <c r="B27" s="130">
        <v>0</v>
      </c>
      <c r="C27" s="50">
        <v>155539.79</v>
      </c>
      <c r="D27" s="129">
        <v>0</v>
      </c>
      <c r="E27" s="130">
        <v>0</v>
      </c>
      <c r="F27" s="130">
        <v>0</v>
      </c>
      <c r="G27" s="129"/>
      <c r="H27" s="130">
        <v>0</v>
      </c>
      <c r="I27" s="372">
        <v>0</v>
      </c>
      <c r="J27" s="5"/>
    </row>
    <row r="28" spans="1:10">
      <c r="A28" t="s">
        <v>14</v>
      </c>
      <c r="B28" s="130">
        <v>0</v>
      </c>
      <c r="C28" s="50">
        <v>58495.38</v>
      </c>
      <c r="D28" s="129">
        <v>0</v>
      </c>
      <c r="E28" s="130">
        <v>0</v>
      </c>
      <c r="F28" s="130">
        <v>0</v>
      </c>
      <c r="G28" s="129"/>
      <c r="H28" s="130">
        <v>0</v>
      </c>
      <c r="I28" s="372">
        <v>276935</v>
      </c>
      <c r="J28" s="5"/>
    </row>
    <row r="29" spans="1:10">
      <c r="A29" t="s">
        <v>15</v>
      </c>
      <c r="B29" s="130">
        <v>0</v>
      </c>
      <c r="C29" s="50">
        <v>79024.010000000009</v>
      </c>
      <c r="D29" s="322">
        <v>0</v>
      </c>
      <c r="E29" s="130">
        <v>0</v>
      </c>
      <c r="F29" s="377">
        <v>0</v>
      </c>
      <c r="G29" s="322"/>
      <c r="H29" s="130">
        <v>0</v>
      </c>
      <c r="I29" s="372">
        <v>42576</v>
      </c>
      <c r="J29" s="5"/>
    </row>
    <row r="30" spans="1:10">
      <c r="B30" s="347"/>
      <c r="C30" s="340"/>
      <c r="D30" s="338"/>
      <c r="E30" s="340"/>
      <c r="F30" s="340"/>
      <c r="G30" s="338"/>
      <c r="H30" s="347"/>
      <c r="I30" s="336"/>
      <c r="J30" s="5"/>
    </row>
    <row r="31" spans="1:10">
      <c r="A31" t="s">
        <v>16</v>
      </c>
      <c r="B31" s="130">
        <v>0</v>
      </c>
      <c r="C31" s="130">
        <v>0</v>
      </c>
      <c r="D31" s="322"/>
      <c r="E31" s="130"/>
      <c r="F31" s="130"/>
      <c r="G31" s="129"/>
      <c r="H31" s="130">
        <v>0</v>
      </c>
      <c r="I31" s="322">
        <v>0</v>
      </c>
      <c r="J31" s="5"/>
    </row>
    <row r="32" spans="1:10">
      <c r="A32" t="s">
        <v>17</v>
      </c>
      <c r="B32" s="130">
        <v>0</v>
      </c>
      <c r="C32" s="50">
        <v>142777.72</v>
      </c>
      <c r="D32" s="322">
        <v>0</v>
      </c>
      <c r="E32" s="377">
        <v>0</v>
      </c>
      <c r="F32" s="377">
        <v>0</v>
      </c>
      <c r="G32" s="322"/>
      <c r="H32" s="130">
        <v>0</v>
      </c>
      <c r="I32" s="372">
        <v>51928</v>
      </c>
      <c r="J32" s="5"/>
    </row>
    <row r="33" spans="1:10">
      <c r="A33" t="s">
        <v>18</v>
      </c>
      <c r="B33" s="130">
        <v>0</v>
      </c>
      <c r="C33" s="50">
        <v>132704.49</v>
      </c>
      <c r="D33" s="322">
        <v>0</v>
      </c>
      <c r="E33" s="377">
        <v>0</v>
      </c>
      <c r="F33" s="377">
        <v>0</v>
      </c>
      <c r="G33" s="322"/>
      <c r="H33" s="130">
        <v>0</v>
      </c>
      <c r="I33" s="372">
        <v>5581</v>
      </c>
      <c r="J33" s="5"/>
    </row>
    <row r="34" spans="1:10">
      <c r="A34" t="s">
        <v>19</v>
      </c>
      <c r="B34" s="130">
        <v>0</v>
      </c>
      <c r="C34" s="50">
        <v>73705.36</v>
      </c>
      <c r="D34" s="372">
        <v>181851.68</v>
      </c>
      <c r="E34" s="130">
        <v>0</v>
      </c>
      <c r="F34" s="50">
        <v>0</v>
      </c>
      <c r="G34" s="322"/>
      <c r="H34" s="130">
        <v>0</v>
      </c>
      <c r="I34" s="322">
        <v>0</v>
      </c>
      <c r="J34" s="5"/>
    </row>
    <row r="35" spans="1:10">
      <c r="A35" t="s">
        <v>20</v>
      </c>
      <c r="B35" s="130">
        <v>0</v>
      </c>
      <c r="C35" s="130">
        <v>0</v>
      </c>
      <c r="D35" s="372">
        <v>7402</v>
      </c>
      <c r="E35" s="50">
        <v>4225</v>
      </c>
      <c r="F35" s="50">
        <v>140344</v>
      </c>
      <c r="G35" s="129"/>
      <c r="H35" s="130">
        <v>0</v>
      </c>
      <c r="I35" s="322">
        <v>2175</v>
      </c>
      <c r="J35" s="5"/>
    </row>
    <row r="36" spans="1:10">
      <c r="B36" s="347"/>
      <c r="C36" s="340"/>
      <c r="D36" s="338"/>
      <c r="E36" s="340"/>
      <c r="F36" s="340"/>
      <c r="G36" s="338"/>
      <c r="H36" s="347"/>
      <c r="I36" s="336"/>
      <c r="J36" s="5"/>
    </row>
    <row r="37" spans="1:10">
      <c r="A37" t="s">
        <v>21</v>
      </c>
      <c r="B37" s="130">
        <v>0</v>
      </c>
      <c r="C37" s="50">
        <v>118701.76999999999</v>
      </c>
      <c r="D37" s="129">
        <v>0</v>
      </c>
      <c r="E37" s="130">
        <v>0</v>
      </c>
      <c r="F37" s="130">
        <v>0</v>
      </c>
      <c r="G37" s="129"/>
      <c r="H37" s="130">
        <v>0</v>
      </c>
      <c r="I37" s="372">
        <v>0</v>
      </c>
      <c r="J37" s="5"/>
    </row>
    <row r="38" spans="1:10">
      <c r="A38" t="s">
        <v>22</v>
      </c>
      <c r="B38" s="130">
        <v>0</v>
      </c>
      <c r="C38" s="50">
        <v>61298.25</v>
      </c>
      <c r="D38" s="322">
        <v>0</v>
      </c>
      <c r="E38" s="377">
        <v>0</v>
      </c>
      <c r="F38" s="377">
        <v>0</v>
      </c>
      <c r="G38" s="322"/>
      <c r="H38" s="372">
        <v>7642</v>
      </c>
      <c r="I38" s="372">
        <v>5350</v>
      </c>
      <c r="J38" s="5"/>
    </row>
    <row r="39" spans="1:10">
      <c r="A39" t="s">
        <v>23</v>
      </c>
      <c r="B39" s="372">
        <v>0</v>
      </c>
      <c r="C39" s="50">
        <v>80315.929999999993</v>
      </c>
      <c r="D39" s="129">
        <v>0</v>
      </c>
      <c r="E39" s="130">
        <v>0</v>
      </c>
      <c r="F39" s="130">
        <v>0</v>
      </c>
      <c r="G39" s="129"/>
      <c r="H39" s="130">
        <v>0</v>
      </c>
      <c r="I39" s="372">
        <v>1970</v>
      </c>
      <c r="J39" s="5"/>
    </row>
    <row r="40" spans="1:10">
      <c r="A40" s="12" t="s">
        <v>24</v>
      </c>
      <c r="B40" s="379">
        <v>0</v>
      </c>
      <c r="C40" s="131">
        <v>0</v>
      </c>
      <c r="D40" s="115">
        <v>11908</v>
      </c>
      <c r="E40" s="131">
        <v>0</v>
      </c>
      <c r="F40" s="131">
        <v>111411</v>
      </c>
      <c r="G40" s="131"/>
      <c r="H40" s="131">
        <v>0</v>
      </c>
      <c r="I40" s="380">
        <v>0</v>
      </c>
    </row>
  </sheetData>
  <sheetProtection password="CAF5" sheet="1" objects="1" scenarios="1"/>
  <mergeCells count="9">
    <mergeCell ref="B5:I5"/>
    <mergeCell ref="A1:F1"/>
    <mergeCell ref="A3:F3"/>
    <mergeCell ref="A7:A10"/>
    <mergeCell ref="D7:F7"/>
    <mergeCell ref="E8:F8"/>
    <mergeCell ref="D8:D10"/>
    <mergeCell ref="H6:I6"/>
    <mergeCell ref="B6:F6"/>
  </mergeCells>
  <phoneticPr fontId="0" type="noConversion"/>
  <printOptions horizontalCentered="1"/>
  <pageMargins left="0.44" right="0.37" top="0.83" bottom="1" header="0.67" footer="0.5"/>
  <pageSetup scale="96" orientation="landscape" r:id="rId1"/>
  <headerFooter alignWithMargins="0">
    <oddFooter>&amp;L&amp;"Arial,Italic"&amp;9MSDE - LFRO  12 / 2013&amp;C- 9 -&amp;R&amp;"Arial,Italic"&amp;9Selected Financial Data-Part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5</vt:i4>
      </vt:variant>
    </vt:vector>
  </HeadingPairs>
  <TitlesOfParts>
    <vt:vector size="27" baseType="lpstr">
      <vt:lpstr>table 1</vt:lpstr>
      <vt:lpstr>table 2a</vt:lpstr>
      <vt:lpstr>table3</vt:lpstr>
      <vt:lpstr>table4</vt:lpstr>
      <vt:lpstr>table5</vt:lpstr>
      <vt:lpstr>table 6</vt:lpstr>
      <vt:lpstr>state1</vt:lpstr>
      <vt:lpstr>state2</vt:lpstr>
      <vt:lpstr>state3</vt:lpstr>
      <vt:lpstr>state4</vt:lpstr>
      <vt:lpstr>state5</vt:lpstr>
      <vt:lpstr>fed1</vt:lpstr>
      <vt:lpstr>fed2</vt:lpstr>
      <vt:lpstr>fed3</vt:lpstr>
      <vt:lpstr>fed4</vt:lpstr>
      <vt:lpstr>fed5</vt:lpstr>
      <vt:lpstr>table9</vt:lpstr>
      <vt:lpstr>table 10</vt:lpstr>
      <vt:lpstr>table11</vt:lpstr>
      <vt:lpstr>table12</vt:lpstr>
      <vt:lpstr>Table 12 Continued</vt:lpstr>
      <vt:lpstr>Sheet1</vt:lpstr>
      <vt:lpstr>state1!Print_Area</vt:lpstr>
      <vt:lpstr>'table 6'!Print_Area</vt:lpstr>
      <vt:lpstr>table11!Print_Area</vt:lpstr>
      <vt:lpstr>table3!Print_Area</vt:lpstr>
      <vt:lpstr>table4!Print_Area</vt:lpstr>
    </vt:vector>
  </TitlesOfParts>
  <Company>MSDE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 2008 PART 1 Released 10-8-2009</dc:title>
  <dc:subject>Updated as of 11-9-2009</dc:subject>
  <dc:creator>Ron Ieng</dc:creator>
  <cp:lastModifiedBy>mbenjamin</cp:lastModifiedBy>
  <cp:lastPrinted>2015-01-23T13:01:24Z</cp:lastPrinted>
  <dcterms:created xsi:type="dcterms:W3CDTF">1998-03-02T22:29:13Z</dcterms:created>
  <dcterms:modified xsi:type="dcterms:W3CDTF">2015-01-23T13:01:33Z</dcterms:modified>
</cp:coreProperties>
</file>